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mc:AlternateContent xmlns:mc="http://schemas.openxmlformats.org/markup-compatibility/2006">
    <mc:Choice Requires="x15">
      <x15ac:absPath xmlns:x15ac="http://schemas.microsoft.com/office/spreadsheetml/2010/11/ac" url="\\fs\Secretaria\SAC\DPR\02 - CGPR\sexta rodada\CPE\Comissão\"/>
    </mc:Choice>
  </mc:AlternateContent>
  <xr:revisionPtr revIDLastSave="0" documentId="13_ncr:1_{5184F0DC-9637-48BA-AAC9-F73A49F4635D}" xr6:coauthVersionLast="41" xr6:coauthVersionMax="41" xr10:uidLastSave="{00000000-0000-0000-0000-000000000000}"/>
  <bookViews>
    <workbookView xWindow="28680" yWindow="-120" windowWidth="24240" windowHeight="13140" tabRatio="682" firstSheet="1" activeTab="6" xr2:uid="{00000000-000D-0000-FFFF-FFFF00000000}"/>
  </bookViews>
  <sheets>
    <sheet name="Resumo" sheetId="5" r:id="rId1"/>
    <sheet name="Curitiba SBCT" sheetId="1" r:id="rId2"/>
    <sheet name="Foz do Iguaçú SBFI" sheetId="6" r:id="rId3"/>
    <sheet name="Navegantes SBNF" sheetId="7" r:id="rId4"/>
    <sheet name="Londrina SBLO" sheetId="8" r:id="rId5"/>
    <sheet name="Joinville SBJV" sheetId="9" r:id="rId6"/>
    <sheet name="Bacacheri SBBI" sheetId="10" r:id="rId7"/>
    <sheet name="Pelotas SBPK" sheetId="11" r:id="rId8"/>
    <sheet name="Uruguaiana SBUG" sheetId="12" r:id="rId9"/>
    <sheet name="Bagé SBBG" sheetId="13" r:id="rId10"/>
    <sheet name="Manaus SBEG" sheetId="14" r:id="rId11"/>
    <sheet name="Porto Velho SBPV" sheetId="15" r:id="rId12"/>
    <sheet name="Rio Branco SBRB" sheetId="16" r:id="rId13"/>
    <sheet name="Cruzeiro do Sul SBCZ" sheetId="17" r:id="rId14"/>
    <sheet name="Tabatinga SBTT" sheetId="18" r:id="rId15"/>
    <sheet name="Tefé SBTF" sheetId="19" r:id="rId16"/>
    <sheet name="Boa Vista SBBV" sheetId="20" r:id="rId17"/>
    <sheet name="Goiânia SBGO" sheetId="21" r:id="rId18"/>
    <sheet name="São Luiz SBSL" sheetId="22" r:id="rId19"/>
    <sheet name="Teresina SBTE" sheetId="23" r:id="rId20"/>
    <sheet name="Palmas SBPJ" sheetId="24" r:id="rId21"/>
    <sheet name="Petrolina SBPL" sheetId="25" r:id="rId22"/>
    <sheet name="Imperatriz SBIZ" sheetId="26" r:id="rId23"/>
  </sheets>
  <externalReferences>
    <externalReference r:id="rId2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05" i="5" l="1"/>
  <c r="C196" i="5"/>
  <c r="C90" i="5"/>
  <c r="C80" i="5"/>
  <c r="C65" i="5"/>
  <c r="C56" i="5"/>
  <c r="C46" i="5"/>
  <c r="M36" i="5" l="1"/>
  <c r="AL5" i="16"/>
  <c r="AL6" i="16"/>
  <c r="AL7" i="16"/>
  <c r="AL8" i="16"/>
  <c r="AL9" i="16"/>
  <c r="AL10" i="16"/>
  <c r="AL11" i="16"/>
  <c r="AL12" i="16"/>
  <c r="AL13" i="16"/>
  <c r="AL14" i="16"/>
  <c r="AL15" i="16"/>
  <c r="AL16" i="16"/>
  <c r="AL17" i="16"/>
  <c r="AL18" i="16"/>
  <c r="AL19" i="16"/>
  <c r="AL20" i="16"/>
  <c r="AL21" i="16"/>
  <c r="AL22" i="16"/>
  <c r="AL23" i="16"/>
  <c r="AL24" i="16"/>
  <c r="AL25" i="16"/>
  <c r="AL26" i="16"/>
  <c r="AL27" i="16"/>
  <c r="AL28" i="16"/>
  <c r="AL29" i="16"/>
  <c r="AL30" i="16"/>
  <c r="AL31" i="16"/>
  <c r="AL32" i="16"/>
  <c r="AL33" i="16"/>
  <c r="AL34" i="16"/>
  <c r="AL35" i="16"/>
  <c r="AL36" i="16"/>
  <c r="AL37" i="16"/>
  <c r="AL38" i="16"/>
  <c r="AL39" i="16"/>
  <c r="AL40" i="16"/>
  <c r="AL41" i="16"/>
  <c r="AL42" i="16"/>
  <c r="AL43" i="16"/>
  <c r="AL44" i="16"/>
  <c r="AL45" i="16"/>
  <c r="AL46" i="16"/>
  <c r="AL47" i="16"/>
  <c r="AL48" i="16"/>
  <c r="AL49" i="16"/>
  <c r="AL50" i="16"/>
  <c r="AL51" i="16"/>
  <c r="AL52" i="16"/>
  <c r="AL53" i="16"/>
  <c r="AL54" i="16"/>
  <c r="AL55" i="16"/>
  <c r="AL56" i="16"/>
  <c r="M5" i="8"/>
  <c r="M6" i="8"/>
  <c r="M7" i="8"/>
  <c r="M8" i="8"/>
  <c r="M9" i="8"/>
  <c r="M10" i="8"/>
  <c r="M11" i="8"/>
  <c r="M12" i="8"/>
  <c r="M13" i="8"/>
  <c r="M14" i="8"/>
  <c r="M15" i="8"/>
  <c r="M16" i="8"/>
  <c r="M17" i="8"/>
  <c r="M18" i="8"/>
  <c r="M19" i="8"/>
  <c r="M20" i="8"/>
  <c r="M21" i="8"/>
  <c r="M22" i="8"/>
  <c r="M23" i="8"/>
  <c r="M24" i="8"/>
  <c r="M25" i="8"/>
  <c r="M26" i="8"/>
  <c r="M27" i="8"/>
  <c r="M28" i="8"/>
  <c r="M29" i="8"/>
  <c r="M30" i="8"/>
  <c r="M31" i="8"/>
  <c r="M32" i="8"/>
  <c r="M33" i="8"/>
  <c r="M34" i="8"/>
  <c r="M35" i="8"/>
  <c r="M36" i="8"/>
  <c r="M37" i="8"/>
  <c r="M38" i="8"/>
  <c r="M39" i="8"/>
  <c r="M40" i="8"/>
  <c r="M41" i="8"/>
  <c r="M42" i="8"/>
  <c r="M43" i="8"/>
  <c r="M44" i="8"/>
  <c r="M45" i="8"/>
  <c r="M46" i="8"/>
  <c r="M47" i="8"/>
  <c r="M48" i="8"/>
  <c r="M49" i="8"/>
  <c r="M50" i="8"/>
  <c r="M51" i="8"/>
  <c r="M52" i="8"/>
  <c r="M53" i="8"/>
  <c r="M54" i="8"/>
  <c r="M55" i="8"/>
  <c r="M56" i="8"/>
  <c r="AQ5" i="20"/>
  <c r="AQ6" i="20"/>
  <c r="AQ7" i="20"/>
  <c r="AQ8" i="20"/>
  <c r="AQ9" i="20"/>
  <c r="AQ10" i="20"/>
  <c r="AQ11" i="20"/>
  <c r="AQ12" i="20"/>
  <c r="AQ13" i="20"/>
  <c r="AQ14" i="20"/>
  <c r="AQ15" i="20"/>
  <c r="AQ16" i="20"/>
  <c r="AQ17" i="20"/>
  <c r="AQ18" i="20"/>
  <c r="AQ19" i="20"/>
  <c r="AQ20" i="20"/>
  <c r="AQ21" i="20"/>
  <c r="AQ22" i="20"/>
  <c r="AQ23" i="20"/>
  <c r="AQ24" i="20"/>
  <c r="AQ25" i="20"/>
  <c r="AQ26" i="20"/>
  <c r="AQ27" i="20"/>
  <c r="AQ28" i="20"/>
  <c r="AQ29" i="20"/>
  <c r="AQ30" i="20"/>
  <c r="AQ31" i="20"/>
  <c r="AQ32" i="20"/>
  <c r="AQ33" i="20"/>
  <c r="AQ34" i="20"/>
  <c r="AQ35" i="20"/>
  <c r="AQ36" i="20"/>
  <c r="AQ37" i="20"/>
  <c r="AQ38" i="20"/>
  <c r="AQ39" i="20"/>
  <c r="AQ40" i="20"/>
  <c r="AQ41" i="20"/>
  <c r="AQ42" i="20"/>
  <c r="AQ43" i="20"/>
  <c r="AQ44" i="20"/>
  <c r="AQ45" i="20"/>
  <c r="AQ46" i="20"/>
  <c r="AQ47" i="20"/>
  <c r="AQ48" i="20"/>
  <c r="AQ49" i="20"/>
  <c r="AQ50" i="20"/>
  <c r="AQ51" i="20"/>
  <c r="AQ52" i="20"/>
  <c r="AQ53" i="20"/>
  <c r="AQ54" i="20"/>
  <c r="AQ55" i="20"/>
  <c r="AQ56" i="20"/>
  <c r="AL5" i="20"/>
  <c r="AL6" i="20"/>
  <c r="AL7" i="20"/>
  <c r="AL8" i="20"/>
  <c r="AL9" i="20"/>
  <c r="AL10" i="20"/>
  <c r="AL11" i="20"/>
  <c r="AL12" i="20"/>
  <c r="AL13" i="20"/>
  <c r="AL14" i="20"/>
  <c r="AL15" i="20"/>
  <c r="AL16" i="20"/>
  <c r="AL17" i="20"/>
  <c r="AL18" i="20"/>
  <c r="AL19" i="20"/>
  <c r="AL20" i="20"/>
  <c r="AL21" i="20"/>
  <c r="AL22" i="20"/>
  <c r="AL23" i="20"/>
  <c r="AL24" i="20"/>
  <c r="AL25" i="20"/>
  <c r="AL26" i="20"/>
  <c r="AL27" i="20"/>
  <c r="AL28" i="20"/>
  <c r="AL29" i="20"/>
  <c r="AL30" i="20"/>
  <c r="AL31" i="20"/>
  <c r="AL32" i="20"/>
  <c r="AL33" i="20"/>
  <c r="AL34" i="20"/>
  <c r="AL35" i="20"/>
  <c r="AL36" i="20"/>
  <c r="AL37" i="20"/>
  <c r="AL38" i="20"/>
  <c r="AL39" i="20"/>
  <c r="AL40" i="20"/>
  <c r="AL41" i="20"/>
  <c r="AL42" i="20"/>
  <c r="AL43" i="20"/>
  <c r="AL44" i="20"/>
  <c r="AL45" i="20"/>
  <c r="AL46" i="20"/>
  <c r="AL47" i="20"/>
  <c r="AL48" i="20"/>
  <c r="AL49" i="20"/>
  <c r="AL50" i="20"/>
  <c r="AL51" i="20"/>
  <c r="AL52" i="20"/>
  <c r="AL53" i="20"/>
  <c r="AL54" i="20"/>
  <c r="AL55" i="20"/>
  <c r="AL56" i="20"/>
  <c r="AQ5" i="19"/>
  <c r="AQ6" i="19"/>
  <c r="AQ7" i="19"/>
  <c r="AQ8" i="19"/>
  <c r="AQ9" i="19"/>
  <c r="AQ10" i="19"/>
  <c r="AQ11" i="19"/>
  <c r="AQ12" i="19"/>
  <c r="AQ13" i="19"/>
  <c r="AQ14" i="19"/>
  <c r="AQ15" i="19"/>
  <c r="AQ16" i="19"/>
  <c r="AQ17" i="19"/>
  <c r="AQ18" i="19"/>
  <c r="AQ19" i="19"/>
  <c r="AQ20" i="19"/>
  <c r="AQ21" i="19"/>
  <c r="AQ22" i="19"/>
  <c r="AQ23" i="19"/>
  <c r="AQ24" i="19"/>
  <c r="AQ25" i="19"/>
  <c r="AQ26" i="19"/>
  <c r="AQ27" i="19"/>
  <c r="AQ28" i="19"/>
  <c r="AQ29" i="19"/>
  <c r="AQ30" i="19"/>
  <c r="AQ31" i="19"/>
  <c r="AQ32" i="19"/>
  <c r="AQ33" i="19"/>
  <c r="AQ34" i="19"/>
  <c r="AQ35" i="19"/>
  <c r="AQ36" i="19"/>
  <c r="AQ37" i="19"/>
  <c r="AQ38" i="19"/>
  <c r="AQ39" i="19"/>
  <c r="AQ40" i="19"/>
  <c r="AQ41" i="19"/>
  <c r="AQ42" i="19"/>
  <c r="AQ43" i="19"/>
  <c r="AQ44" i="19"/>
  <c r="AQ45" i="19"/>
  <c r="AQ46" i="19"/>
  <c r="AQ47" i="19"/>
  <c r="AQ48" i="19"/>
  <c r="AQ49" i="19"/>
  <c r="AQ50" i="19"/>
  <c r="AQ51" i="19"/>
  <c r="AQ52" i="19"/>
  <c r="AQ53" i="19"/>
  <c r="AQ54" i="19"/>
  <c r="AQ55" i="19"/>
  <c r="AQ56" i="19"/>
  <c r="AL5" i="19"/>
  <c r="AL6" i="19"/>
  <c r="AL7" i="19"/>
  <c r="AL8" i="19"/>
  <c r="AL9" i="19"/>
  <c r="AL10" i="19"/>
  <c r="AL11" i="19"/>
  <c r="AL12" i="19"/>
  <c r="AL13" i="19"/>
  <c r="AL14" i="19"/>
  <c r="AL15" i="19"/>
  <c r="AL16" i="19"/>
  <c r="AL17" i="19"/>
  <c r="AL18" i="19"/>
  <c r="AL19" i="19"/>
  <c r="AL20" i="19"/>
  <c r="AL21" i="19"/>
  <c r="AL22" i="19"/>
  <c r="AL23" i="19"/>
  <c r="AL24" i="19"/>
  <c r="AL25" i="19"/>
  <c r="AL26" i="19"/>
  <c r="AL27" i="19"/>
  <c r="AL28" i="19"/>
  <c r="AL29" i="19"/>
  <c r="AL30" i="19"/>
  <c r="AL31" i="19"/>
  <c r="AL32" i="19"/>
  <c r="AL33" i="19"/>
  <c r="AL34" i="19"/>
  <c r="AL35" i="19"/>
  <c r="AL36" i="19"/>
  <c r="AL37" i="19"/>
  <c r="AL38" i="19"/>
  <c r="AL39" i="19"/>
  <c r="AL40" i="19"/>
  <c r="AL41" i="19"/>
  <c r="AL42" i="19"/>
  <c r="AL43" i="19"/>
  <c r="AL44" i="19"/>
  <c r="AL45" i="19"/>
  <c r="AL46" i="19"/>
  <c r="AL47" i="19"/>
  <c r="AL48" i="19"/>
  <c r="AL49" i="19"/>
  <c r="AL50" i="19"/>
  <c r="AL51" i="19"/>
  <c r="AL52" i="19"/>
  <c r="AL53" i="19"/>
  <c r="AL54" i="19"/>
  <c r="AL55" i="19"/>
  <c r="AL56" i="19"/>
  <c r="AQ5" i="18"/>
  <c r="AQ6" i="18"/>
  <c r="AQ7" i="18"/>
  <c r="AQ8" i="18"/>
  <c r="AQ9" i="18"/>
  <c r="AQ10" i="18"/>
  <c r="AQ11" i="18"/>
  <c r="AQ12" i="18"/>
  <c r="AQ13" i="18"/>
  <c r="AQ14" i="18"/>
  <c r="AQ15" i="18"/>
  <c r="AQ16" i="18"/>
  <c r="AQ17" i="18"/>
  <c r="AQ18" i="18"/>
  <c r="AQ19" i="18"/>
  <c r="AQ20" i="18"/>
  <c r="AQ21" i="18"/>
  <c r="AQ22" i="18"/>
  <c r="AQ23" i="18"/>
  <c r="AQ24" i="18"/>
  <c r="AQ25" i="18"/>
  <c r="AQ26" i="18"/>
  <c r="AQ27" i="18"/>
  <c r="AQ28" i="18"/>
  <c r="AQ29" i="18"/>
  <c r="AQ30" i="18"/>
  <c r="AQ31" i="18"/>
  <c r="AQ32" i="18"/>
  <c r="AQ33" i="18"/>
  <c r="AQ34" i="18"/>
  <c r="AQ35" i="18"/>
  <c r="AQ36" i="18"/>
  <c r="AQ37" i="18"/>
  <c r="AQ38" i="18"/>
  <c r="AQ39" i="18"/>
  <c r="AQ40" i="18"/>
  <c r="AQ41" i="18"/>
  <c r="AQ42" i="18"/>
  <c r="AQ43" i="18"/>
  <c r="AQ44" i="18"/>
  <c r="AQ45" i="18"/>
  <c r="AQ46" i="18"/>
  <c r="AQ47" i="18"/>
  <c r="AQ48" i="18"/>
  <c r="AQ49" i="18"/>
  <c r="AQ50" i="18"/>
  <c r="AQ51" i="18"/>
  <c r="AQ52" i="18"/>
  <c r="AQ53" i="18"/>
  <c r="AQ54" i="18"/>
  <c r="AQ55" i="18"/>
  <c r="AQ56" i="18"/>
  <c r="AL5" i="18"/>
  <c r="AL6" i="18"/>
  <c r="AL7" i="18"/>
  <c r="AL8" i="18"/>
  <c r="AL9" i="18"/>
  <c r="AL10" i="18"/>
  <c r="AL11" i="18"/>
  <c r="AL12" i="18"/>
  <c r="AL13" i="18"/>
  <c r="AL14" i="18"/>
  <c r="AL15" i="18"/>
  <c r="AL16" i="18"/>
  <c r="AL17" i="18"/>
  <c r="AL18" i="18"/>
  <c r="AL19" i="18"/>
  <c r="AL20" i="18"/>
  <c r="AL21" i="18"/>
  <c r="AL22" i="18"/>
  <c r="AL23" i="18"/>
  <c r="AL24" i="18"/>
  <c r="AL25" i="18"/>
  <c r="AL26" i="18"/>
  <c r="AL27" i="18"/>
  <c r="AL28" i="18"/>
  <c r="AL29" i="18"/>
  <c r="AL30" i="18"/>
  <c r="AL31" i="18"/>
  <c r="AL32" i="18"/>
  <c r="AL33" i="18"/>
  <c r="AL34" i="18"/>
  <c r="AL35" i="18"/>
  <c r="AL36" i="18"/>
  <c r="AL37" i="18"/>
  <c r="AL38" i="18"/>
  <c r="AL39" i="18"/>
  <c r="AL40" i="18"/>
  <c r="AL41" i="18"/>
  <c r="AL42" i="18"/>
  <c r="AL43" i="18"/>
  <c r="AL44" i="18"/>
  <c r="AL45" i="18"/>
  <c r="AL46" i="18"/>
  <c r="AL47" i="18"/>
  <c r="AL48" i="18"/>
  <c r="AL49" i="18"/>
  <c r="AL50" i="18"/>
  <c r="AL51" i="18"/>
  <c r="AL52" i="18"/>
  <c r="AL53" i="18"/>
  <c r="AL54" i="18"/>
  <c r="AL55" i="18"/>
  <c r="AL56" i="18"/>
  <c r="AQ5" i="17"/>
  <c r="AQ6" i="17"/>
  <c r="AQ7" i="17"/>
  <c r="AQ8" i="17"/>
  <c r="AQ9" i="17"/>
  <c r="C225" i="5" s="1"/>
  <c r="AQ10" i="17"/>
  <c r="AQ11" i="17"/>
  <c r="AQ12" i="17"/>
  <c r="AQ13" i="17"/>
  <c r="AQ14" i="17"/>
  <c r="AQ15" i="17"/>
  <c r="AQ16" i="17"/>
  <c r="AQ17" i="17"/>
  <c r="AQ18" i="17"/>
  <c r="AQ19" i="17"/>
  <c r="AQ20" i="17"/>
  <c r="AQ21" i="17"/>
  <c r="AQ22" i="17"/>
  <c r="AQ23" i="17"/>
  <c r="AQ24" i="17"/>
  <c r="AQ25" i="17"/>
  <c r="AQ26" i="17"/>
  <c r="AQ27" i="17"/>
  <c r="AQ28" i="17"/>
  <c r="AQ29" i="17"/>
  <c r="AQ30" i="17"/>
  <c r="AQ31" i="17"/>
  <c r="AQ32" i="17"/>
  <c r="AQ33" i="17"/>
  <c r="AQ34" i="17"/>
  <c r="AQ35" i="17"/>
  <c r="AQ36" i="17"/>
  <c r="AQ37" i="17"/>
  <c r="AQ38" i="17"/>
  <c r="AQ39" i="17"/>
  <c r="AQ40" i="17"/>
  <c r="AQ41" i="17"/>
  <c r="AQ42" i="17"/>
  <c r="AQ43" i="17"/>
  <c r="AQ44" i="17"/>
  <c r="AQ45" i="17"/>
  <c r="AQ46" i="17"/>
  <c r="AQ47" i="17"/>
  <c r="AQ48" i="17"/>
  <c r="AQ49" i="17"/>
  <c r="AQ50" i="17"/>
  <c r="AQ51" i="17"/>
  <c r="AQ52" i="17"/>
  <c r="AQ53" i="17"/>
  <c r="AQ54" i="17"/>
  <c r="AQ55" i="17"/>
  <c r="AQ56" i="17"/>
  <c r="AL5" i="17"/>
  <c r="AL6" i="17"/>
  <c r="AL7" i="17"/>
  <c r="AL8" i="17"/>
  <c r="AL9" i="17"/>
  <c r="AL10" i="17"/>
  <c r="AL11" i="17"/>
  <c r="AL12" i="17"/>
  <c r="AL13" i="17"/>
  <c r="AL14" i="17"/>
  <c r="AL15" i="17"/>
  <c r="AL16" i="17"/>
  <c r="AL17" i="17"/>
  <c r="AL18" i="17"/>
  <c r="AL19" i="17"/>
  <c r="AL20" i="17"/>
  <c r="AL21" i="17"/>
  <c r="AL22" i="17"/>
  <c r="AL23" i="17"/>
  <c r="AL24" i="17"/>
  <c r="AL25" i="17"/>
  <c r="AL26" i="17"/>
  <c r="AL27" i="17"/>
  <c r="AL28" i="17"/>
  <c r="AL29" i="17"/>
  <c r="AL30" i="17"/>
  <c r="AL31" i="17"/>
  <c r="AL32" i="17"/>
  <c r="AL33" i="17"/>
  <c r="AL34" i="17"/>
  <c r="AL35" i="17"/>
  <c r="AL36" i="17"/>
  <c r="AL37" i="17"/>
  <c r="AL38" i="17"/>
  <c r="AL39" i="17"/>
  <c r="AL40" i="17"/>
  <c r="AL41" i="17"/>
  <c r="AL42" i="17"/>
  <c r="AL43" i="17"/>
  <c r="AL44" i="17"/>
  <c r="AL45" i="17"/>
  <c r="AL46" i="17"/>
  <c r="AL47" i="17"/>
  <c r="AL48" i="17"/>
  <c r="AL49" i="17"/>
  <c r="AL50" i="17"/>
  <c r="AL51" i="17"/>
  <c r="AL52" i="17"/>
  <c r="AL53" i="17"/>
  <c r="AL54" i="17"/>
  <c r="AL55" i="17"/>
  <c r="AL56" i="17"/>
  <c r="AQ5" i="16"/>
  <c r="AQ6" i="16"/>
  <c r="AQ7" i="16"/>
  <c r="AQ8" i="16"/>
  <c r="AQ9" i="16"/>
  <c r="AQ10" i="16"/>
  <c r="AQ11" i="16"/>
  <c r="AQ12" i="16"/>
  <c r="AQ13" i="16"/>
  <c r="AQ14" i="16"/>
  <c r="AQ15" i="16"/>
  <c r="AQ16" i="16"/>
  <c r="AQ17" i="16"/>
  <c r="AQ18" i="16"/>
  <c r="AQ19" i="16"/>
  <c r="AQ20" i="16"/>
  <c r="AQ21" i="16"/>
  <c r="AQ22" i="16"/>
  <c r="AQ23" i="16"/>
  <c r="AQ24" i="16"/>
  <c r="AQ25" i="16"/>
  <c r="AQ26" i="16"/>
  <c r="AQ27" i="16"/>
  <c r="AQ28" i="16"/>
  <c r="AQ29" i="16"/>
  <c r="AQ30" i="16"/>
  <c r="AQ31" i="16"/>
  <c r="AQ32" i="16"/>
  <c r="AQ33" i="16"/>
  <c r="AQ34" i="16"/>
  <c r="AQ35" i="16"/>
  <c r="AQ36" i="16"/>
  <c r="AQ37" i="16"/>
  <c r="AQ38" i="16"/>
  <c r="AQ39" i="16"/>
  <c r="AQ40" i="16"/>
  <c r="AQ41" i="16"/>
  <c r="AQ42" i="16"/>
  <c r="AQ43" i="16"/>
  <c r="AQ44" i="16"/>
  <c r="AQ45" i="16"/>
  <c r="AQ46" i="16"/>
  <c r="AQ47" i="16"/>
  <c r="AQ48" i="16"/>
  <c r="AQ49" i="16"/>
  <c r="AQ50" i="16"/>
  <c r="AQ51" i="16"/>
  <c r="AQ52" i="16"/>
  <c r="AQ53" i="16"/>
  <c r="AQ54" i="16"/>
  <c r="AQ55" i="16"/>
  <c r="AQ56" i="16"/>
  <c r="AQ54" i="15"/>
  <c r="AQ55" i="15"/>
  <c r="AQ56" i="15"/>
  <c r="AL54" i="15"/>
  <c r="AL55" i="15"/>
  <c r="AL56" i="15"/>
  <c r="AQ5" i="14"/>
  <c r="AQ6" i="14"/>
  <c r="AQ7" i="14"/>
  <c r="AQ8" i="14"/>
  <c r="AQ9" i="14"/>
  <c r="AQ10" i="14"/>
  <c r="AQ11" i="14"/>
  <c r="AQ12" i="14"/>
  <c r="AQ13" i="14"/>
  <c r="AQ14" i="14"/>
  <c r="AQ15" i="14"/>
  <c r="AQ16" i="14"/>
  <c r="AQ17" i="14"/>
  <c r="AQ18" i="14"/>
  <c r="AQ19" i="14"/>
  <c r="AQ20" i="14"/>
  <c r="AQ21" i="14"/>
  <c r="AQ22" i="14"/>
  <c r="AQ23" i="14"/>
  <c r="AQ24" i="14"/>
  <c r="AQ25" i="14"/>
  <c r="AQ26" i="14"/>
  <c r="AQ27" i="14"/>
  <c r="AQ28" i="14"/>
  <c r="AQ29" i="14"/>
  <c r="AQ30" i="14"/>
  <c r="AQ31" i="14"/>
  <c r="AQ32" i="14"/>
  <c r="AQ33" i="14"/>
  <c r="AQ34" i="14"/>
  <c r="AQ35" i="14"/>
  <c r="AQ36" i="14"/>
  <c r="AQ37" i="14"/>
  <c r="AQ38" i="14"/>
  <c r="AQ39" i="14"/>
  <c r="AQ40" i="14"/>
  <c r="AQ41" i="14"/>
  <c r="AQ42" i="14"/>
  <c r="AQ43" i="14"/>
  <c r="AQ44" i="14"/>
  <c r="AQ45" i="14"/>
  <c r="AQ46" i="14"/>
  <c r="AQ47" i="14"/>
  <c r="AQ48" i="14"/>
  <c r="AQ49" i="14"/>
  <c r="AQ50" i="14"/>
  <c r="AQ51" i="14"/>
  <c r="AQ52" i="14"/>
  <c r="AQ53" i="14"/>
  <c r="AQ54" i="14"/>
  <c r="AQ55" i="14"/>
  <c r="AQ56" i="14"/>
  <c r="R5" i="14"/>
  <c r="R6" i="14"/>
  <c r="R7" i="14"/>
  <c r="R8" i="14"/>
  <c r="R9" i="14"/>
  <c r="R10" i="14"/>
  <c r="R11" i="14"/>
  <c r="R12" i="14"/>
  <c r="R13" i="14"/>
  <c r="R14" i="14"/>
  <c r="R15" i="14"/>
  <c r="R16" i="14"/>
  <c r="R17" i="14"/>
  <c r="R18" i="14"/>
  <c r="R19" i="14"/>
  <c r="R20" i="14"/>
  <c r="R21" i="14"/>
  <c r="R22" i="14"/>
  <c r="R23" i="14"/>
  <c r="R24" i="14"/>
  <c r="R25" i="14"/>
  <c r="R26" i="14"/>
  <c r="R27" i="14"/>
  <c r="R28" i="14"/>
  <c r="R29" i="14"/>
  <c r="R30" i="14"/>
  <c r="R31" i="14"/>
  <c r="R32" i="14"/>
  <c r="R33" i="14"/>
  <c r="R34" i="14"/>
  <c r="R35" i="14"/>
  <c r="R36" i="14"/>
  <c r="R37" i="14"/>
  <c r="R38" i="14"/>
  <c r="R39" i="14"/>
  <c r="R40" i="14"/>
  <c r="R41" i="14"/>
  <c r="R42" i="14"/>
  <c r="R43" i="14"/>
  <c r="R44" i="14"/>
  <c r="R45" i="14"/>
  <c r="R46" i="14"/>
  <c r="R47" i="14"/>
  <c r="R48" i="14"/>
  <c r="R49" i="14"/>
  <c r="R50" i="14"/>
  <c r="R51" i="14"/>
  <c r="R52" i="14"/>
  <c r="R53" i="14"/>
  <c r="R54" i="14"/>
  <c r="R55" i="14"/>
  <c r="R56" i="14"/>
  <c r="AL5" i="14"/>
  <c r="AL6" i="14"/>
  <c r="AL7" i="14"/>
  <c r="AL8" i="14"/>
  <c r="AL9" i="14"/>
  <c r="AL10" i="14"/>
  <c r="AL11" i="14"/>
  <c r="AL12" i="14"/>
  <c r="AL13" i="14"/>
  <c r="AL14" i="14"/>
  <c r="AL15" i="14"/>
  <c r="AL16" i="14"/>
  <c r="AL17" i="14"/>
  <c r="AL18" i="14"/>
  <c r="AL19" i="14"/>
  <c r="AL20" i="14"/>
  <c r="AL21" i="14"/>
  <c r="AL22" i="14"/>
  <c r="AL23" i="14"/>
  <c r="AL24" i="14"/>
  <c r="AL25" i="14"/>
  <c r="AL26" i="14"/>
  <c r="AL27" i="14"/>
  <c r="AL28" i="14"/>
  <c r="AL29" i="14"/>
  <c r="AL30" i="14"/>
  <c r="AL31" i="14"/>
  <c r="AL32" i="14"/>
  <c r="AL33" i="14"/>
  <c r="AL34" i="14"/>
  <c r="AL35" i="14"/>
  <c r="AL36" i="14"/>
  <c r="AL37" i="14"/>
  <c r="AL38" i="14"/>
  <c r="AL39" i="14"/>
  <c r="AL40" i="14"/>
  <c r="AL41" i="14"/>
  <c r="AL42" i="14"/>
  <c r="AL43" i="14"/>
  <c r="AL44" i="14"/>
  <c r="AL45" i="14"/>
  <c r="AL46" i="14"/>
  <c r="AL47" i="14"/>
  <c r="AL48" i="14"/>
  <c r="AL49" i="14"/>
  <c r="AL50" i="14"/>
  <c r="AL51" i="14"/>
  <c r="AL52" i="14"/>
  <c r="AL53" i="14"/>
  <c r="AL54" i="14"/>
  <c r="AL55" i="14"/>
  <c r="AL56" i="14"/>
  <c r="R5" i="13"/>
  <c r="R6" i="13"/>
  <c r="R7" i="13"/>
  <c r="R8" i="13"/>
  <c r="R9" i="13"/>
  <c r="R10" i="13"/>
  <c r="R11" i="13"/>
  <c r="R12" i="13"/>
  <c r="R13" i="13"/>
  <c r="R14" i="13"/>
  <c r="R15" i="13"/>
  <c r="R16" i="13"/>
  <c r="R17" i="13"/>
  <c r="R18" i="13"/>
  <c r="R19" i="13"/>
  <c r="R20" i="13"/>
  <c r="R21" i="13"/>
  <c r="R22" i="13"/>
  <c r="R23" i="13"/>
  <c r="R24" i="13"/>
  <c r="R25" i="13"/>
  <c r="R26" i="13"/>
  <c r="R27" i="13"/>
  <c r="R28" i="13"/>
  <c r="R29" i="13"/>
  <c r="R30" i="13"/>
  <c r="R31" i="13"/>
  <c r="R32" i="13"/>
  <c r="R33" i="13"/>
  <c r="R34" i="13"/>
  <c r="R35" i="13"/>
  <c r="R36" i="13"/>
  <c r="R37" i="13"/>
  <c r="R38" i="13"/>
  <c r="R39" i="13"/>
  <c r="R40" i="13"/>
  <c r="R41" i="13"/>
  <c r="R42" i="13"/>
  <c r="R43" i="13"/>
  <c r="R44" i="13"/>
  <c r="R45" i="13"/>
  <c r="R46" i="13"/>
  <c r="R47" i="13"/>
  <c r="R48" i="13"/>
  <c r="R49" i="13"/>
  <c r="R50" i="13"/>
  <c r="R51" i="13"/>
  <c r="R52" i="13"/>
  <c r="R53" i="13"/>
  <c r="R54" i="13"/>
  <c r="R55" i="13"/>
  <c r="R56" i="13"/>
  <c r="R5" i="12"/>
  <c r="R6" i="12"/>
  <c r="R7" i="12"/>
  <c r="R8" i="12"/>
  <c r="R9" i="12"/>
  <c r="R10" i="12"/>
  <c r="R11" i="12"/>
  <c r="R12" i="12"/>
  <c r="R13" i="12"/>
  <c r="R14" i="12"/>
  <c r="R15" i="12"/>
  <c r="R16" i="12"/>
  <c r="R17" i="12"/>
  <c r="R18" i="12"/>
  <c r="R19" i="12"/>
  <c r="R20" i="12"/>
  <c r="R21" i="12"/>
  <c r="R22" i="12"/>
  <c r="R23" i="12"/>
  <c r="R24" i="12"/>
  <c r="R25" i="12"/>
  <c r="R26" i="12"/>
  <c r="R27" i="12"/>
  <c r="R28" i="12"/>
  <c r="R29" i="12"/>
  <c r="R30" i="12"/>
  <c r="R31" i="12"/>
  <c r="R32" i="12"/>
  <c r="R33" i="12"/>
  <c r="R34" i="12"/>
  <c r="R35" i="12"/>
  <c r="R36" i="12"/>
  <c r="R37" i="12"/>
  <c r="R38" i="12"/>
  <c r="R39" i="12"/>
  <c r="R40" i="12"/>
  <c r="R41" i="12"/>
  <c r="R42" i="12"/>
  <c r="R43" i="12"/>
  <c r="R44" i="12"/>
  <c r="R45" i="12"/>
  <c r="R46" i="12"/>
  <c r="R47" i="12"/>
  <c r="R48" i="12"/>
  <c r="R49" i="12"/>
  <c r="R50" i="12"/>
  <c r="R51" i="12"/>
  <c r="R52" i="12"/>
  <c r="R53" i="12"/>
  <c r="R54" i="12"/>
  <c r="R55" i="12"/>
  <c r="R56" i="12"/>
  <c r="R5" i="11"/>
  <c r="R6" i="11"/>
  <c r="R7" i="11"/>
  <c r="R8" i="11"/>
  <c r="R9" i="11"/>
  <c r="R10" i="11"/>
  <c r="R11" i="11"/>
  <c r="R12" i="11"/>
  <c r="R13" i="11"/>
  <c r="R14" i="11"/>
  <c r="R15" i="11"/>
  <c r="R16" i="11"/>
  <c r="R17" i="11"/>
  <c r="R18" i="11"/>
  <c r="R19" i="11"/>
  <c r="R20" i="11"/>
  <c r="R21" i="11"/>
  <c r="R22" i="11"/>
  <c r="R23" i="11"/>
  <c r="R24" i="11"/>
  <c r="R25" i="11"/>
  <c r="R26" i="11"/>
  <c r="R27" i="11"/>
  <c r="R28" i="11"/>
  <c r="R29" i="11"/>
  <c r="R30" i="11"/>
  <c r="R31" i="11"/>
  <c r="R32" i="11"/>
  <c r="R33" i="11"/>
  <c r="R34" i="11"/>
  <c r="R35" i="11"/>
  <c r="R36" i="11"/>
  <c r="R37" i="11"/>
  <c r="R38" i="11"/>
  <c r="R39" i="11"/>
  <c r="R40" i="11"/>
  <c r="R41" i="11"/>
  <c r="R42" i="11"/>
  <c r="R43" i="11"/>
  <c r="R44" i="11"/>
  <c r="R45" i="11"/>
  <c r="R46" i="11"/>
  <c r="R47" i="11"/>
  <c r="R48" i="11"/>
  <c r="R49" i="11"/>
  <c r="R50" i="11"/>
  <c r="R51" i="11"/>
  <c r="R52" i="11"/>
  <c r="R53" i="11"/>
  <c r="R54" i="11"/>
  <c r="R55" i="11"/>
  <c r="R56" i="11"/>
  <c r="R5" i="10"/>
  <c r="R6" i="10"/>
  <c r="R7" i="10"/>
  <c r="R8" i="10"/>
  <c r="R9" i="10"/>
  <c r="R10" i="10"/>
  <c r="R11" i="10"/>
  <c r="R12" i="10"/>
  <c r="R13" i="10"/>
  <c r="R14" i="10"/>
  <c r="R15" i="10"/>
  <c r="R16" i="10"/>
  <c r="R17" i="10"/>
  <c r="R18" i="10"/>
  <c r="R19" i="10"/>
  <c r="R20" i="10"/>
  <c r="R21" i="10"/>
  <c r="R22" i="10"/>
  <c r="R23" i="10"/>
  <c r="R24" i="10"/>
  <c r="R25" i="10"/>
  <c r="R26" i="10"/>
  <c r="R27" i="10"/>
  <c r="R28" i="10"/>
  <c r="R29" i="10"/>
  <c r="R30" i="10"/>
  <c r="R31" i="10"/>
  <c r="R32" i="10"/>
  <c r="R33" i="10"/>
  <c r="R34" i="10"/>
  <c r="R35" i="10"/>
  <c r="R36" i="10"/>
  <c r="R37" i="10"/>
  <c r="R38" i="10"/>
  <c r="R39" i="10"/>
  <c r="R40" i="10"/>
  <c r="R41" i="10"/>
  <c r="R42" i="10"/>
  <c r="R43" i="10"/>
  <c r="R44" i="10"/>
  <c r="R45" i="10"/>
  <c r="R46" i="10"/>
  <c r="R47" i="10"/>
  <c r="R48" i="10"/>
  <c r="R49" i="10"/>
  <c r="R50" i="10"/>
  <c r="R51" i="10"/>
  <c r="R52" i="10"/>
  <c r="R53" i="10"/>
  <c r="R54" i="10"/>
  <c r="R55" i="10"/>
  <c r="R56" i="10"/>
  <c r="R5" i="9"/>
  <c r="R6" i="9"/>
  <c r="R7" i="9"/>
  <c r="R8" i="9"/>
  <c r="R9" i="9"/>
  <c r="R10" i="9"/>
  <c r="R11" i="9"/>
  <c r="R12" i="9"/>
  <c r="R13" i="9"/>
  <c r="R14" i="9"/>
  <c r="R15" i="9"/>
  <c r="R16" i="9"/>
  <c r="R17" i="9"/>
  <c r="R18" i="9"/>
  <c r="R19" i="9"/>
  <c r="R20" i="9"/>
  <c r="R21" i="9"/>
  <c r="R22" i="9"/>
  <c r="R23" i="9"/>
  <c r="R24" i="9"/>
  <c r="R25" i="9"/>
  <c r="R26" i="9"/>
  <c r="R27" i="9"/>
  <c r="R28" i="9"/>
  <c r="R29" i="9"/>
  <c r="R30" i="9"/>
  <c r="R31" i="9"/>
  <c r="R32" i="9"/>
  <c r="R33" i="9"/>
  <c r="R34" i="9"/>
  <c r="R35" i="9"/>
  <c r="R36" i="9"/>
  <c r="R37" i="9"/>
  <c r="R38" i="9"/>
  <c r="R39" i="9"/>
  <c r="R40" i="9"/>
  <c r="R41" i="9"/>
  <c r="R42" i="9"/>
  <c r="R43" i="9"/>
  <c r="R44" i="9"/>
  <c r="R45" i="9"/>
  <c r="R46" i="9"/>
  <c r="R47" i="9"/>
  <c r="R48" i="9"/>
  <c r="R49" i="9"/>
  <c r="R50" i="9"/>
  <c r="R51" i="9"/>
  <c r="R52" i="9"/>
  <c r="R53" i="9"/>
  <c r="R54" i="9"/>
  <c r="R55" i="9"/>
  <c r="R56" i="9"/>
  <c r="R5" i="8"/>
  <c r="R6" i="8"/>
  <c r="R7" i="8"/>
  <c r="R8" i="8"/>
  <c r="R9" i="8"/>
  <c r="R10" i="8"/>
  <c r="R11" i="8"/>
  <c r="R12" i="8"/>
  <c r="R13" i="8"/>
  <c r="R14" i="8"/>
  <c r="R15" i="8"/>
  <c r="R16" i="8"/>
  <c r="R17" i="8"/>
  <c r="R18" i="8"/>
  <c r="R19" i="8"/>
  <c r="R20" i="8"/>
  <c r="R21" i="8"/>
  <c r="R22" i="8"/>
  <c r="R23" i="8"/>
  <c r="R24" i="8"/>
  <c r="R25" i="8"/>
  <c r="R26" i="8"/>
  <c r="R27" i="8"/>
  <c r="R28" i="8"/>
  <c r="R29" i="8"/>
  <c r="R30" i="8"/>
  <c r="R31" i="8"/>
  <c r="R32" i="8"/>
  <c r="R33" i="8"/>
  <c r="R34" i="8"/>
  <c r="R35" i="8"/>
  <c r="R36" i="8"/>
  <c r="R37" i="8"/>
  <c r="R38" i="8"/>
  <c r="R39" i="8"/>
  <c r="R40" i="8"/>
  <c r="R41" i="8"/>
  <c r="R42" i="8"/>
  <c r="R43" i="8"/>
  <c r="R44" i="8"/>
  <c r="R45" i="8"/>
  <c r="R46" i="8"/>
  <c r="R47" i="8"/>
  <c r="R48" i="8"/>
  <c r="R49" i="8"/>
  <c r="R50" i="8"/>
  <c r="R51" i="8"/>
  <c r="R52" i="8"/>
  <c r="R53" i="8"/>
  <c r="R54" i="8"/>
  <c r="R55" i="8"/>
  <c r="R56" i="8"/>
  <c r="R5" i="7"/>
  <c r="R6" i="7"/>
  <c r="R7" i="7"/>
  <c r="R8" i="7"/>
  <c r="R9" i="7"/>
  <c r="R10" i="7"/>
  <c r="R11" i="7"/>
  <c r="R12" i="7"/>
  <c r="R13" i="7"/>
  <c r="R14" i="7"/>
  <c r="R15" i="7"/>
  <c r="R16" i="7"/>
  <c r="R17" i="7"/>
  <c r="R18" i="7"/>
  <c r="R19" i="7"/>
  <c r="R20" i="7"/>
  <c r="R21" i="7"/>
  <c r="R22" i="7"/>
  <c r="R23" i="7"/>
  <c r="R24" i="7"/>
  <c r="R25" i="7"/>
  <c r="R26" i="7"/>
  <c r="R27" i="7"/>
  <c r="R28" i="7"/>
  <c r="R29" i="7"/>
  <c r="R30" i="7"/>
  <c r="R31" i="7"/>
  <c r="R32" i="7"/>
  <c r="R33" i="7"/>
  <c r="R34" i="7"/>
  <c r="R35" i="7"/>
  <c r="R36" i="7"/>
  <c r="R37" i="7"/>
  <c r="R38" i="7"/>
  <c r="R39" i="7"/>
  <c r="R40" i="7"/>
  <c r="R41" i="7"/>
  <c r="R42" i="7"/>
  <c r="R43" i="7"/>
  <c r="R44" i="7"/>
  <c r="R45" i="7"/>
  <c r="R46" i="7"/>
  <c r="R47" i="7"/>
  <c r="R48" i="7"/>
  <c r="R49" i="7"/>
  <c r="R50" i="7"/>
  <c r="R51" i="7"/>
  <c r="R52" i="7"/>
  <c r="R53" i="7"/>
  <c r="R54" i="7"/>
  <c r="R55" i="7"/>
  <c r="R56" i="7"/>
  <c r="R5" i="6"/>
  <c r="R6" i="6"/>
  <c r="R7" i="6"/>
  <c r="R8" i="6"/>
  <c r="R9" i="6"/>
  <c r="R10" i="6"/>
  <c r="R11" i="6"/>
  <c r="R12" i="6"/>
  <c r="R13" i="6"/>
  <c r="R14" i="6"/>
  <c r="R15" i="6"/>
  <c r="R16" i="6"/>
  <c r="R17" i="6"/>
  <c r="R18" i="6"/>
  <c r="R19" i="6"/>
  <c r="R20" i="6"/>
  <c r="R21" i="6"/>
  <c r="R22" i="6"/>
  <c r="R23" i="6"/>
  <c r="R24" i="6"/>
  <c r="R25" i="6"/>
  <c r="R26" i="6"/>
  <c r="R27" i="6"/>
  <c r="R28" i="6"/>
  <c r="R29" i="6"/>
  <c r="R30" i="6"/>
  <c r="R31" i="6"/>
  <c r="R32" i="6"/>
  <c r="R33" i="6"/>
  <c r="R34" i="6"/>
  <c r="R35" i="6"/>
  <c r="R36" i="6"/>
  <c r="R37" i="6"/>
  <c r="R38" i="6"/>
  <c r="R39" i="6"/>
  <c r="R40" i="6"/>
  <c r="R41" i="6"/>
  <c r="R42" i="6"/>
  <c r="R43" i="6"/>
  <c r="R44" i="6"/>
  <c r="R45" i="6"/>
  <c r="R46" i="6"/>
  <c r="R47" i="6"/>
  <c r="R48" i="6"/>
  <c r="R49" i="6"/>
  <c r="R50" i="6"/>
  <c r="R51" i="6"/>
  <c r="R52" i="6"/>
  <c r="R53" i="6"/>
  <c r="R54" i="6"/>
  <c r="R55" i="6"/>
  <c r="R56" i="6"/>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M5" i="26"/>
  <c r="M6" i="26"/>
  <c r="M7" i="26"/>
  <c r="M8" i="26"/>
  <c r="M9" i="26"/>
  <c r="M10" i="26"/>
  <c r="M11" i="26"/>
  <c r="M12" i="26"/>
  <c r="M13" i="26"/>
  <c r="M14" i="26"/>
  <c r="M15" i="26"/>
  <c r="M16" i="26"/>
  <c r="M17" i="26"/>
  <c r="M18" i="26"/>
  <c r="M19" i="26"/>
  <c r="M20" i="26"/>
  <c r="M21" i="26"/>
  <c r="M22" i="26"/>
  <c r="M23" i="26"/>
  <c r="M24" i="26"/>
  <c r="M25" i="26"/>
  <c r="M26" i="26"/>
  <c r="M27" i="26"/>
  <c r="M28" i="26"/>
  <c r="M29" i="26"/>
  <c r="M30" i="26"/>
  <c r="M31" i="26"/>
  <c r="M32" i="26"/>
  <c r="M33" i="26"/>
  <c r="M34" i="26"/>
  <c r="M35" i="26"/>
  <c r="M36" i="26"/>
  <c r="M37" i="26"/>
  <c r="M38" i="26"/>
  <c r="M39" i="26"/>
  <c r="M40" i="26"/>
  <c r="M41" i="26"/>
  <c r="M42" i="26"/>
  <c r="M43" i="26"/>
  <c r="M44" i="26"/>
  <c r="M45" i="26"/>
  <c r="M46" i="26"/>
  <c r="M47" i="26"/>
  <c r="M48" i="26"/>
  <c r="M49" i="26"/>
  <c r="M50" i="26"/>
  <c r="M51" i="26"/>
  <c r="M52" i="26"/>
  <c r="M53" i="26"/>
  <c r="M54" i="26"/>
  <c r="M55" i="26"/>
  <c r="M56" i="26"/>
  <c r="M5" i="25"/>
  <c r="M6" i="25"/>
  <c r="M7" i="25"/>
  <c r="M8" i="25"/>
  <c r="M9" i="25"/>
  <c r="M10" i="25"/>
  <c r="M11" i="25"/>
  <c r="M12" i="25"/>
  <c r="M13" i="25"/>
  <c r="M14" i="25"/>
  <c r="M15" i="25"/>
  <c r="M16" i="25"/>
  <c r="M17" i="25"/>
  <c r="M18" i="25"/>
  <c r="M19" i="25"/>
  <c r="M20" i="25"/>
  <c r="M21" i="25"/>
  <c r="M22" i="25"/>
  <c r="M23" i="25"/>
  <c r="M24" i="25"/>
  <c r="M25" i="25"/>
  <c r="M26" i="25"/>
  <c r="M27" i="25"/>
  <c r="M28" i="25"/>
  <c r="M29" i="25"/>
  <c r="M30" i="25"/>
  <c r="M31" i="25"/>
  <c r="M32" i="25"/>
  <c r="M33" i="25"/>
  <c r="M34" i="25"/>
  <c r="M35" i="25"/>
  <c r="M36" i="25"/>
  <c r="M37" i="25"/>
  <c r="M38" i="25"/>
  <c r="M39" i="25"/>
  <c r="M40" i="25"/>
  <c r="M41" i="25"/>
  <c r="M42" i="25"/>
  <c r="M43" i="25"/>
  <c r="M44" i="25"/>
  <c r="M45" i="25"/>
  <c r="M46" i="25"/>
  <c r="M47" i="25"/>
  <c r="M48" i="25"/>
  <c r="M49" i="25"/>
  <c r="M50" i="25"/>
  <c r="M51" i="25"/>
  <c r="M52" i="25"/>
  <c r="M53" i="25"/>
  <c r="M54" i="25"/>
  <c r="M55" i="25"/>
  <c r="M56" i="25"/>
  <c r="M5" i="24"/>
  <c r="M6" i="24"/>
  <c r="M7" i="24"/>
  <c r="M8" i="24"/>
  <c r="M9" i="24"/>
  <c r="M10" i="24"/>
  <c r="M11" i="24"/>
  <c r="M12" i="24"/>
  <c r="M13" i="24"/>
  <c r="M14" i="24"/>
  <c r="M15" i="24"/>
  <c r="M16" i="24"/>
  <c r="M17" i="24"/>
  <c r="M18" i="24"/>
  <c r="M19" i="24"/>
  <c r="M20" i="24"/>
  <c r="M21" i="24"/>
  <c r="M22" i="24"/>
  <c r="M23" i="24"/>
  <c r="M24" i="24"/>
  <c r="M25" i="24"/>
  <c r="M26" i="24"/>
  <c r="M27" i="24"/>
  <c r="M28" i="24"/>
  <c r="M29" i="24"/>
  <c r="M30" i="24"/>
  <c r="M31" i="24"/>
  <c r="M32" i="24"/>
  <c r="M33" i="24"/>
  <c r="M34" i="24"/>
  <c r="M35" i="24"/>
  <c r="M36" i="24"/>
  <c r="M37" i="24"/>
  <c r="M38" i="24"/>
  <c r="M39" i="24"/>
  <c r="M40" i="24"/>
  <c r="M41" i="24"/>
  <c r="M42" i="24"/>
  <c r="M43" i="24"/>
  <c r="M44" i="24"/>
  <c r="M45" i="24"/>
  <c r="M46" i="24"/>
  <c r="M47" i="24"/>
  <c r="M48" i="24"/>
  <c r="M49" i="24"/>
  <c r="M50" i="24"/>
  <c r="M51" i="24"/>
  <c r="M52" i="24"/>
  <c r="M53" i="24"/>
  <c r="M54" i="24"/>
  <c r="M55" i="24"/>
  <c r="M56" i="24"/>
  <c r="M5" i="23"/>
  <c r="M6" i="23"/>
  <c r="M7" i="23"/>
  <c r="M8" i="23"/>
  <c r="M9" i="23"/>
  <c r="M10" i="23"/>
  <c r="M11" i="23"/>
  <c r="M12" i="23"/>
  <c r="M13" i="23"/>
  <c r="M14" i="23"/>
  <c r="M15" i="23"/>
  <c r="M16" i="23"/>
  <c r="M17" i="23"/>
  <c r="M18" i="23"/>
  <c r="M19" i="23"/>
  <c r="M20" i="23"/>
  <c r="M21" i="23"/>
  <c r="M22" i="23"/>
  <c r="M23" i="23"/>
  <c r="M24" i="23"/>
  <c r="M25" i="23"/>
  <c r="M26" i="23"/>
  <c r="M27" i="23"/>
  <c r="M28" i="23"/>
  <c r="M29" i="23"/>
  <c r="M30" i="23"/>
  <c r="M31" i="23"/>
  <c r="M32" i="23"/>
  <c r="M33" i="23"/>
  <c r="M34" i="23"/>
  <c r="M35" i="23"/>
  <c r="M36" i="23"/>
  <c r="M37" i="23"/>
  <c r="M38" i="23"/>
  <c r="M39" i="23"/>
  <c r="M40" i="23"/>
  <c r="M41" i="23"/>
  <c r="M42" i="23"/>
  <c r="M43" i="23"/>
  <c r="M44" i="23"/>
  <c r="M45" i="23"/>
  <c r="M46" i="23"/>
  <c r="M47" i="23"/>
  <c r="M48" i="23"/>
  <c r="M49" i="23"/>
  <c r="M50" i="23"/>
  <c r="M51" i="23"/>
  <c r="M52" i="23"/>
  <c r="M53" i="23"/>
  <c r="M54" i="23"/>
  <c r="M55" i="23"/>
  <c r="M56" i="23"/>
  <c r="M5" i="22"/>
  <c r="M6" i="22"/>
  <c r="M7" i="22"/>
  <c r="M8" i="22"/>
  <c r="M9" i="22"/>
  <c r="M10" i="22"/>
  <c r="M11" i="22"/>
  <c r="M12" i="22"/>
  <c r="M13" i="22"/>
  <c r="M14" i="22"/>
  <c r="M15" i="22"/>
  <c r="M16" i="22"/>
  <c r="M17" i="22"/>
  <c r="M18" i="22"/>
  <c r="M19" i="22"/>
  <c r="M20" i="22"/>
  <c r="M21" i="22"/>
  <c r="M22" i="22"/>
  <c r="M23" i="22"/>
  <c r="M24" i="22"/>
  <c r="M25" i="22"/>
  <c r="M26" i="22"/>
  <c r="M27" i="22"/>
  <c r="M28" i="22"/>
  <c r="M29" i="22"/>
  <c r="M30" i="22"/>
  <c r="M31" i="22"/>
  <c r="M32" i="22"/>
  <c r="M33" i="22"/>
  <c r="M34" i="22"/>
  <c r="M35" i="22"/>
  <c r="M36" i="22"/>
  <c r="M37" i="22"/>
  <c r="M38" i="22"/>
  <c r="M39" i="22"/>
  <c r="M40" i="22"/>
  <c r="M41" i="22"/>
  <c r="M42" i="22"/>
  <c r="M43" i="22"/>
  <c r="M44" i="22"/>
  <c r="M45" i="22"/>
  <c r="M46" i="22"/>
  <c r="M47" i="22"/>
  <c r="M48" i="22"/>
  <c r="M49" i="22"/>
  <c r="M50" i="22"/>
  <c r="M51" i="22"/>
  <c r="M52" i="22"/>
  <c r="M53" i="22"/>
  <c r="M54" i="22"/>
  <c r="M55" i="22"/>
  <c r="M56" i="22"/>
  <c r="M5" i="21"/>
  <c r="M6" i="21"/>
  <c r="M7" i="21"/>
  <c r="M8" i="21"/>
  <c r="M9" i="21"/>
  <c r="M10" i="21"/>
  <c r="M11" i="21"/>
  <c r="M12" i="21"/>
  <c r="M13" i="21"/>
  <c r="M14" i="21"/>
  <c r="M15" i="21"/>
  <c r="M16" i="21"/>
  <c r="M17" i="21"/>
  <c r="M18" i="21"/>
  <c r="M19" i="21"/>
  <c r="M20" i="21"/>
  <c r="M21" i="21"/>
  <c r="M22" i="21"/>
  <c r="M23" i="21"/>
  <c r="M24" i="21"/>
  <c r="M25" i="21"/>
  <c r="M26" i="21"/>
  <c r="M27" i="21"/>
  <c r="M28" i="21"/>
  <c r="M29" i="21"/>
  <c r="M30" i="21"/>
  <c r="M31" i="21"/>
  <c r="M32" i="21"/>
  <c r="M33" i="21"/>
  <c r="M34" i="21"/>
  <c r="M35" i="21"/>
  <c r="M36" i="21"/>
  <c r="M37" i="21"/>
  <c r="M38" i="21"/>
  <c r="M39" i="21"/>
  <c r="M40" i="21"/>
  <c r="M41" i="21"/>
  <c r="M42" i="21"/>
  <c r="M43" i="21"/>
  <c r="M44" i="21"/>
  <c r="M45" i="21"/>
  <c r="M46" i="21"/>
  <c r="M47" i="21"/>
  <c r="M48" i="21"/>
  <c r="M49" i="21"/>
  <c r="M50" i="21"/>
  <c r="M51" i="21"/>
  <c r="M52" i="21"/>
  <c r="M53" i="21"/>
  <c r="M54" i="21"/>
  <c r="M55" i="21"/>
  <c r="M56" i="21"/>
  <c r="M5" i="13"/>
  <c r="M6" i="13"/>
  <c r="M7" i="13"/>
  <c r="M8" i="13"/>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42" i="13"/>
  <c r="M43" i="13"/>
  <c r="M44" i="13"/>
  <c r="M45" i="13"/>
  <c r="M46" i="13"/>
  <c r="M47" i="13"/>
  <c r="M48" i="13"/>
  <c r="M49" i="13"/>
  <c r="M50" i="13"/>
  <c r="M51" i="13"/>
  <c r="M52" i="13"/>
  <c r="M53" i="13"/>
  <c r="M54" i="13"/>
  <c r="M55" i="13"/>
  <c r="M56" i="13"/>
  <c r="M5" i="12"/>
  <c r="M6" i="12"/>
  <c r="M7" i="12"/>
  <c r="M8" i="12"/>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42" i="12"/>
  <c r="M43" i="12"/>
  <c r="M44" i="12"/>
  <c r="M45" i="12"/>
  <c r="M46" i="12"/>
  <c r="M47" i="12"/>
  <c r="M48" i="12"/>
  <c r="M49" i="12"/>
  <c r="M50" i="12"/>
  <c r="M51" i="12"/>
  <c r="M52" i="12"/>
  <c r="M53" i="12"/>
  <c r="M54" i="12"/>
  <c r="M55" i="12"/>
  <c r="M56" i="12"/>
  <c r="M5" i="11"/>
  <c r="M6" i="11"/>
  <c r="M7" i="11"/>
  <c r="M8" i="11"/>
  <c r="M9" i="11"/>
  <c r="M10" i="11"/>
  <c r="M11" i="11"/>
  <c r="M12" i="11"/>
  <c r="M13" i="11"/>
  <c r="M14" i="11"/>
  <c r="M15" i="11"/>
  <c r="M16" i="11"/>
  <c r="M17" i="11"/>
  <c r="M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45" i="11"/>
  <c r="M46" i="11"/>
  <c r="M47" i="11"/>
  <c r="M48" i="11"/>
  <c r="M49" i="11"/>
  <c r="M50" i="11"/>
  <c r="M51" i="11"/>
  <c r="M52" i="11"/>
  <c r="M53" i="11"/>
  <c r="M54" i="11"/>
  <c r="M55" i="11"/>
  <c r="M56" i="11"/>
  <c r="M5" i="10"/>
  <c r="M6" i="10"/>
  <c r="M7" i="10"/>
  <c r="M8" i="10"/>
  <c r="M9" i="10"/>
  <c r="M10" i="10"/>
  <c r="M11" i="10"/>
  <c r="M12" i="10"/>
  <c r="M13" i="10"/>
  <c r="M14" i="10"/>
  <c r="M15" i="10"/>
  <c r="M16" i="10"/>
  <c r="M17" i="10"/>
  <c r="M18" i="10"/>
  <c r="M19" i="10"/>
  <c r="M20" i="10"/>
  <c r="M21" i="10"/>
  <c r="M22" i="10"/>
  <c r="M23" i="10"/>
  <c r="M24" i="10"/>
  <c r="M25" i="10"/>
  <c r="M26" i="10"/>
  <c r="M27" i="10"/>
  <c r="M28" i="10"/>
  <c r="M29" i="10"/>
  <c r="M30" i="10"/>
  <c r="M31" i="10"/>
  <c r="M32" i="10"/>
  <c r="M33" i="10"/>
  <c r="M34" i="10"/>
  <c r="M35" i="10"/>
  <c r="M36" i="10"/>
  <c r="M37" i="10"/>
  <c r="M38" i="10"/>
  <c r="M39" i="10"/>
  <c r="M40" i="10"/>
  <c r="M41" i="10"/>
  <c r="M42" i="10"/>
  <c r="M43" i="10"/>
  <c r="M44" i="10"/>
  <c r="M45" i="10"/>
  <c r="M46" i="10"/>
  <c r="M47" i="10"/>
  <c r="M48" i="10"/>
  <c r="M49" i="10"/>
  <c r="M50" i="10"/>
  <c r="M51" i="10"/>
  <c r="M52" i="10"/>
  <c r="M53" i="10"/>
  <c r="M54" i="10"/>
  <c r="M55" i="10"/>
  <c r="M56" i="10"/>
  <c r="M5" i="9"/>
  <c r="M6" i="9"/>
  <c r="M7" i="9"/>
  <c r="M8" i="9"/>
  <c r="M9" i="9"/>
  <c r="M10" i="9"/>
  <c r="M11" i="9"/>
  <c r="M12" i="9"/>
  <c r="M13" i="9"/>
  <c r="M14" i="9"/>
  <c r="M15" i="9"/>
  <c r="M16" i="9"/>
  <c r="M17" i="9"/>
  <c r="M18" i="9"/>
  <c r="M19" i="9"/>
  <c r="M20" i="9"/>
  <c r="M21" i="9"/>
  <c r="M22" i="9"/>
  <c r="M23" i="9"/>
  <c r="M24" i="9"/>
  <c r="M25" i="9"/>
  <c r="M26" i="9"/>
  <c r="M27" i="9"/>
  <c r="M28" i="9"/>
  <c r="M29" i="9"/>
  <c r="M30" i="9"/>
  <c r="M31" i="9"/>
  <c r="M32" i="9"/>
  <c r="M33" i="9"/>
  <c r="M34" i="9"/>
  <c r="M35" i="9"/>
  <c r="M36" i="9"/>
  <c r="M37" i="9"/>
  <c r="M38" i="9"/>
  <c r="M39" i="9"/>
  <c r="M40" i="9"/>
  <c r="M41" i="9"/>
  <c r="M42" i="9"/>
  <c r="M43" i="9"/>
  <c r="M44" i="9"/>
  <c r="M45" i="9"/>
  <c r="M46" i="9"/>
  <c r="M47" i="9"/>
  <c r="M48" i="9"/>
  <c r="M49" i="9"/>
  <c r="M50" i="9"/>
  <c r="M51" i="9"/>
  <c r="M52" i="9"/>
  <c r="M53" i="9"/>
  <c r="M54" i="9"/>
  <c r="M55" i="9"/>
  <c r="M56" i="9"/>
  <c r="M5" i="7"/>
  <c r="M6" i="7"/>
  <c r="M7" i="7"/>
  <c r="M8" i="7"/>
  <c r="M9" i="7"/>
  <c r="M10" i="7"/>
  <c r="M11" i="7"/>
  <c r="M12" i="7"/>
  <c r="M13" i="7"/>
  <c r="M14" i="7"/>
  <c r="M15" i="7"/>
  <c r="M16" i="7"/>
  <c r="M17" i="7"/>
  <c r="M18" i="7"/>
  <c r="M19" i="7"/>
  <c r="M20" i="7"/>
  <c r="M21" i="7"/>
  <c r="M22" i="7"/>
  <c r="M23" i="7"/>
  <c r="M24" i="7"/>
  <c r="M25" i="7"/>
  <c r="M26" i="7"/>
  <c r="M27" i="7"/>
  <c r="M28" i="7"/>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M5" i="6"/>
  <c r="M6" i="6"/>
  <c r="M7" i="6"/>
  <c r="M8" i="6"/>
  <c r="M9" i="6"/>
  <c r="M10" i="6"/>
  <c r="M11" i="6"/>
  <c r="M12" i="6"/>
  <c r="M13" i="6"/>
  <c r="M14" i="6"/>
  <c r="M15" i="6"/>
  <c r="M16" i="6"/>
  <c r="M17" i="6"/>
  <c r="M18" i="6"/>
  <c r="M19" i="6"/>
  <c r="M20" i="6"/>
  <c r="M21" i="6"/>
  <c r="M22" i="6"/>
  <c r="M23" i="6"/>
  <c r="M24" i="6"/>
  <c r="M25" i="6"/>
  <c r="M26" i="6"/>
  <c r="M27" i="6"/>
  <c r="M28" i="6"/>
  <c r="M29" i="6"/>
  <c r="M30" i="6"/>
  <c r="M31" i="6"/>
  <c r="M32" i="6"/>
  <c r="M33" i="6"/>
  <c r="M34" i="6"/>
  <c r="M35" i="6"/>
  <c r="M36" i="6"/>
  <c r="M37" i="6"/>
  <c r="M38" i="6"/>
  <c r="M39" i="6"/>
  <c r="M40" i="6"/>
  <c r="M41" i="6"/>
  <c r="M42" i="6"/>
  <c r="M43" i="6"/>
  <c r="M44" i="6"/>
  <c r="M45" i="6"/>
  <c r="M46" i="6"/>
  <c r="M47" i="6"/>
  <c r="M48" i="6"/>
  <c r="M49" i="6"/>
  <c r="M50" i="6"/>
  <c r="M51" i="6"/>
  <c r="M52" i="6"/>
  <c r="M53" i="6"/>
  <c r="M54" i="6"/>
  <c r="M55" i="6"/>
  <c r="M56" i="6"/>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4" i="1"/>
  <c r="R4" i="1" l="1"/>
  <c r="AL56" i="26"/>
  <c r="AL55" i="26"/>
  <c r="AL54" i="26"/>
  <c r="AL53" i="26"/>
  <c r="AL52" i="26"/>
  <c r="AL51" i="26"/>
  <c r="AL50" i="26"/>
  <c r="AL56" i="25"/>
  <c r="AL55" i="25"/>
  <c r="AL54" i="25"/>
  <c r="AL53" i="25"/>
  <c r="AL52" i="25"/>
  <c r="AL51" i="25"/>
  <c r="AL50" i="25"/>
  <c r="AL56" i="24"/>
  <c r="AL55" i="24"/>
  <c r="AL54" i="24"/>
  <c r="AL53" i="24"/>
  <c r="AL52" i="24"/>
  <c r="AL51" i="24"/>
  <c r="AL50" i="24"/>
  <c r="AL56" i="23"/>
  <c r="AL55" i="23"/>
  <c r="AL54" i="23"/>
  <c r="AL53" i="23"/>
  <c r="AL52" i="23"/>
  <c r="AL51" i="23"/>
  <c r="AL50" i="23"/>
  <c r="AL56" i="22"/>
  <c r="AL55" i="22"/>
  <c r="AL54" i="22"/>
  <c r="AL53" i="22"/>
  <c r="AL52" i="22"/>
  <c r="AL51" i="22"/>
  <c r="AL50" i="22"/>
  <c r="AL56" i="21"/>
  <c r="AL55" i="21"/>
  <c r="AL54" i="21"/>
  <c r="AL53" i="21"/>
  <c r="AL52" i="21"/>
  <c r="AL51" i="21"/>
  <c r="AL50" i="21"/>
  <c r="R56" i="20"/>
  <c r="R55" i="20"/>
  <c r="R54" i="20"/>
  <c r="R53" i="20"/>
  <c r="R52" i="20"/>
  <c r="R51" i="20"/>
  <c r="R50" i="20"/>
  <c r="M56" i="20"/>
  <c r="M55" i="20"/>
  <c r="M54" i="20"/>
  <c r="M53" i="20"/>
  <c r="M52" i="20"/>
  <c r="M51" i="20"/>
  <c r="M50" i="20"/>
  <c r="R56" i="19"/>
  <c r="R55" i="19"/>
  <c r="R54" i="19"/>
  <c r="R53" i="19"/>
  <c r="R52" i="19"/>
  <c r="R51" i="19"/>
  <c r="R50" i="19"/>
  <c r="M56" i="19"/>
  <c r="M55" i="19"/>
  <c r="M54" i="19"/>
  <c r="M53" i="19"/>
  <c r="M52" i="19"/>
  <c r="M51" i="19"/>
  <c r="M50" i="19"/>
  <c r="R56" i="18"/>
  <c r="R55" i="18"/>
  <c r="R54" i="18"/>
  <c r="R53" i="18"/>
  <c r="R52" i="18"/>
  <c r="R51" i="18"/>
  <c r="R50" i="18"/>
  <c r="M56" i="18"/>
  <c r="M55" i="18"/>
  <c r="M54" i="18"/>
  <c r="M53" i="18"/>
  <c r="M52" i="18"/>
  <c r="M51" i="18"/>
  <c r="M50" i="18"/>
  <c r="R56" i="17"/>
  <c r="R55" i="17"/>
  <c r="R54" i="17"/>
  <c r="R53" i="17"/>
  <c r="R52" i="17"/>
  <c r="R51" i="17"/>
  <c r="R50" i="17"/>
  <c r="M56" i="17"/>
  <c r="M55" i="17"/>
  <c r="M54" i="17"/>
  <c r="M53" i="17"/>
  <c r="M52" i="17"/>
  <c r="M51" i="17"/>
  <c r="M50" i="17"/>
  <c r="R56" i="16"/>
  <c r="R55" i="16"/>
  <c r="R54" i="16"/>
  <c r="R53" i="16"/>
  <c r="R52" i="16"/>
  <c r="R51" i="16"/>
  <c r="R50" i="16"/>
  <c r="M56" i="16"/>
  <c r="M55" i="16"/>
  <c r="M54" i="16"/>
  <c r="M53" i="16"/>
  <c r="M52" i="16"/>
  <c r="M51" i="16"/>
  <c r="M50" i="16"/>
  <c r="AQ53" i="15"/>
  <c r="AQ52" i="15"/>
  <c r="AQ51" i="15"/>
  <c r="AQ50" i="15"/>
  <c r="AL53" i="15"/>
  <c r="AL52" i="15"/>
  <c r="AL51" i="15"/>
  <c r="AL50" i="15"/>
  <c r="R56" i="15"/>
  <c r="R55" i="15"/>
  <c r="R54" i="15"/>
  <c r="R53" i="15"/>
  <c r="R52" i="15"/>
  <c r="R51" i="15"/>
  <c r="R50" i="15"/>
  <c r="M56" i="15"/>
  <c r="M55" i="15"/>
  <c r="M54" i="15"/>
  <c r="M53" i="15"/>
  <c r="M52" i="15"/>
  <c r="M51" i="15"/>
  <c r="M50" i="15"/>
  <c r="M56" i="14"/>
  <c r="M55" i="14"/>
  <c r="M54" i="14"/>
  <c r="M53" i="14"/>
  <c r="M52" i="14"/>
  <c r="M51" i="14"/>
  <c r="M50" i="14"/>
  <c r="AQ56" i="13"/>
  <c r="AQ55" i="13"/>
  <c r="AQ54" i="13"/>
  <c r="AQ53" i="13"/>
  <c r="AQ52" i="13"/>
  <c r="AQ51" i="13"/>
  <c r="AQ50" i="13"/>
  <c r="AQ56" i="12"/>
  <c r="AQ55" i="12"/>
  <c r="AQ54" i="12"/>
  <c r="AQ53" i="12"/>
  <c r="AQ52" i="12"/>
  <c r="AQ51" i="12"/>
  <c r="AQ50" i="12"/>
  <c r="AQ56" i="11"/>
  <c r="AQ55" i="11"/>
  <c r="AQ54" i="11"/>
  <c r="AQ53" i="11"/>
  <c r="AQ52" i="11"/>
  <c r="AQ51" i="11"/>
  <c r="AQ50" i="11"/>
  <c r="AQ56" i="10"/>
  <c r="AQ55" i="10"/>
  <c r="AQ54" i="10"/>
  <c r="AQ53" i="10"/>
  <c r="AQ52" i="10"/>
  <c r="AQ51" i="10"/>
  <c r="AQ50" i="10"/>
  <c r="AQ56" i="9"/>
  <c r="AQ55" i="9"/>
  <c r="AQ54" i="9"/>
  <c r="AQ53" i="9"/>
  <c r="AQ52" i="9"/>
  <c r="AQ51" i="9"/>
  <c r="AQ50" i="9"/>
  <c r="AQ56" i="8"/>
  <c r="AQ55" i="8"/>
  <c r="AQ54" i="8"/>
  <c r="AQ53" i="8"/>
  <c r="AQ52" i="8"/>
  <c r="AQ51" i="8"/>
  <c r="AQ50" i="8"/>
  <c r="AQ56" i="7"/>
  <c r="AQ55" i="7"/>
  <c r="AQ54" i="7"/>
  <c r="AQ53" i="7"/>
  <c r="AQ52" i="7"/>
  <c r="AQ51" i="7"/>
  <c r="AQ50" i="7"/>
  <c r="AQ56" i="6"/>
  <c r="AQ55" i="6"/>
  <c r="AQ54" i="6"/>
  <c r="AQ53" i="6"/>
  <c r="AQ52" i="6"/>
  <c r="AQ51" i="6"/>
  <c r="AQ50" i="6"/>
  <c r="AQ56" i="1"/>
  <c r="AQ55" i="1"/>
  <c r="AQ54" i="1"/>
  <c r="AQ53" i="1"/>
  <c r="AQ52" i="1"/>
  <c r="AQ51" i="1"/>
  <c r="AQ50" i="1"/>
  <c r="AL49" i="26" l="1"/>
  <c r="AL48" i="26"/>
  <c r="AL47" i="26"/>
  <c r="AL46" i="26"/>
  <c r="AL45" i="26"/>
  <c r="AL44" i="26"/>
  <c r="AL43" i="26"/>
  <c r="AL42" i="26"/>
  <c r="AL41" i="26"/>
  <c r="AL49" i="25"/>
  <c r="AL48" i="25"/>
  <c r="AL47" i="25"/>
  <c r="AL46" i="25"/>
  <c r="AL45" i="25"/>
  <c r="AL44" i="25"/>
  <c r="AL43" i="25"/>
  <c r="AL42" i="25"/>
  <c r="AL41" i="25"/>
  <c r="AL49" i="24"/>
  <c r="AL48" i="24"/>
  <c r="AL47" i="24"/>
  <c r="AL46" i="24"/>
  <c r="AL45" i="24"/>
  <c r="AL44" i="24"/>
  <c r="AL43" i="24"/>
  <c r="AL42" i="24"/>
  <c r="AL41" i="24"/>
  <c r="AL49" i="23"/>
  <c r="AL48" i="23"/>
  <c r="AL47" i="23"/>
  <c r="AL46" i="23"/>
  <c r="AL45" i="23"/>
  <c r="AL44" i="23"/>
  <c r="AL43" i="23"/>
  <c r="AL42" i="23"/>
  <c r="AL41" i="23"/>
  <c r="AL49" i="22"/>
  <c r="AL48" i="22"/>
  <c r="AL47" i="22"/>
  <c r="AL46" i="22"/>
  <c r="AL45" i="22"/>
  <c r="AL44" i="22"/>
  <c r="AL43" i="22"/>
  <c r="AL42" i="22"/>
  <c r="AL41" i="22"/>
  <c r="AL49" i="21"/>
  <c r="AL48" i="21"/>
  <c r="AL47" i="21"/>
  <c r="AL46" i="21"/>
  <c r="AL45" i="21"/>
  <c r="AL44" i="21"/>
  <c r="AL43" i="21"/>
  <c r="AL42" i="21"/>
  <c r="AL41" i="21"/>
  <c r="R49" i="20"/>
  <c r="R48" i="20"/>
  <c r="R47" i="20"/>
  <c r="R46" i="20"/>
  <c r="R45" i="20"/>
  <c r="R44" i="20"/>
  <c r="R43" i="20"/>
  <c r="R42" i="20"/>
  <c r="R41" i="20"/>
  <c r="M49" i="20"/>
  <c r="M48" i="20"/>
  <c r="M47" i="20"/>
  <c r="M46" i="20"/>
  <c r="M45" i="20"/>
  <c r="M44" i="20"/>
  <c r="M43" i="20"/>
  <c r="M42" i="20"/>
  <c r="M41" i="20"/>
  <c r="R49" i="19"/>
  <c r="R48" i="19"/>
  <c r="R47" i="19"/>
  <c r="R46" i="19"/>
  <c r="R45" i="19"/>
  <c r="R44" i="19"/>
  <c r="R43" i="19"/>
  <c r="R42" i="19"/>
  <c r="R41" i="19"/>
  <c r="M49" i="19"/>
  <c r="M48" i="19"/>
  <c r="M47" i="19"/>
  <c r="M46" i="19"/>
  <c r="M45" i="19"/>
  <c r="M44" i="19"/>
  <c r="M43" i="19"/>
  <c r="M42" i="19"/>
  <c r="M41" i="19"/>
  <c r="R49" i="18"/>
  <c r="R48" i="18"/>
  <c r="R47" i="18"/>
  <c r="R46" i="18"/>
  <c r="R45" i="18"/>
  <c r="R44" i="18"/>
  <c r="R43" i="18"/>
  <c r="R42" i="18"/>
  <c r="R41" i="18"/>
  <c r="M49" i="18"/>
  <c r="M48" i="18"/>
  <c r="M47" i="18"/>
  <c r="M46" i="18"/>
  <c r="M45" i="18"/>
  <c r="M44" i="18"/>
  <c r="M43" i="18"/>
  <c r="M42" i="18"/>
  <c r="M41" i="18"/>
  <c r="R49" i="17"/>
  <c r="R48" i="17"/>
  <c r="R47" i="17"/>
  <c r="R46" i="17"/>
  <c r="R45" i="17"/>
  <c r="R44" i="17"/>
  <c r="R43" i="17"/>
  <c r="R42" i="17"/>
  <c r="R41" i="17"/>
  <c r="M49" i="17"/>
  <c r="M48" i="17"/>
  <c r="M47" i="17"/>
  <c r="M46" i="17"/>
  <c r="M45" i="17"/>
  <c r="M44" i="17"/>
  <c r="M43" i="17"/>
  <c r="M42" i="17"/>
  <c r="M41" i="17"/>
  <c r="R49" i="16"/>
  <c r="R48" i="16"/>
  <c r="R47" i="16"/>
  <c r="R46" i="16"/>
  <c r="R45" i="16"/>
  <c r="R44" i="16"/>
  <c r="R43" i="16"/>
  <c r="R42" i="16"/>
  <c r="R41" i="16"/>
  <c r="M49" i="16"/>
  <c r="M48" i="16"/>
  <c r="M47" i="16"/>
  <c r="M46" i="16"/>
  <c r="M45" i="16"/>
  <c r="M44" i="16"/>
  <c r="M43" i="16"/>
  <c r="M42" i="16"/>
  <c r="M41" i="16"/>
  <c r="AQ49" i="15"/>
  <c r="AQ48" i="15"/>
  <c r="AQ47" i="15"/>
  <c r="AQ46" i="15"/>
  <c r="AQ45" i="15"/>
  <c r="AQ44" i="15"/>
  <c r="AQ43" i="15"/>
  <c r="AQ42" i="15"/>
  <c r="AQ41" i="15"/>
  <c r="AL49" i="15"/>
  <c r="AL48" i="15"/>
  <c r="AL47" i="15"/>
  <c r="AL46" i="15"/>
  <c r="AL45" i="15"/>
  <c r="AL44" i="15"/>
  <c r="AL43" i="15"/>
  <c r="AL42" i="15"/>
  <c r="AL41" i="15"/>
  <c r="R49" i="15"/>
  <c r="R48" i="15"/>
  <c r="R47" i="15"/>
  <c r="R46" i="15"/>
  <c r="R45" i="15"/>
  <c r="R44" i="15"/>
  <c r="R43" i="15"/>
  <c r="R42" i="15"/>
  <c r="R41" i="15"/>
  <c r="M49" i="15"/>
  <c r="M48" i="15"/>
  <c r="M47" i="15"/>
  <c r="M46" i="15"/>
  <c r="M45" i="15"/>
  <c r="M44" i="15"/>
  <c r="M43" i="15"/>
  <c r="M42" i="15"/>
  <c r="M41" i="15"/>
  <c r="M49" i="14"/>
  <c r="M48" i="14"/>
  <c r="M47" i="14"/>
  <c r="M46" i="14"/>
  <c r="M45" i="14"/>
  <c r="M44" i="14"/>
  <c r="M43" i="14"/>
  <c r="M42" i="14"/>
  <c r="M41" i="14"/>
  <c r="AQ49" i="13"/>
  <c r="AQ48" i="13"/>
  <c r="AQ47" i="13"/>
  <c r="AQ46" i="13"/>
  <c r="AQ45" i="13"/>
  <c r="AQ44" i="13"/>
  <c r="AQ43" i="13"/>
  <c r="AQ42" i="13"/>
  <c r="AQ41" i="13"/>
  <c r="AQ49" i="12"/>
  <c r="AQ48" i="12"/>
  <c r="AQ47" i="12"/>
  <c r="AQ46" i="12"/>
  <c r="AQ45" i="12"/>
  <c r="AQ44" i="12"/>
  <c r="AQ43" i="12"/>
  <c r="AQ42" i="12"/>
  <c r="AQ41" i="12"/>
  <c r="AQ49" i="11"/>
  <c r="AQ48" i="11"/>
  <c r="AQ47" i="11"/>
  <c r="AQ46" i="11"/>
  <c r="AQ45" i="11"/>
  <c r="AQ44" i="11"/>
  <c r="AQ43" i="11"/>
  <c r="AQ42" i="11"/>
  <c r="AQ41" i="11"/>
  <c r="AQ49" i="10"/>
  <c r="AQ48" i="10"/>
  <c r="AQ47" i="10"/>
  <c r="AQ46" i="10"/>
  <c r="AQ45" i="10"/>
  <c r="AQ44" i="10"/>
  <c r="AQ43" i="10"/>
  <c r="AQ42" i="10"/>
  <c r="AQ41" i="10"/>
  <c r="AQ49" i="9"/>
  <c r="AQ48" i="9"/>
  <c r="AQ47" i="9"/>
  <c r="AQ46" i="9"/>
  <c r="AQ45" i="9"/>
  <c r="AQ44" i="9"/>
  <c r="AQ43" i="9"/>
  <c r="AQ42" i="9"/>
  <c r="AQ41" i="9"/>
  <c r="AQ49" i="8"/>
  <c r="AQ48" i="8"/>
  <c r="AQ47" i="8"/>
  <c r="AQ46" i="8"/>
  <c r="AQ45" i="8"/>
  <c r="AQ44" i="8"/>
  <c r="AQ43" i="8"/>
  <c r="AQ42" i="8"/>
  <c r="AQ41" i="8"/>
  <c r="AQ49" i="7"/>
  <c r="AQ48" i="7"/>
  <c r="AQ47" i="7"/>
  <c r="AQ46" i="7"/>
  <c r="AQ45" i="7"/>
  <c r="AQ44" i="7"/>
  <c r="AQ43" i="7"/>
  <c r="AQ42" i="7"/>
  <c r="AQ41" i="7"/>
  <c r="AQ49" i="6"/>
  <c r="AQ48" i="6"/>
  <c r="AQ47" i="6"/>
  <c r="AQ46" i="6"/>
  <c r="AQ45" i="6"/>
  <c r="AQ44" i="6"/>
  <c r="AQ43" i="6"/>
  <c r="AQ42" i="6"/>
  <c r="AQ41" i="6"/>
  <c r="AQ49" i="1"/>
  <c r="AQ48" i="1"/>
  <c r="AQ47" i="1"/>
  <c r="AQ46" i="1"/>
  <c r="AQ45" i="1"/>
  <c r="AQ44" i="1"/>
  <c r="AQ43" i="1"/>
  <c r="AQ42" i="1"/>
  <c r="AQ41" i="1"/>
  <c r="AL40" i="26" l="1"/>
  <c r="AL39" i="26"/>
  <c r="AL38" i="26"/>
  <c r="AL37" i="26"/>
  <c r="AL33" i="26"/>
  <c r="AL32" i="26"/>
  <c r="AL31" i="26"/>
  <c r="AL29" i="26"/>
  <c r="AL28" i="26"/>
  <c r="AL27" i="26"/>
  <c r="AL26" i="26"/>
  <c r="AL25" i="26"/>
  <c r="AL23" i="26"/>
  <c r="AL22" i="26"/>
  <c r="AL21" i="26"/>
  <c r="AL19" i="26"/>
  <c r="AL18" i="26"/>
  <c r="AL17" i="26"/>
  <c r="AL16" i="26"/>
  <c r="AL40" i="25"/>
  <c r="AL39" i="25"/>
  <c r="AL38" i="25"/>
  <c r="AL37" i="25"/>
  <c r="AL33" i="25"/>
  <c r="AL32" i="25"/>
  <c r="AL31" i="25"/>
  <c r="AL29" i="25"/>
  <c r="AL28" i="25"/>
  <c r="AL27" i="25"/>
  <c r="AL26" i="25"/>
  <c r="AL25" i="25"/>
  <c r="AL23" i="25"/>
  <c r="AL22" i="25"/>
  <c r="AL21" i="25"/>
  <c r="AL19" i="25"/>
  <c r="AL18" i="25"/>
  <c r="AL17" i="25"/>
  <c r="AL16" i="25"/>
  <c r="AL40" i="24"/>
  <c r="AL39" i="24"/>
  <c r="AL38" i="24"/>
  <c r="AL37" i="24"/>
  <c r="AL33" i="24"/>
  <c r="AL32" i="24"/>
  <c r="AL31" i="24"/>
  <c r="AL29" i="24"/>
  <c r="AL28" i="24"/>
  <c r="AL27" i="24"/>
  <c r="AL26" i="24"/>
  <c r="AL25" i="24"/>
  <c r="AL24" i="24"/>
  <c r="AL23" i="24"/>
  <c r="AL22" i="24"/>
  <c r="AL21" i="24"/>
  <c r="AL20" i="24"/>
  <c r="AL19" i="24"/>
  <c r="AL18" i="24"/>
  <c r="AL16" i="24"/>
  <c r="AL40" i="23"/>
  <c r="AL39" i="23"/>
  <c r="AL38" i="23"/>
  <c r="AL37" i="23"/>
  <c r="AL36" i="23"/>
  <c r="AL35" i="23"/>
  <c r="AL34" i="23"/>
  <c r="AL33" i="23"/>
  <c r="AL32" i="23"/>
  <c r="AL31" i="23"/>
  <c r="AL30" i="23"/>
  <c r="AL29" i="23"/>
  <c r="AL28" i="23"/>
  <c r="AL27" i="23"/>
  <c r="AL26" i="23"/>
  <c r="AL25" i="23"/>
  <c r="AL24" i="23"/>
  <c r="AL23" i="23"/>
  <c r="AL22" i="23"/>
  <c r="AL21" i="23"/>
  <c r="AL20" i="23"/>
  <c r="AL19" i="23"/>
  <c r="AL18" i="23"/>
  <c r="AL17" i="23"/>
  <c r="AL16" i="23"/>
  <c r="AL40" i="22"/>
  <c r="AL39" i="22"/>
  <c r="AL38" i="22"/>
  <c r="AL37" i="22"/>
  <c r="AL36" i="22"/>
  <c r="AL35" i="22"/>
  <c r="AL34" i="22"/>
  <c r="AL33" i="22"/>
  <c r="AL32" i="22"/>
  <c r="AL31" i="22"/>
  <c r="AL30" i="22"/>
  <c r="AL29" i="22"/>
  <c r="AL28" i="22"/>
  <c r="AL27" i="22"/>
  <c r="AL26" i="22"/>
  <c r="AL25" i="22"/>
  <c r="AL24" i="22"/>
  <c r="AL23" i="22"/>
  <c r="AL22" i="22"/>
  <c r="AL21" i="22"/>
  <c r="AL20" i="22"/>
  <c r="AL19" i="22"/>
  <c r="AL18" i="22"/>
  <c r="AL17" i="22"/>
  <c r="AL16" i="22"/>
  <c r="AL40" i="21"/>
  <c r="AL39" i="21"/>
  <c r="AL38" i="21"/>
  <c r="AL37" i="21"/>
  <c r="AL36" i="21"/>
  <c r="AL35" i="21"/>
  <c r="AL34" i="21"/>
  <c r="AL33" i="21"/>
  <c r="AL32" i="21"/>
  <c r="AL31" i="21"/>
  <c r="AL30" i="21"/>
  <c r="AL29" i="21"/>
  <c r="AL28" i="21"/>
  <c r="AL27" i="21"/>
  <c r="AL26" i="21"/>
  <c r="AL25" i="21"/>
  <c r="AL24" i="21"/>
  <c r="AL23" i="21"/>
  <c r="AL22" i="21"/>
  <c r="AL21" i="21"/>
  <c r="AL20" i="21"/>
  <c r="AL19" i="21"/>
  <c r="AL18" i="21"/>
  <c r="AL17" i="21"/>
  <c r="AL16" i="21"/>
  <c r="R40" i="20"/>
  <c r="R39" i="20"/>
  <c r="R38" i="20"/>
  <c r="R37" i="20"/>
  <c r="R36" i="20"/>
  <c r="R35" i="20"/>
  <c r="R34" i="20"/>
  <c r="R33" i="20"/>
  <c r="R32" i="20"/>
  <c r="R31" i="20"/>
  <c r="R30" i="20"/>
  <c r="R29" i="20"/>
  <c r="R28" i="20"/>
  <c r="R27" i="20"/>
  <c r="R26" i="20"/>
  <c r="R25" i="20"/>
  <c r="R24" i="20"/>
  <c r="R23" i="20"/>
  <c r="R22" i="20"/>
  <c r="R21" i="20"/>
  <c r="R20" i="20"/>
  <c r="R19" i="20"/>
  <c r="R18" i="20"/>
  <c r="R17" i="20"/>
  <c r="R16" i="20"/>
  <c r="M40" i="20"/>
  <c r="M39" i="20"/>
  <c r="M38" i="20"/>
  <c r="M37" i="20"/>
  <c r="M36" i="20"/>
  <c r="M35" i="20"/>
  <c r="M34" i="20"/>
  <c r="M33" i="20"/>
  <c r="M32" i="20"/>
  <c r="M31" i="20"/>
  <c r="M30" i="20"/>
  <c r="M29" i="20"/>
  <c r="M28" i="20"/>
  <c r="M27" i="20"/>
  <c r="M26" i="20"/>
  <c r="M25" i="20"/>
  <c r="M24" i="20"/>
  <c r="M23" i="20"/>
  <c r="M22" i="20"/>
  <c r="M21" i="20"/>
  <c r="M20" i="20"/>
  <c r="M19" i="20"/>
  <c r="M18" i="20"/>
  <c r="M17" i="20"/>
  <c r="M16" i="20"/>
  <c r="R40" i="19"/>
  <c r="R39" i="19"/>
  <c r="R38" i="19"/>
  <c r="R37" i="19"/>
  <c r="R36" i="19"/>
  <c r="R35" i="19"/>
  <c r="R34" i="19"/>
  <c r="R33" i="19"/>
  <c r="R32" i="19"/>
  <c r="R31" i="19"/>
  <c r="R30" i="19"/>
  <c r="R29" i="19"/>
  <c r="R28" i="19"/>
  <c r="R27" i="19"/>
  <c r="R26" i="19"/>
  <c r="R25" i="19"/>
  <c r="R24" i="19"/>
  <c r="R23" i="19"/>
  <c r="R22" i="19"/>
  <c r="R21" i="19"/>
  <c r="R20" i="19"/>
  <c r="R19" i="19"/>
  <c r="R18" i="19"/>
  <c r="R17" i="19"/>
  <c r="R16" i="19"/>
  <c r="M40" i="19"/>
  <c r="M39" i="19"/>
  <c r="M38" i="19"/>
  <c r="M37" i="19"/>
  <c r="M36" i="19"/>
  <c r="M35" i="19"/>
  <c r="M34" i="19"/>
  <c r="M33" i="19"/>
  <c r="M32" i="19"/>
  <c r="M31" i="19"/>
  <c r="M30" i="19"/>
  <c r="M29" i="19"/>
  <c r="M28" i="19"/>
  <c r="M27" i="19"/>
  <c r="M26" i="19"/>
  <c r="M25" i="19"/>
  <c r="M24" i="19"/>
  <c r="M23" i="19"/>
  <c r="M22" i="19"/>
  <c r="M21" i="19"/>
  <c r="M20" i="19"/>
  <c r="M19" i="19"/>
  <c r="M18" i="19"/>
  <c r="M17" i="19"/>
  <c r="M16" i="19"/>
  <c r="R40" i="18"/>
  <c r="R39" i="18"/>
  <c r="R38" i="18"/>
  <c r="R37" i="18"/>
  <c r="R36" i="18"/>
  <c r="R35" i="18"/>
  <c r="R34" i="18"/>
  <c r="R33" i="18"/>
  <c r="R31" i="18"/>
  <c r="R30" i="18"/>
  <c r="R29" i="18"/>
  <c r="R28" i="18"/>
  <c r="R27" i="18"/>
  <c r="R26" i="18"/>
  <c r="R25" i="18"/>
  <c r="R24" i="18"/>
  <c r="R23" i="18"/>
  <c r="R22" i="18"/>
  <c r="R21" i="18"/>
  <c r="R20" i="18"/>
  <c r="R19" i="18"/>
  <c r="R18" i="18"/>
  <c r="R17" i="18"/>
  <c r="R16" i="18"/>
  <c r="M40" i="18"/>
  <c r="M39" i="18"/>
  <c r="M38" i="18"/>
  <c r="M37" i="18"/>
  <c r="M36" i="18"/>
  <c r="M35" i="18"/>
  <c r="M34" i="18"/>
  <c r="M33" i="18"/>
  <c r="M31" i="18"/>
  <c r="M30" i="18"/>
  <c r="M29" i="18"/>
  <c r="M28" i="18"/>
  <c r="M27" i="18"/>
  <c r="M26" i="18"/>
  <c r="M25" i="18"/>
  <c r="M24" i="18"/>
  <c r="M23" i="18"/>
  <c r="M22" i="18"/>
  <c r="M21" i="18"/>
  <c r="M20" i="18"/>
  <c r="M19" i="18"/>
  <c r="M18" i="18"/>
  <c r="M17" i="18"/>
  <c r="M16" i="18"/>
  <c r="R40" i="17"/>
  <c r="R39" i="17"/>
  <c r="R38" i="17"/>
  <c r="R37" i="17"/>
  <c r="R36" i="17"/>
  <c r="R35" i="17"/>
  <c r="R34" i="17"/>
  <c r="R33" i="17"/>
  <c r="R32" i="17"/>
  <c r="R31" i="17"/>
  <c r="R30" i="17"/>
  <c r="R29" i="17"/>
  <c r="R28" i="17"/>
  <c r="R27" i="17"/>
  <c r="R26" i="17"/>
  <c r="R25" i="17"/>
  <c r="R24" i="17"/>
  <c r="R23" i="17"/>
  <c r="R22" i="17"/>
  <c r="R21" i="17"/>
  <c r="R20" i="17"/>
  <c r="R19" i="17"/>
  <c r="R18" i="17"/>
  <c r="R17" i="17"/>
  <c r="R16" i="17"/>
  <c r="M40" i="17"/>
  <c r="M39" i="17"/>
  <c r="M38" i="17"/>
  <c r="M37" i="17"/>
  <c r="M36" i="17"/>
  <c r="M35" i="17"/>
  <c r="M34" i="17"/>
  <c r="M33" i="17"/>
  <c r="M32" i="17"/>
  <c r="M31" i="17"/>
  <c r="M30" i="17"/>
  <c r="M29" i="17"/>
  <c r="M28" i="17"/>
  <c r="M27" i="17"/>
  <c r="M26" i="17"/>
  <c r="M25" i="17"/>
  <c r="M24" i="17"/>
  <c r="M23" i="17"/>
  <c r="M22" i="17"/>
  <c r="M21" i="17"/>
  <c r="M20" i="17"/>
  <c r="M19" i="17"/>
  <c r="M18" i="17"/>
  <c r="M17" i="17"/>
  <c r="M16" i="17"/>
  <c r="R40" i="16"/>
  <c r="R39" i="16"/>
  <c r="R38" i="16"/>
  <c r="R37" i="16"/>
  <c r="R36" i="16"/>
  <c r="R35" i="16"/>
  <c r="R34" i="16"/>
  <c r="R33" i="16"/>
  <c r="R32" i="16"/>
  <c r="R31" i="16"/>
  <c r="R30" i="16"/>
  <c r="R29" i="16"/>
  <c r="R28" i="16"/>
  <c r="R27" i="16"/>
  <c r="R26" i="16"/>
  <c r="R25" i="16"/>
  <c r="R24" i="16"/>
  <c r="R23" i="16"/>
  <c r="R22" i="16"/>
  <c r="R21" i="16"/>
  <c r="R20" i="16"/>
  <c r="R19" i="16"/>
  <c r="R18" i="16"/>
  <c r="R17" i="16"/>
  <c r="R16" i="16"/>
  <c r="M40" i="16"/>
  <c r="M39" i="16"/>
  <c r="M38" i="16"/>
  <c r="M37" i="16"/>
  <c r="M36" i="16"/>
  <c r="M35" i="16"/>
  <c r="M34" i="16"/>
  <c r="M33" i="16"/>
  <c r="M32" i="16"/>
  <c r="M31" i="16"/>
  <c r="M30" i="16"/>
  <c r="M29" i="16"/>
  <c r="M28" i="16"/>
  <c r="M27" i="16"/>
  <c r="M26" i="16"/>
  <c r="M25" i="16"/>
  <c r="M24" i="16"/>
  <c r="M23" i="16"/>
  <c r="M22" i="16"/>
  <c r="M21" i="16"/>
  <c r="M20" i="16"/>
  <c r="M19" i="16"/>
  <c r="M18" i="16"/>
  <c r="M17" i="16"/>
  <c r="M16" i="16"/>
  <c r="AQ40" i="15"/>
  <c r="AQ39" i="15"/>
  <c r="AQ38" i="15"/>
  <c r="AQ37" i="15"/>
  <c r="AQ36" i="15"/>
  <c r="AQ35" i="15"/>
  <c r="AQ34" i="15"/>
  <c r="AQ33" i="15"/>
  <c r="AQ32" i="15"/>
  <c r="AQ31" i="15"/>
  <c r="AQ30" i="15"/>
  <c r="AQ29" i="15"/>
  <c r="AQ28" i="15"/>
  <c r="AQ27" i="15"/>
  <c r="AQ26" i="15"/>
  <c r="AQ25" i="15"/>
  <c r="AQ24" i="15"/>
  <c r="AQ23" i="15"/>
  <c r="AQ22" i="15"/>
  <c r="AQ21" i="15"/>
  <c r="AQ20" i="15"/>
  <c r="AQ19" i="15"/>
  <c r="AQ18" i="15"/>
  <c r="AQ17" i="15"/>
  <c r="AQ16" i="15"/>
  <c r="AL40" i="15"/>
  <c r="AL39" i="15"/>
  <c r="AL38" i="15"/>
  <c r="AL37" i="15"/>
  <c r="AL36" i="15"/>
  <c r="AL35" i="15"/>
  <c r="AL34" i="15"/>
  <c r="AL33" i="15"/>
  <c r="AL32" i="15"/>
  <c r="AL31" i="15"/>
  <c r="AL30" i="15"/>
  <c r="AL29" i="15"/>
  <c r="AL28" i="15"/>
  <c r="AL27" i="15"/>
  <c r="AL26" i="15"/>
  <c r="AL25" i="15"/>
  <c r="AL24" i="15"/>
  <c r="AL23" i="15"/>
  <c r="AL22" i="15"/>
  <c r="AL21" i="15"/>
  <c r="AL20" i="15"/>
  <c r="AL19" i="15"/>
  <c r="AL18" i="15"/>
  <c r="AL17" i="15"/>
  <c r="AL16" i="15"/>
  <c r="R40" i="15"/>
  <c r="R39" i="15"/>
  <c r="R38" i="15"/>
  <c r="R37" i="15"/>
  <c r="R36" i="15"/>
  <c r="R35" i="15"/>
  <c r="R34" i="15"/>
  <c r="R33" i="15"/>
  <c r="R32" i="15"/>
  <c r="R31" i="15"/>
  <c r="R30" i="15"/>
  <c r="R29" i="15"/>
  <c r="R28" i="15"/>
  <c r="R27" i="15"/>
  <c r="R26" i="15"/>
  <c r="R25" i="15"/>
  <c r="R24" i="15"/>
  <c r="R23" i="15"/>
  <c r="R22" i="15"/>
  <c r="R21" i="15"/>
  <c r="R20" i="15"/>
  <c r="R19" i="15"/>
  <c r="R18" i="15"/>
  <c r="R17" i="15"/>
  <c r="R16" i="15"/>
  <c r="M40" i="15"/>
  <c r="M39" i="15"/>
  <c r="M38" i="15"/>
  <c r="M37" i="15"/>
  <c r="M36" i="15"/>
  <c r="M35" i="15"/>
  <c r="M34" i="15"/>
  <c r="M33" i="15"/>
  <c r="M32" i="15"/>
  <c r="M31" i="15"/>
  <c r="M30" i="15"/>
  <c r="M29" i="15"/>
  <c r="M28" i="15"/>
  <c r="M27" i="15"/>
  <c r="M26" i="15"/>
  <c r="M25" i="15"/>
  <c r="M24" i="15"/>
  <c r="M23" i="15"/>
  <c r="M22" i="15"/>
  <c r="M21" i="15"/>
  <c r="M20" i="15"/>
  <c r="M19" i="15"/>
  <c r="M18" i="15"/>
  <c r="M17" i="15"/>
  <c r="M16" i="15"/>
  <c r="M40" i="14"/>
  <c r="M39" i="14"/>
  <c r="M38" i="14"/>
  <c r="M37" i="14"/>
  <c r="M36" i="14"/>
  <c r="M35" i="14"/>
  <c r="M34" i="14"/>
  <c r="M33" i="14"/>
  <c r="M32" i="14"/>
  <c r="M31" i="14"/>
  <c r="M30" i="14"/>
  <c r="M29" i="14"/>
  <c r="M28" i="14"/>
  <c r="M27" i="14"/>
  <c r="M26" i="14"/>
  <c r="M25" i="14"/>
  <c r="M24" i="14"/>
  <c r="M23" i="14"/>
  <c r="M22" i="14"/>
  <c r="M21" i="14"/>
  <c r="M20" i="14"/>
  <c r="M19" i="14"/>
  <c r="M18" i="14"/>
  <c r="M17" i="14"/>
  <c r="M16" i="14"/>
  <c r="AQ40" i="13"/>
  <c r="AQ39" i="13"/>
  <c r="AQ38" i="13"/>
  <c r="AQ37" i="13"/>
  <c r="AQ36" i="13"/>
  <c r="AQ35" i="13"/>
  <c r="AQ34" i="13"/>
  <c r="AQ33" i="13"/>
  <c r="AQ32" i="13"/>
  <c r="AQ31" i="13"/>
  <c r="AQ30" i="13"/>
  <c r="AQ29" i="13"/>
  <c r="AQ28" i="13"/>
  <c r="AQ27" i="13"/>
  <c r="AQ26" i="13"/>
  <c r="AQ25" i="13"/>
  <c r="AQ24" i="13"/>
  <c r="AQ23" i="13"/>
  <c r="AQ22" i="13"/>
  <c r="AQ21" i="13"/>
  <c r="AQ20" i="13"/>
  <c r="AQ19" i="13"/>
  <c r="AQ18" i="13"/>
  <c r="AQ17" i="13"/>
  <c r="AQ16" i="13"/>
  <c r="AQ40" i="12"/>
  <c r="AQ39" i="12"/>
  <c r="AQ38" i="12"/>
  <c r="AQ37" i="12"/>
  <c r="AQ36" i="12"/>
  <c r="AQ35" i="12"/>
  <c r="AQ34" i="12"/>
  <c r="AQ33" i="12"/>
  <c r="AQ32" i="12"/>
  <c r="AQ31" i="12"/>
  <c r="AQ30" i="12"/>
  <c r="AQ29" i="12"/>
  <c r="AQ28" i="12"/>
  <c r="AQ27" i="12"/>
  <c r="AQ26" i="12"/>
  <c r="AQ25" i="12"/>
  <c r="AQ23" i="12"/>
  <c r="AQ22" i="12"/>
  <c r="AQ21" i="12"/>
  <c r="AQ19" i="12"/>
  <c r="AQ18" i="12"/>
  <c r="AQ17" i="12"/>
  <c r="AQ16" i="12"/>
  <c r="AQ40" i="11"/>
  <c r="AQ39" i="11"/>
  <c r="AQ38" i="11"/>
  <c r="AQ37" i="11"/>
  <c r="AQ36" i="11"/>
  <c r="AQ35" i="11"/>
  <c r="AQ34" i="11"/>
  <c r="AQ33" i="11"/>
  <c r="AQ32" i="11"/>
  <c r="AQ31" i="11"/>
  <c r="AQ30" i="11"/>
  <c r="AQ29" i="11"/>
  <c r="AQ28" i="11"/>
  <c r="AQ27" i="11"/>
  <c r="AQ26" i="11"/>
  <c r="AQ25" i="11"/>
  <c r="AQ24" i="11"/>
  <c r="AQ23" i="11"/>
  <c r="AQ22" i="11"/>
  <c r="AQ21" i="11"/>
  <c r="AQ20" i="11"/>
  <c r="AQ19" i="11"/>
  <c r="AQ18" i="11"/>
  <c r="AQ17" i="11"/>
  <c r="AQ16" i="11"/>
  <c r="AQ40" i="10"/>
  <c r="AQ39" i="10"/>
  <c r="AQ38" i="10"/>
  <c r="AQ37" i="10"/>
  <c r="AQ36" i="10"/>
  <c r="AQ35" i="10"/>
  <c r="AQ34" i="10"/>
  <c r="AQ33" i="10"/>
  <c r="AQ32" i="10"/>
  <c r="AQ31" i="10"/>
  <c r="AQ30" i="10"/>
  <c r="AQ29" i="10"/>
  <c r="AQ28" i="10"/>
  <c r="AQ27" i="10"/>
  <c r="AQ26" i="10"/>
  <c r="AQ25" i="10"/>
  <c r="AQ24" i="10"/>
  <c r="AQ23" i="10"/>
  <c r="AQ22" i="10"/>
  <c r="AQ21" i="10"/>
  <c r="AQ20" i="10"/>
  <c r="AQ19" i="10"/>
  <c r="AQ18" i="10"/>
  <c r="AQ17" i="10"/>
  <c r="AQ16" i="10"/>
  <c r="AQ40" i="9"/>
  <c r="AQ39" i="9"/>
  <c r="AQ38" i="9"/>
  <c r="AQ37" i="9"/>
  <c r="AQ36" i="9"/>
  <c r="AQ35" i="9"/>
  <c r="AQ34" i="9"/>
  <c r="AQ33" i="9"/>
  <c r="AQ32" i="9"/>
  <c r="AQ31" i="9"/>
  <c r="AQ30" i="9"/>
  <c r="AQ29" i="9"/>
  <c r="AQ28" i="9"/>
  <c r="AQ27" i="9"/>
  <c r="AQ26" i="9"/>
  <c r="AQ25" i="9"/>
  <c r="AQ24" i="9"/>
  <c r="AQ23" i="9"/>
  <c r="AQ22" i="9"/>
  <c r="AQ21" i="9"/>
  <c r="AQ20" i="9"/>
  <c r="AQ19" i="9"/>
  <c r="AQ18" i="9"/>
  <c r="AQ17" i="9"/>
  <c r="AQ16" i="9"/>
  <c r="AQ40" i="8"/>
  <c r="AQ39" i="8"/>
  <c r="AQ38" i="8"/>
  <c r="AQ37" i="8"/>
  <c r="AQ36" i="8"/>
  <c r="AQ35" i="8"/>
  <c r="AQ34" i="8"/>
  <c r="AQ33" i="8"/>
  <c r="AQ32" i="8"/>
  <c r="AQ31" i="8"/>
  <c r="AQ30" i="8"/>
  <c r="AQ29" i="8"/>
  <c r="AQ28" i="8"/>
  <c r="AQ27" i="8"/>
  <c r="AQ26" i="8"/>
  <c r="AQ25" i="8"/>
  <c r="AQ24" i="8"/>
  <c r="AQ23" i="8"/>
  <c r="AQ22" i="8"/>
  <c r="AQ21" i="8"/>
  <c r="AQ20" i="8"/>
  <c r="AQ19" i="8"/>
  <c r="AQ18" i="8"/>
  <c r="AQ17" i="8"/>
  <c r="AQ16" i="8"/>
  <c r="AQ40" i="7"/>
  <c r="AQ39" i="7"/>
  <c r="AQ38" i="7"/>
  <c r="AQ37" i="7"/>
  <c r="AQ36" i="7"/>
  <c r="AQ35" i="7"/>
  <c r="AQ34" i="7"/>
  <c r="AQ33" i="7"/>
  <c r="AQ32" i="7"/>
  <c r="AQ31" i="7"/>
  <c r="AQ30" i="7"/>
  <c r="AQ29" i="7"/>
  <c r="AQ28" i="7"/>
  <c r="AQ27" i="7"/>
  <c r="AQ26" i="7"/>
  <c r="AQ25" i="7"/>
  <c r="AQ24" i="7"/>
  <c r="AQ23" i="7"/>
  <c r="AQ22" i="7"/>
  <c r="AQ21" i="7"/>
  <c r="AQ20" i="7"/>
  <c r="AQ19" i="7"/>
  <c r="AQ18" i="7"/>
  <c r="AQ17" i="7"/>
  <c r="AQ16" i="7"/>
  <c r="AQ40" i="6"/>
  <c r="AQ39" i="6"/>
  <c r="AQ38" i="6"/>
  <c r="AQ37" i="6"/>
  <c r="AQ36" i="6"/>
  <c r="AQ35" i="6"/>
  <c r="AQ34" i="6"/>
  <c r="AQ33" i="6"/>
  <c r="AQ32" i="6"/>
  <c r="AQ31" i="6"/>
  <c r="AQ30" i="6"/>
  <c r="AQ29" i="6"/>
  <c r="AQ28" i="6"/>
  <c r="AQ27" i="6"/>
  <c r="AQ26" i="6"/>
  <c r="AQ25" i="6"/>
  <c r="AQ24" i="6"/>
  <c r="AQ23" i="6"/>
  <c r="AQ22" i="6"/>
  <c r="AQ21" i="6"/>
  <c r="AQ20" i="6"/>
  <c r="AQ19" i="6"/>
  <c r="AQ18" i="6"/>
  <c r="AQ17" i="6"/>
  <c r="AQ16" i="6"/>
  <c r="AQ40" i="1"/>
  <c r="AQ39" i="1"/>
  <c r="AQ38" i="1"/>
  <c r="AQ37" i="1"/>
  <c r="AQ36" i="1"/>
  <c r="AQ35" i="1"/>
  <c r="AQ34" i="1"/>
  <c r="AQ33" i="1"/>
  <c r="AQ32" i="1"/>
  <c r="AQ31" i="1"/>
  <c r="AQ30" i="1"/>
  <c r="AQ29" i="1"/>
  <c r="AQ28" i="1"/>
  <c r="AQ27" i="1"/>
  <c r="AQ26" i="1"/>
  <c r="AQ25" i="1"/>
  <c r="AQ24" i="1"/>
  <c r="AQ23" i="1"/>
  <c r="AQ22" i="1"/>
  <c r="AQ21" i="1"/>
  <c r="AQ20" i="1"/>
  <c r="AQ19" i="1"/>
  <c r="AQ18" i="1"/>
  <c r="AQ17" i="1"/>
  <c r="AQ16" i="1"/>
  <c r="L224" i="5" l="1"/>
  <c r="K224" i="5"/>
  <c r="J224" i="5"/>
  <c r="I224" i="5"/>
  <c r="L189" i="5"/>
  <c r="K189" i="5"/>
  <c r="J189" i="5"/>
  <c r="I189" i="5"/>
  <c r="L63" i="5"/>
  <c r="K63" i="5"/>
  <c r="J63" i="5"/>
  <c r="I63" i="5"/>
  <c r="L62" i="5"/>
  <c r="K62" i="5"/>
  <c r="J62" i="5"/>
  <c r="I62" i="5"/>
  <c r="L60" i="5"/>
  <c r="K60" i="5"/>
  <c r="J60" i="5"/>
  <c r="I60" i="5"/>
  <c r="L59" i="5"/>
  <c r="K59" i="5"/>
  <c r="J59" i="5"/>
  <c r="I59" i="5"/>
  <c r="L61" i="5"/>
  <c r="K61" i="5"/>
  <c r="J61" i="5"/>
  <c r="I61" i="5"/>
  <c r="L58" i="5"/>
  <c r="K58" i="5"/>
  <c r="J58" i="5"/>
  <c r="I58" i="5"/>
  <c r="L53" i="5"/>
  <c r="K53" i="5"/>
  <c r="J53" i="5"/>
  <c r="I53" i="5"/>
  <c r="L52" i="5"/>
  <c r="K52" i="5"/>
  <c r="J52" i="5"/>
  <c r="I52" i="5"/>
  <c r="L51" i="5"/>
  <c r="K51" i="5"/>
  <c r="J51" i="5"/>
  <c r="I51" i="5"/>
  <c r="L50" i="5"/>
  <c r="K50" i="5"/>
  <c r="J50" i="5"/>
  <c r="I50" i="5"/>
  <c r="L54" i="5"/>
  <c r="K54" i="5"/>
  <c r="J54" i="5"/>
  <c r="I54" i="5"/>
  <c r="L49" i="5"/>
  <c r="K49" i="5"/>
  <c r="J49" i="5"/>
  <c r="I49" i="5"/>
  <c r="L48" i="5"/>
  <c r="K48" i="5"/>
  <c r="J48" i="5"/>
  <c r="I48" i="5"/>
  <c r="L41" i="5"/>
  <c r="K41" i="5"/>
  <c r="J41" i="5"/>
  <c r="I41" i="5"/>
  <c r="L44" i="5"/>
  <c r="K44" i="5"/>
  <c r="J44" i="5"/>
  <c r="I44" i="5"/>
  <c r="L43" i="5"/>
  <c r="K43" i="5"/>
  <c r="J43" i="5"/>
  <c r="I43" i="5"/>
  <c r="L42" i="5"/>
  <c r="K42" i="5"/>
  <c r="J42" i="5"/>
  <c r="I42" i="5"/>
  <c r="L38" i="5"/>
  <c r="K38" i="5"/>
  <c r="J38" i="5"/>
  <c r="I38" i="5"/>
  <c r="L40" i="5"/>
  <c r="K40" i="5"/>
  <c r="J40" i="5"/>
  <c r="I40" i="5"/>
  <c r="L39" i="5"/>
  <c r="K39" i="5"/>
  <c r="J39" i="5"/>
  <c r="I39" i="5"/>
  <c r="L37" i="5"/>
  <c r="K37" i="5"/>
  <c r="J37" i="5"/>
  <c r="I37" i="5"/>
  <c r="L36" i="5"/>
  <c r="K36" i="5"/>
  <c r="J36" i="5"/>
  <c r="I36" i="5"/>
  <c r="E84" i="5" l="1"/>
  <c r="F78" i="5"/>
  <c r="F71" i="5"/>
  <c r="F63" i="5"/>
  <c r="F60" i="5"/>
  <c r="E60" i="5"/>
  <c r="D37" i="5"/>
  <c r="C70" i="5" l="1"/>
  <c r="AQ56" i="26" l="1"/>
  <c r="AG56" i="26"/>
  <c r="AB56" i="26"/>
  <c r="W56" i="26"/>
  <c r="R56" i="26"/>
  <c r="H56" i="26"/>
  <c r="AQ55" i="26"/>
  <c r="AG55" i="26"/>
  <c r="AB55" i="26"/>
  <c r="W55" i="26"/>
  <c r="R55" i="26"/>
  <c r="H55" i="26"/>
  <c r="AQ54" i="26"/>
  <c r="AG54" i="26"/>
  <c r="AB54" i="26"/>
  <c r="W54" i="26"/>
  <c r="R54" i="26"/>
  <c r="H54" i="26"/>
  <c r="AQ53" i="26"/>
  <c r="AG53" i="26"/>
  <c r="AB53" i="26"/>
  <c r="W53" i="26"/>
  <c r="R53" i="26"/>
  <c r="H53" i="26"/>
  <c r="AQ52" i="26"/>
  <c r="AG52" i="26"/>
  <c r="AB52" i="26"/>
  <c r="W52" i="26"/>
  <c r="R52" i="26"/>
  <c r="H52" i="26"/>
  <c r="AQ51" i="26"/>
  <c r="AG51" i="26"/>
  <c r="AB51" i="26"/>
  <c r="W51" i="26"/>
  <c r="R51" i="26"/>
  <c r="H51" i="26"/>
  <c r="AQ50" i="26"/>
  <c r="AG50" i="26"/>
  <c r="AB50" i="26"/>
  <c r="W50" i="26"/>
  <c r="R50" i="26"/>
  <c r="H50" i="26"/>
  <c r="AQ49" i="26"/>
  <c r="AG49" i="26"/>
  <c r="AB49" i="26"/>
  <c r="W49" i="26"/>
  <c r="R49" i="26"/>
  <c r="H49" i="26"/>
  <c r="AQ48" i="26"/>
  <c r="AG48" i="26"/>
  <c r="AB48" i="26"/>
  <c r="W48" i="26"/>
  <c r="R48" i="26"/>
  <c r="H48" i="26"/>
  <c r="AQ47" i="26"/>
  <c r="AG47" i="26"/>
  <c r="AB47" i="26"/>
  <c r="W47" i="26"/>
  <c r="R47" i="26"/>
  <c r="H47" i="26"/>
  <c r="AQ46" i="26"/>
  <c r="AG46" i="26"/>
  <c r="AB46" i="26"/>
  <c r="W46" i="26"/>
  <c r="R46" i="26"/>
  <c r="H46" i="26"/>
  <c r="AQ45" i="26"/>
  <c r="AG45" i="26"/>
  <c r="AB45" i="26"/>
  <c r="W45" i="26"/>
  <c r="R45" i="26"/>
  <c r="H45" i="26"/>
  <c r="AQ44" i="26"/>
  <c r="AG44" i="26"/>
  <c r="AB44" i="26"/>
  <c r="W44" i="26"/>
  <c r="R44" i="26"/>
  <c r="H44" i="26"/>
  <c r="AQ43" i="26"/>
  <c r="AG43" i="26"/>
  <c r="AB43" i="26"/>
  <c r="W43" i="26"/>
  <c r="R43" i="26"/>
  <c r="H43" i="26"/>
  <c r="AQ42" i="26"/>
  <c r="AG42" i="26"/>
  <c r="AB42" i="26"/>
  <c r="W42" i="26"/>
  <c r="R42" i="26"/>
  <c r="H42" i="26"/>
  <c r="AQ41" i="26"/>
  <c r="AG41" i="26"/>
  <c r="AB41" i="26"/>
  <c r="W41" i="26"/>
  <c r="R41" i="26"/>
  <c r="E63" i="5"/>
  <c r="H41" i="26"/>
  <c r="AQ40" i="26"/>
  <c r="AG40" i="26"/>
  <c r="AB40" i="26"/>
  <c r="W40" i="26"/>
  <c r="R40" i="26"/>
  <c r="H40" i="26"/>
  <c r="AQ39" i="26"/>
  <c r="AG39" i="26"/>
  <c r="AB39" i="26"/>
  <c r="W39" i="26"/>
  <c r="R39" i="26"/>
  <c r="H39" i="26"/>
  <c r="AQ38" i="26"/>
  <c r="AG38" i="26"/>
  <c r="AB38" i="26"/>
  <c r="W38" i="26"/>
  <c r="R38" i="26"/>
  <c r="H38" i="26"/>
  <c r="AQ37" i="26"/>
  <c r="AG37" i="26"/>
  <c r="AB37" i="26"/>
  <c r="W37" i="26"/>
  <c r="R37" i="26"/>
  <c r="H37" i="26"/>
  <c r="AQ36" i="26"/>
  <c r="AG36" i="26"/>
  <c r="AB36" i="26"/>
  <c r="W36" i="26"/>
  <c r="R36" i="26"/>
  <c r="H36" i="26"/>
  <c r="AQ35" i="26"/>
  <c r="AG35" i="26"/>
  <c r="AB35" i="26"/>
  <c r="W35" i="26"/>
  <c r="R35" i="26"/>
  <c r="H35" i="26"/>
  <c r="AQ34" i="26"/>
  <c r="AG34" i="26"/>
  <c r="AB34" i="26"/>
  <c r="W34" i="26"/>
  <c r="R34" i="26"/>
  <c r="H34" i="26"/>
  <c r="AQ33" i="26"/>
  <c r="AG33" i="26"/>
  <c r="AB33" i="26"/>
  <c r="W33" i="26"/>
  <c r="R33" i="26"/>
  <c r="H33" i="26"/>
  <c r="AQ32" i="26"/>
  <c r="AG32" i="26"/>
  <c r="AB32" i="26"/>
  <c r="W32" i="26"/>
  <c r="R32" i="26"/>
  <c r="H32" i="26"/>
  <c r="AQ31" i="26"/>
  <c r="AG31" i="26"/>
  <c r="AB31" i="26"/>
  <c r="W31" i="26"/>
  <c r="R31" i="26"/>
  <c r="H31" i="26"/>
  <c r="AQ30" i="26"/>
  <c r="AG30" i="26"/>
  <c r="AB30" i="26"/>
  <c r="W30" i="26"/>
  <c r="R30" i="26"/>
  <c r="H30" i="26"/>
  <c r="AQ29" i="26"/>
  <c r="AG29" i="26"/>
  <c r="AB29" i="26"/>
  <c r="W29" i="26"/>
  <c r="R29" i="26"/>
  <c r="H29" i="26"/>
  <c r="AQ28" i="26"/>
  <c r="AG28" i="26"/>
  <c r="AB28" i="26"/>
  <c r="W28" i="26"/>
  <c r="R28" i="26"/>
  <c r="H28" i="26"/>
  <c r="AQ27" i="26"/>
  <c r="AG27" i="26"/>
  <c r="AB27" i="26"/>
  <c r="W27" i="26"/>
  <c r="R27" i="26"/>
  <c r="H27" i="26"/>
  <c r="AQ26" i="26"/>
  <c r="AG26" i="26"/>
  <c r="AB26" i="26"/>
  <c r="W26" i="26"/>
  <c r="R26" i="26"/>
  <c r="H26" i="26"/>
  <c r="AQ25" i="26"/>
  <c r="AG25" i="26"/>
  <c r="AB25" i="26"/>
  <c r="W25" i="26"/>
  <c r="R25" i="26"/>
  <c r="H25" i="26"/>
  <c r="AQ24" i="26"/>
  <c r="AG24" i="26"/>
  <c r="AB24" i="26"/>
  <c r="W24" i="26"/>
  <c r="R24" i="26"/>
  <c r="H24" i="26"/>
  <c r="AQ23" i="26"/>
  <c r="AG23" i="26"/>
  <c r="AB23" i="26"/>
  <c r="W23" i="26"/>
  <c r="R23" i="26"/>
  <c r="H23" i="26"/>
  <c r="AQ22" i="26"/>
  <c r="AG22" i="26"/>
  <c r="AB22" i="26"/>
  <c r="W22" i="26"/>
  <c r="R22" i="26"/>
  <c r="H22" i="26"/>
  <c r="AQ21" i="26"/>
  <c r="AG21" i="26"/>
  <c r="AB21" i="26"/>
  <c r="W21" i="26"/>
  <c r="R21" i="26"/>
  <c r="H21" i="26"/>
  <c r="AQ20" i="26"/>
  <c r="AG20" i="26"/>
  <c r="AB20" i="26"/>
  <c r="W20" i="26"/>
  <c r="R20" i="26"/>
  <c r="H20" i="26"/>
  <c r="AQ19" i="26"/>
  <c r="AG19" i="26"/>
  <c r="AB19" i="26"/>
  <c r="W19" i="26"/>
  <c r="R19" i="26"/>
  <c r="H19" i="26"/>
  <c r="AQ18" i="26"/>
  <c r="AG18" i="26"/>
  <c r="AB18" i="26"/>
  <c r="W18" i="26"/>
  <c r="R18" i="26"/>
  <c r="H18" i="26"/>
  <c r="AQ17" i="26"/>
  <c r="AG17" i="26"/>
  <c r="AB17" i="26"/>
  <c r="W17" i="26"/>
  <c r="R17" i="26"/>
  <c r="H17" i="26"/>
  <c r="AQ16" i="26"/>
  <c r="AG16" i="26"/>
  <c r="AB16" i="26"/>
  <c r="W16" i="26"/>
  <c r="R16" i="26"/>
  <c r="H16" i="26"/>
  <c r="AQ15" i="26"/>
  <c r="AL15" i="26"/>
  <c r="AG15" i="26"/>
  <c r="AB15" i="26"/>
  <c r="W15" i="26"/>
  <c r="R15" i="26"/>
  <c r="H15" i="26"/>
  <c r="AQ14" i="26"/>
  <c r="AL14" i="26"/>
  <c r="AG14" i="26"/>
  <c r="AB14" i="26"/>
  <c r="W14" i="26"/>
  <c r="R14" i="26"/>
  <c r="H14" i="26"/>
  <c r="AQ13" i="26"/>
  <c r="AL13" i="26"/>
  <c r="AG13" i="26"/>
  <c r="AB13" i="26"/>
  <c r="W13" i="26"/>
  <c r="R13" i="26"/>
  <c r="H13" i="26"/>
  <c r="AQ12" i="26"/>
  <c r="AL12" i="26"/>
  <c r="AG12" i="26"/>
  <c r="AB12" i="26"/>
  <c r="W12" i="26"/>
  <c r="R12" i="26"/>
  <c r="H12" i="26"/>
  <c r="AQ11" i="26"/>
  <c r="AL11" i="26"/>
  <c r="AG11" i="26"/>
  <c r="AB11" i="26"/>
  <c r="W11" i="26"/>
  <c r="R11" i="26"/>
  <c r="H11" i="26"/>
  <c r="AQ10" i="26"/>
  <c r="AL10" i="26"/>
  <c r="AG10" i="26"/>
  <c r="AB10" i="26"/>
  <c r="W10" i="26"/>
  <c r="R10" i="26"/>
  <c r="H10" i="26"/>
  <c r="AQ9" i="26"/>
  <c r="AL9" i="26"/>
  <c r="AG9" i="26"/>
  <c r="AB9" i="26"/>
  <c r="W9" i="26"/>
  <c r="R9" i="26"/>
  <c r="H9" i="26"/>
  <c r="AQ8" i="26"/>
  <c r="AL8" i="26"/>
  <c r="AG8" i="26"/>
  <c r="AB8" i="26"/>
  <c r="W8" i="26"/>
  <c r="R8" i="26"/>
  <c r="H8" i="26"/>
  <c r="AQ7" i="26"/>
  <c r="AL7" i="26"/>
  <c r="AG7" i="26"/>
  <c r="AB7" i="26"/>
  <c r="W7" i="26"/>
  <c r="R7" i="26"/>
  <c r="H7" i="26"/>
  <c r="AQ6" i="26"/>
  <c r="AL6" i="26"/>
  <c r="AG6" i="26"/>
  <c r="AB6" i="26"/>
  <c r="W6" i="26"/>
  <c r="R6" i="26"/>
  <c r="H6" i="26"/>
  <c r="AQ5" i="26"/>
  <c r="AL5" i="26"/>
  <c r="AG5" i="26"/>
  <c r="AB5" i="26"/>
  <c r="W5" i="26"/>
  <c r="R5" i="26"/>
  <c r="H5" i="26"/>
  <c r="AQ4" i="26"/>
  <c r="AL4" i="26"/>
  <c r="AG4" i="26"/>
  <c r="AB4" i="26"/>
  <c r="W4" i="26"/>
  <c r="R4" i="26"/>
  <c r="M4" i="26"/>
  <c r="H4" i="26"/>
  <c r="AQ56" i="25"/>
  <c r="AG56" i="25"/>
  <c r="AB56" i="25"/>
  <c r="W56" i="25"/>
  <c r="R56" i="25"/>
  <c r="H56" i="25"/>
  <c r="AQ55" i="25"/>
  <c r="AG55" i="25"/>
  <c r="AB55" i="25"/>
  <c r="W55" i="25"/>
  <c r="R55" i="25"/>
  <c r="H55" i="25"/>
  <c r="AQ54" i="25"/>
  <c r="AG54" i="25"/>
  <c r="AB54" i="25"/>
  <c r="W54" i="25"/>
  <c r="R54" i="25"/>
  <c r="H54" i="25"/>
  <c r="AQ53" i="25"/>
  <c r="AG53" i="25"/>
  <c r="AB53" i="25"/>
  <c r="W53" i="25"/>
  <c r="R53" i="25"/>
  <c r="H53" i="25"/>
  <c r="AQ52" i="25"/>
  <c r="AG52" i="25"/>
  <c r="AB52" i="25"/>
  <c r="W52" i="25"/>
  <c r="R52" i="25"/>
  <c r="H52" i="25"/>
  <c r="AQ51" i="25"/>
  <c r="AG51" i="25"/>
  <c r="AB51" i="25"/>
  <c r="W51" i="25"/>
  <c r="R51" i="25"/>
  <c r="H51" i="25"/>
  <c r="AQ50" i="25"/>
  <c r="AG50" i="25"/>
  <c r="AB50" i="25"/>
  <c r="W50" i="25"/>
  <c r="R50" i="25"/>
  <c r="H50" i="25"/>
  <c r="AQ49" i="25"/>
  <c r="AG49" i="25"/>
  <c r="AB49" i="25"/>
  <c r="W49" i="25"/>
  <c r="R49" i="25"/>
  <c r="H49" i="25"/>
  <c r="AQ48" i="25"/>
  <c r="AG48" i="25"/>
  <c r="AB48" i="25"/>
  <c r="W48" i="25"/>
  <c r="R48" i="25"/>
  <c r="H48" i="25"/>
  <c r="AQ47" i="25"/>
  <c r="AG47" i="25"/>
  <c r="AB47" i="25"/>
  <c r="W47" i="25"/>
  <c r="R47" i="25"/>
  <c r="H47" i="25"/>
  <c r="AQ46" i="25"/>
  <c r="AG46" i="25"/>
  <c r="AB46" i="25"/>
  <c r="W46" i="25"/>
  <c r="R46" i="25"/>
  <c r="H46" i="25"/>
  <c r="AQ45" i="25"/>
  <c r="AG45" i="25"/>
  <c r="AB45" i="25"/>
  <c r="W45" i="25"/>
  <c r="R45" i="25"/>
  <c r="H45" i="25"/>
  <c r="AQ44" i="25"/>
  <c r="AG44" i="25"/>
  <c r="AB44" i="25"/>
  <c r="W44" i="25"/>
  <c r="R44" i="25"/>
  <c r="H44" i="25"/>
  <c r="AQ43" i="25"/>
  <c r="AG43" i="25"/>
  <c r="AB43" i="25"/>
  <c r="W43" i="25"/>
  <c r="R43" i="25"/>
  <c r="H43" i="25"/>
  <c r="AQ42" i="25"/>
  <c r="AG42" i="25"/>
  <c r="AB42" i="25"/>
  <c r="W42" i="25"/>
  <c r="R42" i="25"/>
  <c r="H42" i="25"/>
  <c r="AQ41" i="25"/>
  <c r="AG41" i="25"/>
  <c r="AB41" i="25"/>
  <c r="W41" i="25"/>
  <c r="R41" i="25"/>
  <c r="H41" i="25"/>
  <c r="AQ40" i="25"/>
  <c r="AG40" i="25"/>
  <c r="AB40" i="25"/>
  <c r="W40" i="25"/>
  <c r="R40" i="25"/>
  <c r="H40" i="25"/>
  <c r="AQ39" i="25"/>
  <c r="AG39" i="25"/>
  <c r="AB39" i="25"/>
  <c r="W39" i="25"/>
  <c r="R39" i="25"/>
  <c r="H39" i="25"/>
  <c r="AQ38" i="25"/>
  <c r="AG38" i="25"/>
  <c r="AB38" i="25"/>
  <c r="W38" i="25"/>
  <c r="R38" i="25"/>
  <c r="H38" i="25"/>
  <c r="AQ37" i="25"/>
  <c r="AG37" i="25"/>
  <c r="AB37" i="25"/>
  <c r="W37" i="25"/>
  <c r="R37" i="25"/>
  <c r="H37" i="25"/>
  <c r="AQ36" i="25"/>
  <c r="AG36" i="25"/>
  <c r="AB36" i="25"/>
  <c r="W36" i="25"/>
  <c r="R36" i="25"/>
  <c r="H36" i="25"/>
  <c r="AQ35" i="25"/>
  <c r="AG35" i="25"/>
  <c r="AB35" i="25"/>
  <c r="W35" i="25"/>
  <c r="R35" i="25"/>
  <c r="H35" i="25"/>
  <c r="AQ34" i="25"/>
  <c r="AG34" i="25"/>
  <c r="AB34" i="25"/>
  <c r="W34" i="25"/>
  <c r="R34" i="25"/>
  <c r="H34" i="25"/>
  <c r="AQ33" i="25"/>
  <c r="AG33" i="25"/>
  <c r="AB33" i="25"/>
  <c r="W33" i="25"/>
  <c r="R33" i="25"/>
  <c r="H33" i="25"/>
  <c r="AQ32" i="25"/>
  <c r="AG32" i="25"/>
  <c r="AB32" i="25"/>
  <c r="W32" i="25"/>
  <c r="R32" i="25"/>
  <c r="H32" i="25"/>
  <c r="AQ31" i="25"/>
  <c r="AG31" i="25"/>
  <c r="AB31" i="25"/>
  <c r="W31" i="25"/>
  <c r="R31" i="25"/>
  <c r="H31" i="25"/>
  <c r="AQ30" i="25"/>
  <c r="AG30" i="25"/>
  <c r="AB30" i="25"/>
  <c r="W30" i="25"/>
  <c r="R30" i="25"/>
  <c r="H30" i="25"/>
  <c r="AQ29" i="25"/>
  <c r="AG29" i="25"/>
  <c r="AB29" i="25"/>
  <c r="W29" i="25"/>
  <c r="R29" i="25"/>
  <c r="H29" i="25"/>
  <c r="AQ28" i="25"/>
  <c r="AG28" i="25"/>
  <c r="AB28" i="25"/>
  <c r="W28" i="25"/>
  <c r="R28" i="25"/>
  <c r="H28" i="25"/>
  <c r="AQ27" i="25"/>
  <c r="AG27" i="25"/>
  <c r="AB27" i="25"/>
  <c r="W27" i="25"/>
  <c r="R27" i="25"/>
  <c r="H27" i="25"/>
  <c r="AQ26" i="25"/>
  <c r="AG26" i="25"/>
  <c r="AB26" i="25"/>
  <c r="W26" i="25"/>
  <c r="R26" i="25"/>
  <c r="H26" i="25"/>
  <c r="AQ25" i="25"/>
  <c r="AG25" i="25"/>
  <c r="AB25" i="25"/>
  <c r="W25" i="25"/>
  <c r="R25" i="25"/>
  <c r="H25" i="25"/>
  <c r="AQ24" i="25"/>
  <c r="AG24" i="25"/>
  <c r="AB24" i="25"/>
  <c r="W24" i="25"/>
  <c r="R24" i="25"/>
  <c r="H24" i="25"/>
  <c r="AQ23" i="25"/>
  <c r="AG23" i="25"/>
  <c r="AB23" i="25"/>
  <c r="W23" i="25"/>
  <c r="R23" i="25"/>
  <c r="H23" i="25"/>
  <c r="AQ22" i="25"/>
  <c r="AG22" i="25"/>
  <c r="AB22" i="25"/>
  <c r="W22" i="25"/>
  <c r="R22" i="25"/>
  <c r="H22" i="25"/>
  <c r="AQ21" i="25"/>
  <c r="AG21" i="25"/>
  <c r="AB21" i="25"/>
  <c r="W21" i="25"/>
  <c r="R21" i="25"/>
  <c r="H21" i="25"/>
  <c r="AQ20" i="25"/>
  <c r="AG20" i="25"/>
  <c r="AB20" i="25"/>
  <c r="W20" i="25"/>
  <c r="R20" i="25"/>
  <c r="H20" i="25"/>
  <c r="AQ19" i="25"/>
  <c r="AG19" i="25"/>
  <c r="AB19" i="25"/>
  <c r="W19" i="25"/>
  <c r="R19" i="25"/>
  <c r="H19" i="25"/>
  <c r="AQ18" i="25"/>
  <c r="AG18" i="25"/>
  <c r="AB18" i="25"/>
  <c r="W18" i="25"/>
  <c r="R18" i="25"/>
  <c r="H18" i="25"/>
  <c r="AQ17" i="25"/>
  <c r="AG17" i="25"/>
  <c r="AB17" i="25"/>
  <c r="W17" i="25"/>
  <c r="R17" i="25"/>
  <c r="H17" i="25"/>
  <c r="AQ16" i="25"/>
  <c r="D202" i="5"/>
  <c r="AG16" i="25"/>
  <c r="AB16" i="25"/>
  <c r="W16" i="25"/>
  <c r="R16" i="25"/>
  <c r="D62" i="5"/>
  <c r="H16" i="25"/>
  <c r="AQ15" i="25"/>
  <c r="AL15" i="25"/>
  <c r="AG15" i="25"/>
  <c r="AB15" i="25"/>
  <c r="W15" i="25"/>
  <c r="R15" i="25"/>
  <c r="H15" i="25"/>
  <c r="AQ14" i="25"/>
  <c r="AL14" i="25"/>
  <c r="AG14" i="25"/>
  <c r="AB14" i="25"/>
  <c r="W14" i="25"/>
  <c r="R14" i="25"/>
  <c r="H14" i="25"/>
  <c r="AQ13" i="25"/>
  <c r="AL13" i="25"/>
  <c r="AG13" i="25"/>
  <c r="AB13" i="25"/>
  <c r="W13" i="25"/>
  <c r="R13" i="25"/>
  <c r="H13" i="25"/>
  <c r="AQ12" i="25"/>
  <c r="AL12" i="25"/>
  <c r="AG12" i="25"/>
  <c r="AB12" i="25"/>
  <c r="W12" i="25"/>
  <c r="R12" i="25"/>
  <c r="H12" i="25"/>
  <c r="AQ11" i="25"/>
  <c r="AL11" i="25"/>
  <c r="AG11" i="25"/>
  <c r="AB11" i="25"/>
  <c r="W11" i="25"/>
  <c r="R11" i="25"/>
  <c r="H11" i="25"/>
  <c r="AQ10" i="25"/>
  <c r="AL10" i="25"/>
  <c r="AG10" i="25"/>
  <c r="AB10" i="25"/>
  <c r="W10" i="25"/>
  <c r="R10" i="25"/>
  <c r="H10" i="25"/>
  <c r="AQ9" i="25"/>
  <c r="AL9" i="25"/>
  <c r="AG9" i="25"/>
  <c r="AB9" i="25"/>
  <c r="W9" i="25"/>
  <c r="R9" i="25"/>
  <c r="H9" i="25"/>
  <c r="AQ8" i="25"/>
  <c r="AL8" i="25"/>
  <c r="AG8" i="25"/>
  <c r="AB8" i="25"/>
  <c r="W8" i="25"/>
  <c r="R8" i="25"/>
  <c r="H8" i="25"/>
  <c r="AQ7" i="25"/>
  <c r="AL7" i="25"/>
  <c r="AG7" i="25"/>
  <c r="AB7" i="25"/>
  <c r="W7" i="25"/>
  <c r="R7" i="25"/>
  <c r="H7" i="25"/>
  <c r="AQ6" i="25"/>
  <c r="AL6" i="25"/>
  <c r="AG6" i="25"/>
  <c r="AB6" i="25"/>
  <c r="W6" i="25"/>
  <c r="R6" i="25"/>
  <c r="H6" i="25"/>
  <c r="AQ5" i="25"/>
  <c r="AL5" i="25"/>
  <c r="AG5" i="25"/>
  <c r="AB5" i="25"/>
  <c r="W5" i="25"/>
  <c r="R5" i="25"/>
  <c r="H5" i="25"/>
  <c r="AQ4" i="25"/>
  <c r="AL4" i="25"/>
  <c r="AG4" i="25"/>
  <c r="AB4" i="25"/>
  <c r="W4" i="25"/>
  <c r="R4" i="25"/>
  <c r="M4" i="25"/>
  <c r="H4" i="25"/>
  <c r="AQ56" i="24"/>
  <c r="AG56" i="24"/>
  <c r="AB56" i="24"/>
  <c r="W56" i="24"/>
  <c r="AQ55" i="24"/>
  <c r="AG55" i="24"/>
  <c r="AB55" i="24"/>
  <c r="W55" i="24"/>
  <c r="AQ54" i="24"/>
  <c r="AG54" i="24"/>
  <c r="AB54" i="24"/>
  <c r="W54" i="24"/>
  <c r="AQ53" i="24"/>
  <c r="AG53" i="24"/>
  <c r="AB53" i="24"/>
  <c r="W53" i="24"/>
  <c r="AQ52" i="24"/>
  <c r="AG52" i="24"/>
  <c r="AB52" i="24"/>
  <c r="W52" i="24"/>
  <c r="AQ51" i="24"/>
  <c r="AG51" i="24"/>
  <c r="AB51" i="24"/>
  <c r="W51" i="24"/>
  <c r="AQ50" i="24"/>
  <c r="AG50" i="24"/>
  <c r="AB50" i="24"/>
  <c r="W50" i="24"/>
  <c r="AQ49" i="24"/>
  <c r="AG49" i="24"/>
  <c r="AB49" i="24"/>
  <c r="W49" i="24"/>
  <c r="AQ48" i="24"/>
  <c r="AG48" i="24"/>
  <c r="AB48" i="24"/>
  <c r="W48" i="24"/>
  <c r="AQ47" i="24"/>
  <c r="AG47" i="24"/>
  <c r="AB47" i="24"/>
  <c r="W47" i="24"/>
  <c r="AQ46" i="24"/>
  <c r="AG46" i="24"/>
  <c r="AB46" i="24"/>
  <c r="W46" i="24"/>
  <c r="AQ45" i="24"/>
  <c r="AG45" i="24"/>
  <c r="AB45" i="24"/>
  <c r="W45" i="24"/>
  <c r="AQ44" i="24"/>
  <c r="AG44" i="24"/>
  <c r="AB44" i="24"/>
  <c r="W44" i="24"/>
  <c r="AQ43" i="24"/>
  <c r="AG43" i="24"/>
  <c r="AB43" i="24"/>
  <c r="W43" i="24"/>
  <c r="AQ42" i="24"/>
  <c r="AG42" i="24"/>
  <c r="AB42" i="24"/>
  <c r="W42" i="24"/>
  <c r="AQ41" i="24"/>
  <c r="AG41" i="24"/>
  <c r="AB41" i="24"/>
  <c r="W41" i="24"/>
  <c r="AQ40" i="24"/>
  <c r="AG40" i="24"/>
  <c r="AB40" i="24"/>
  <c r="W40" i="24"/>
  <c r="AQ39" i="24"/>
  <c r="AG39" i="24"/>
  <c r="AB39" i="24"/>
  <c r="W39" i="24"/>
  <c r="AQ38" i="24"/>
  <c r="AG38" i="24"/>
  <c r="AB38" i="24"/>
  <c r="W38" i="24"/>
  <c r="AQ37" i="24"/>
  <c r="AG37" i="24"/>
  <c r="AB37" i="24"/>
  <c r="W37" i="24"/>
  <c r="AQ36" i="24"/>
  <c r="AG36" i="24"/>
  <c r="AB36" i="24"/>
  <c r="W36" i="24"/>
  <c r="AQ35" i="24"/>
  <c r="AG35" i="24"/>
  <c r="AB35" i="24"/>
  <c r="W35" i="24"/>
  <c r="AQ34" i="24"/>
  <c r="AG34" i="24"/>
  <c r="AB34" i="24"/>
  <c r="W34" i="24"/>
  <c r="AQ33" i="24"/>
  <c r="AG33" i="24"/>
  <c r="AB33" i="24"/>
  <c r="W33" i="24"/>
  <c r="AQ32" i="24"/>
  <c r="AG32" i="24"/>
  <c r="AB32" i="24"/>
  <c r="W32" i="24"/>
  <c r="AQ31" i="24"/>
  <c r="AG31" i="24"/>
  <c r="AB31" i="24"/>
  <c r="W31" i="24"/>
  <c r="AQ30" i="24"/>
  <c r="AG30" i="24"/>
  <c r="AB30" i="24"/>
  <c r="W30" i="24"/>
  <c r="AQ29" i="24"/>
  <c r="AG29" i="24"/>
  <c r="AB29" i="24"/>
  <c r="W29" i="24"/>
  <c r="AQ28" i="24"/>
  <c r="AG28" i="24"/>
  <c r="AB28" i="24"/>
  <c r="W28" i="24"/>
  <c r="AQ27" i="24"/>
  <c r="AG27" i="24"/>
  <c r="AB27" i="24"/>
  <c r="W27" i="24"/>
  <c r="AQ26" i="24"/>
  <c r="AG26" i="24"/>
  <c r="AB26" i="24"/>
  <c r="W26" i="24"/>
  <c r="AQ25" i="24"/>
  <c r="AG25" i="24"/>
  <c r="AB25" i="24"/>
  <c r="W25" i="24"/>
  <c r="AQ24" i="24"/>
  <c r="AG24" i="24"/>
  <c r="AB24" i="24"/>
  <c r="W24" i="24"/>
  <c r="AQ23" i="24"/>
  <c r="AG23" i="24"/>
  <c r="AB23" i="24"/>
  <c r="W23" i="24"/>
  <c r="AQ22" i="24"/>
  <c r="AG22" i="24"/>
  <c r="AB22" i="24"/>
  <c r="W22" i="24"/>
  <c r="AQ21" i="24"/>
  <c r="AG21" i="24"/>
  <c r="AB21" i="24"/>
  <c r="W21" i="24"/>
  <c r="AQ20" i="24"/>
  <c r="AG20" i="24"/>
  <c r="AB20" i="24"/>
  <c r="W20" i="24"/>
  <c r="AQ19" i="24"/>
  <c r="AG19" i="24"/>
  <c r="AB19" i="24"/>
  <c r="W19" i="24"/>
  <c r="AQ18" i="24"/>
  <c r="AG18" i="24"/>
  <c r="AB18" i="24"/>
  <c r="W18" i="24"/>
  <c r="AQ17" i="24"/>
  <c r="AG17" i="24"/>
  <c r="AB17" i="24"/>
  <c r="W17" i="24"/>
  <c r="AQ16" i="24"/>
  <c r="AG16" i="24"/>
  <c r="AB16" i="24"/>
  <c r="W16" i="24"/>
  <c r="AQ15" i="24"/>
  <c r="AL15" i="24"/>
  <c r="AG15" i="24"/>
  <c r="AB15" i="24"/>
  <c r="W15" i="24"/>
  <c r="AQ14" i="24"/>
  <c r="AL14" i="24"/>
  <c r="AG14" i="24"/>
  <c r="AB14" i="24"/>
  <c r="W14" i="24"/>
  <c r="AQ13" i="24"/>
  <c r="AL13" i="24"/>
  <c r="AG13" i="24"/>
  <c r="AB13" i="24"/>
  <c r="W13" i="24"/>
  <c r="AQ12" i="24"/>
  <c r="AL12" i="24"/>
  <c r="AG12" i="24"/>
  <c r="AB12" i="24"/>
  <c r="W12" i="24"/>
  <c r="AQ11" i="24"/>
  <c r="AL11" i="24"/>
  <c r="AG11" i="24"/>
  <c r="AB11" i="24"/>
  <c r="W11" i="24"/>
  <c r="AQ10" i="24"/>
  <c r="AL10" i="24"/>
  <c r="AG10" i="24"/>
  <c r="AB10" i="24"/>
  <c r="W10" i="24"/>
  <c r="AQ9" i="24"/>
  <c r="AL9" i="24"/>
  <c r="AG9" i="24"/>
  <c r="AB9" i="24"/>
  <c r="W9" i="24"/>
  <c r="AQ8" i="24"/>
  <c r="AL8" i="24"/>
  <c r="AG8" i="24"/>
  <c r="AB8" i="24"/>
  <c r="W8" i="24"/>
  <c r="AQ7" i="24"/>
  <c r="AL7" i="24"/>
  <c r="AG7" i="24"/>
  <c r="AB7" i="24"/>
  <c r="W7" i="24"/>
  <c r="AQ6" i="24"/>
  <c r="AL6" i="24"/>
  <c r="AG6" i="24"/>
  <c r="AB6" i="24"/>
  <c r="W6" i="24"/>
  <c r="AQ5" i="24"/>
  <c r="AL5" i="24"/>
  <c r="AG5" i="24"/>
  <c r="AB5" i="24"/>
  <c r="W5" i="24"/>
  <c r="AQ4" i="24"/>
  <c r="AL4" i="24"/>
  <c r="AG4" i="24"/>
  <c r="AB4" i="24"/>
  <c r="W4" i="24"/>
  <c r="AQ56" i="23"/>
  <c r="AG56" i="23"/>
  <c r="AB56" i="23"/>
  <c r="W56" i="23"/>
  <c r="AQ55" i="23"/>
  <c r="AG55" i="23"/>
  <c r="AB55" i="23"/>
  <c r="W55" i="23"/>
  <c r="AQ54" i="23"/>
  <c r="AG54" i="23"/>
  <c r="AB54" i="23"/>
  <c r="W54" i="23"/>
  <c r="AQ53" i="23"/>
  <c r="AG53" i="23"/>
  <c r="AB53" i="23"/>
  <c r="W53" i="23"/>
  <c r="AQ52" i="23"/>
  <c r="AG52" i="23"/>
  <c r="AB52" i="23"/>
  <c r="W52" i="23"/>
  <c r="AQ51" i="23"/>
  <c r="AG51" i="23"/>
  <c r="AB51" i="23"/>
  <c r="W51" i="23"/>
  <c r="AQ50" i="23"/>
  <c r="AG50" i="23"/>
  <c r="AB50" i="23"/>
  <c r="W50" i="23"/>
  <c r="AQ49" i="23"/>
  <c r="AG49" i="23"/>
  <c r="AB49" i="23"/>
  <c r="W49" i="23"/>
  <c r="AQ48" i="23"/>
  <c r="AG48" i="23"/>
  <c r="AB48" i="23"/>
  <c r="W48" i="23"/>
  <c r="AQ47" i="23"/>
  <c r="AG47" i="23"/>
  <c r="AB47" i="23"/>
  <c r="W47" i="23"/>
  <c r="AQ46" i="23"/>
  <c r="AG46" i="23"/>
  <c r="AB46" i="23"/>
  <c r="W46" i="23"/>
  <c r="AQ45" i="23"/>
  <c r="AG45" i="23"/>
  <c r="AB45" i="23"/>
  <c r="W45" i="23"/>
  <c r="AQ44" i="23"/>
  <c r="AG44" i="23"/>
  <c r="AB44" i="23"/>
  <c r="W44" i="23"/>
  <c r="AQ43" i="23"/>
  <c r="AG43" i="23"/>
  <c r="AB43" i="23"/>
  <c r="W43" i="23"/>
  <c r="AQ42" i="23"/>
  <c r="AG42" i="23"/>
  <c r="AB42" i="23"/>
  <c r="W42" i="23"/>
  <c r="AQ41" i="23"/>
  <c r="AG41" i="23"/>
  <c r="AB41" i="23"/>
  <c r="W41" i="23"/>
  <c r="AQ40" i="23"/>
  <c r="AG40" i="23"/>
  <c r="AB40" i="23"/>
  <c r="W40" i="23"/>
  <c r="AQ39" i="23"/>
  <c r="AG39" i="23"/>
  <c r="AB39" i="23"/>
  <c r="W39" i="23"/>
  <c r="AQ38" i="23"/>
  <c r="AG38" i="23"/>
  <c r="AB38" i="23"/>
  <c r="W38" i="23"/>
  <c r="AQ37" i="23"/>
  <c r="AG37" i="23"/>
  <c r="AB37" i="23"/>
  <c r="W37" i="23"/>
  <c r="AQ36" i="23"/>
  <c r="AG36" i="23"/>
  <c r="AB36" i="23"/>
  <c r="W36" i="23"/>
  <c r="AQ35" i="23"/>
  <c r="AG35" i="23"/>
  <c r="AB35" i="23"/>
  <c r="W35" i="23"/>
  <c r="AQ34" i="23"/>
  <c r="AG34" i="23"/>
  <c r="AB34" i="23"/>
  <c r="W34" i="23"/>
  <c r="AQ33" i="23"/>
  <c r="AG33" i="23"/>
  <c r="AB33" i="23"/>
  <c r="W33" i="23"/>
  <c r="AQ32" i="23"/>
  <c r="AG32" i="23"/>
  <c r="AB32" i="23"/>
  <c r="W32" i="23"/>
  <c r="AQ31" i="23"/>
  <c r="AG31" i="23"/>
  <c r="AB31" i="23"/>
  <c r="W31" i="23"/>
  <c r="AQ30" i="23"/>
  <c r="AG30" i="23"/>
  <c r="AB30" i="23"/>
  <c r="W30" i="23"/>
  <c r="AQ29" i="23"/>
  <c r="AG29" i="23"/>
  <c r="AB29" i="23"/>
  <c r="W29" i="23"/>
  <c r="AQ28" i="23"/>
  <c r="AG28" i="23"/>
  <c r="AB28" i="23"/>
  <c r="W28" i="23"/>
  <c r="AQ27" i="23"/>
  <c r="AG27" i="23"/>
  <c r="AB27" i="23"/>
  <c r="W27" i="23"/>
  <c r="AQ26" i="23"/>
  <c r="AG26" i="23"/>
  <c r="AB26" i="23"/>
  <c r="W26" i="23"/>
  <c r="AQ25" i="23"/>
  <c r="AG25" i="23"/>
  <c r="AB25" i="23"/>
  <c r="W25" i="23"/>
  <c r="AQ24" i="23"/>
  <c r="AG24" i="23"/>
  <c r="AB24" i="23"/>
  <c r="W24" i="23"/>
  <c r="AQ23" i="23"/>
  <c r="AG23" i="23"/>
  <c r="AB23" i="23"/>
  <c r="W23" i="23"/>
  <c r="AQ22" i="23"/>
  <c r="AG22" i="23"/>
  <c r="AB22" i="23"/>
  <c r="W22" i="23"/>
  <c r="AQ21" i="23"/>
  <c r="AG21" i="23"/>
  <c r="AB21" i="23"/>
  <c r="W21" i="23"/>
  <c r="AQ20" i="23"/>
  <c r="AG20" i="23"/>
  <c r="AB20" i="23"/>
  <c r="W20" i="23"/>
  <c r="AQ19" i="23"/>
  <c r="AG19" i="23"/>
  <c r="AB19" i="23"/>
  <c r="W19" i="23"/>
  <c r="AQ18" i="23"/>
  <c r="AG18" i="23"/>
  <c r="AB18" i="23"/>
  <c r="W18" i="23"/>
  <c r="AQ17" i="23"/>
  <c r="AG17" i="23"/>
  <c r="AB17" i="23"/>
  <c r="W17" i="23"/>
  <c r="AQ16" i="23"/>
  <c r="AG16" i="23"/>
  <c r="AB16" i="23"/>
  <c r="W16" i="23"/>
  <c r="AQ15" i="23"/>
  <c r="AL15" i="23"/>
  <c r="AG15" i="23"/>
  <c r="AB15" i="23"/>
  <c r="W15" i="23"/>
  <c r="AQ14" i="23"/>
  <c r="AL14" i="23"/>
  <c r="AG14" i="23"/>
  <c r="AB14" i="23"/>
  <c r="W14" i="23"/>
  <c r="AQ13" i="23"/>
  <c r="AL13" i="23"/>
  <c r="AG13" i="23"/>
  <c r="AB13" i="23"/>
  <c r="W13" i="23"/>
  <c r="AQ12" i="23"/>
  <c r="AL12" i="23"/>
  <c r="AG12" i="23"/>
  <c r="AB12" i="23"/>
  <c r="W12" i="23"/>
  <c r="AQ11" i="23"/>
  <c r="AL11" i="23"/>
  <c r="AG11" i="23"/>
  <c r="AB11" i="23"/>
  <c r="W11" i="23"/>
  <c r="AQ10" i="23"/>
  <c r="AL10" i="23"/>
  <c r="AG10" i="23"/>
  <c r="AB10" i="23"/>
  <c r="W10" i="23"/>
  <c r="AQ9" i="23"/>
  <c r="AL9" i="23"/>
  <c r="AG9" i="23"/>
  <c r="AB9" i="23"/>
  <c r="W9" i="23"/>
  <c r="AQ8" i="23"/>
  <c r="AL8" i="23"/>
  <c r="AG8" i="23"/>
  <c r="AB8" i="23"/>
  <c r="W8" i="23"/>
  <c r="AQ7" i="23"/>
  <c r="AL7" i="23"/>
  <c r="AG7" i="23"/>
  <c r="AB7" i="23"/>
  <c r="W7" i="23"/>
  <c r="AQ6" i="23"/>
  <c r="AL6" i="23"/>
  <c r="AG6" i="23"/>
  <c r="AB6" i="23"/>
  <c r="W6" i="23"/>
  <c r="AQ5" i="23"/>
  <c r="AL5" i="23"/>
  <c r="AG5" i="23"/>
  <c r="AB5" i="23"/>
  <c r="W5" i="23"/>
  <c r="AQ4" i="23"/>
  <c r="AL4" i="23"/>
  <c r="AG4" i="23"/>
  <c r="AB4" i="23"/>
  <c r="W4" i="23"/>
  <c r="AQ56" i="22"/>
  <c r="AG56" i="22"/>
  <c r="AB56" i="22"/>
  <c r="W56" i="22"/>
  <c r="AQ55" i="22"/>
  <c r="AG55" i="22"/>
  <c r="AB55" i="22"/>
  <c r="W55" i="22"/>
  <c r="AQ54" i="22"/>
  <c r="AG54" i="22"/>
  <c r="AB54" i="22"/>
  <c r="W54" i="22"/>
  <c r="AQ53" i="22"/>
  <c r="AG53" i="22"/>
  <c r="AB53" i="22"/>
  <c r="W53" i="22"/>
  <c r="AQ52" i="22"/>
  <c r="AG52" i="22"/>
  <c r="AB52" i="22"/>
  <c r="W52" i="22"/>
  <c r="AQ51" i="22"/>
  <c r="AG51" i="22"/>
  <c r="AB51" i="22"/>
  <c r="W51" i="22"/>
  <c r="AQ50" i="22"/>
  <c r="AG50" i="22"/>
  <c r="AB50" i="22"/>
  <c r="W50" i="22"/>
  <c r="AQ49" i="22"/>
  <c r="AG49" i="22"/>
  <c r="AB49" i="22"/>
  <c r="W49" i="22"/>
  <c r="AQ48" i="22"/>
  <c r="AG48" i="22"/>
  <c r="AB48" i="22"/>
  <c r="W48" i="22"/>
  <c r="AQ47" i="22"/>
  <c r="AG47" i="22"/>
  <c r="AB47" i="22"/>
  <c r="W47" i="22"/>
  <c r="AQ46" i="22"/>
  <c r="AG46" i="22"/>
  <c r="AB46" i="22"/>
  <c r="W46" i="22"/>
  <c r="AQ45" i="22"/>
  <c r="AG45" i="22"/>
  <c r="AB45" i="22"/>
  <c r="W45" i="22"/>
  <c r="AQ44" i="22"/>
  <c r="AG44" i="22"/>
  <c r="AB44" i="22"/>
  <c r="W44" i="22"/>
  <c r="AQ43" i="22"/>
  <c r="AG43" i="22"/>
  <c r="AB43" i="22"/>
  <c r="W43" i="22"/>
  <c r="AQ42" i="22"/>
  <c r="AG42" i="22"/>
  <c r="AB42" i="22"/>
  <c r="W42" i="22"/>
  <c r="AQ41" i="22"/>
  <c r="AG41" i="22"/>
  <c r="AB41" i="22"/>
  <c r="W41" i="22"/>
  <c r="AQ40" i="22"/>
  <c r="AG40" i="22"/>
  <c r="AB40" i="22"/>
  <c r="W40" i="22"/>
  <c r="AQ39" i="22"/>
  <c r="AG39" i="22"/>
  <c r="AB39" i="22"/>
  <c r="W39" i="22"/>
  <c r="AQ38" i="22"/>
  <c r="AG38" i="22"/>
  <c r="AB38" i="22"/>
  <c r="W38" i="22"/>
  <c r="AQ37" i="22"/>
  <c r="AG37" i="22"/>
  <c r="AB37" i="22"/>
  <c r="W37" i="22"/>
  <c r="AQ36" i="22"/>
  <c r="AG36" i="22"/>
  <c r="AB36" i="22"/>
  <c r="W36" i="22"/>
  <c r="AQ35" i="22"/>
  <c r="AG35" i="22"/>
  <c r="AB35" i="22"/>
  <c r="W35" i="22"/>
  <c r="AQ34" i="22"/>
  <c r="AG34" i="22"/>
  <c r="AB34" i="22"/>
  <c r="W34" i="22"/>
  <c r="AQ33" i="22"/>
  <c r="AG33" i="22"/>
  <c r="AB33" i="22"/>
  <c r="W33" i="22"/>
  <c r="AQ32" i="22"/>
  <c r="AG32" i="22"/>
  <c r="AB32" i="22"/>
  <c r="W32" i="22"/>
  <c r="AQ31" i="22"/>
  <c r="AG31" i="22"/>
  <c r="AB31" i="22"/>
  <c r="W31" i="22"/>
  <c r="AQ30" i="22"/>
  <c r="AG30" i="22"/>
  <c r="AB30" i="22"/>
  <c r="W30" i="22"/>
  <c r="AQ29" i="22"/>
  <c r="AG29" i="22"/>
  <c r="AB29" i="22"/>
  <c r="W29" i="22"/>
  <c r="AQ28" i="22"/>
  <c r="AG28" i="22"/>
  <c r="AB28" i="22"/>
  <c r="W28" i="22"/>
  <c r="AQ27" i="22"/>
  <c r="AG27" i="22"/>
  <c r="AB27" i="22"/>
  <c r="W27" i="22"/>
  <c r="AQ26" i="22"/>
  <c r="AG26" i="22"/>
  <c r="AB26" i="22"/>
  <c r="W26" i="22"/>
  <c r="AQ25" i="22"/>
  <c r="AG25" i="22"/>
  <c r="AB25" i="22"/>
  <c r="W25" i="22"/>
  <c r="AQ24" i="22"/>
  <c r="AG24" i="22"/>
  <c r="AB24" i="22"/>
  <c r="W24" i="22"/>
  <c r="AQ23" i="22"/>
  <c r="AG23" i="22"/>
  <c r="AB23" i="22"/>
  <c r="W23" i="22"/>
  <c r="AQ22" i="22"/>
  <c r="AG22" i="22"/>
  <c r="AB22" i="22"/>
  <c r="W22" i="22"/>
  <c r="AQ21" i="22"/>
  <c r="AG21" i="22"/>
  <c r="AB21" i="22"/>
  <c r="W21" i="22"/>
  <c r="AQ20" i="22"/>
  <c r="AG20" i="22"/>
  <c r="AB20" i="22"/>
  <c r="W20" i="22"/>
  <c r="AQ19" i="22"/>
  <c r="AG19" i="22"/>
  <c r="AB19" i="22"/>
  <c r="W19" i="22"/>
  <c r="AQ18" i="22"/>
  <c r="AG18" i="22"/>
  <c r="AB18" i="22"/>
  <c r="W18" i="22"/>
  <c r="AQ17" i="22"/>
  <c r="AG17" i="22"/>
  <c r="AB17" i="22"/>
  <c r="W17" i="22"/>
  <c r="AG16" i="22"/>
  <c r="AB16" i="22"/>
  <c r="W16" i="22"/>
  <c r="AQ15" i="22"/>
  <c r="AL15" i="22"/>
  <c r="AG15" i="22"/>
  <c r="AB15" i="22"/>
  <c r="W15" i="22"/>
  <c r="AQ14" i="22"/>
  <c r="AL14" i="22"/>
  <c r="AG14" i="22"/>
  <c r="AB14" i="22"/>
  <c r="W14" i="22"/>
  <c r="AQ13" i="22"/>
  <c r="AL13" i="22"/>
  <c r="AG13" i="22"/>
  <c r="AB13" i="22"/>
  <c r="W13" i="22"/>
  <c r="AQ12" i="22"/>
  <c r="AL12" i="22"/>
  <c r="AG12" i="22"/>
  <c r="AB12" i="22"/>
  <c r="W12" i="22"/>
  <c r="AQ11" i="22"/>
  <c r="AL11" i="22"/>
  <c r="AG11" i="22"/>
  <c r="AB11" i="22"/>
  <c r="W11" i="22"/>
  <c r="AQ10" i="22"/>
  <c r="AL10" i="22"/>
  <c r="AG10" i="22"/>
  <c r="AB10" i="22"/>
  <c r="W10" i="22"/>
  <c r="AQ9" i="22"/>
  <c r="AL9" i="22"/>
  <c r="AG9" i="22"/>
  <c r="AB9" i="22"/>
  <c r="W9" i="22"/>
  <c r="AQ8" i="22"/>
  <c r="AL8" i="22"/>
  <c r="AG8" i="22"/>
  <c r="AB8" i="22"/>
  <c r="W8" i="22"/>
  <c r="AQ7" i="22"/>
  <c r="AL7" i="22"/>
  <c r="AG7" i="22"/>
  <c r="AB7" i="22"/>
  <c r="W7" i="22"/>
  <c r="AQ6" i="22"/>
  <c r="AL6" i="22"/>
  <c r="AG6" i="22"/>
  <c r="AB6" i="22"/>
  <c r="W6" i="22"/>
  <c r="AQ5" i="22"/>
  <c r="AL5" i="22"/>
  <c r="AG5" i="22"/>
  <c r="AB5" i="22"/>
  <c r="W5" i="22"/>
  <c r="AQ4" i="22"/>
  <c r="AL4" i="22"/>
  <c r="AG4" i="22"/>
  <c r="AB4" i="22"/>
  <c r="W4" i="22"/>
  <c r="AQ56" i="21"/>
  <c r="AG56" i="21"/>
  <c r="AB56" i="21"/>
  <c r="W56" i="21"/>
  <c r="AQ55" i="21"/>
  <c r="AG55" i="21"/>
  <c r="AB55" i="21"/>
  <c r="W55" i="21"/>
  <c r="AQ54" i="21"/>
  <c r="AG54" i="21"/>
  <c r="AB54" i="21"/>
  <c r="W54" i="21"/>
  <c r="AQ53" i="21"/>
  <c r="AG53" i="21"/>
  <c r="AB53" i="21"/>
  <c r="W53" i="21"/>
  <c r="AQ52" i="21"/>
  <c r="AG52" i="21"/>
  <c r="AB52" i="21"/>
  <c r="W52" i="21"/>
  <c r="AQ51" i="21"/>
  <c r="AG51" i="21"/>
  <c r="AB51" i="21"/>
  <c r="W51" i="21"/>
  <c r="AQ50" i="21"/>
  <c r="F198" i="5"/>
  <c r="AG50" i="21"/>
  <c r="AB50" i="21"/>
  <c r="W50" i="21"/>
  <c r="AQ49" i="21"/>
  <c r="AG49" i="21"/>
  <c r="AB49" i="21"/>
  <c r="W49" i="21"/>
  <c r="AQ48" i="21"/>
  <c r="AG48" i="21"/>
  <c r="AB48" i="21"/>
  <c r="W48" i="21"/>
  <c r="AQ47" i="21"/>
  <c r="AG47" i="21"/>
  <c r="AB47" i="21"/>
  <c r="W47" i="21"/>
  <c r="AQ46" i="21"/>
  <c r="AG46" i="21"/>
  <c r="AB46" i="21"/>
  <c r="W46" i="21"/>
  <c r="AQ45" i="21"/>
  <c r="AG45" i="21"/>
  <c r="AB45" i="21"/>
  <c r="W45" i="21"/>
  <c r="AQ44" i="21"/>
  <c r="AG44" i="21"/>
  <c r="AB44" i="21"/>
  <c r="W44" i="21"/>
  <c r="AQ43" i="21"/>
  <c r="AG43" i="21"/>
  <c r="AB43" i="21"/>
  <c r="W43" i="21"/>
  <c r="AQ42" i="21"/>
  <c r="AG42" i="21"/>
  <c r="AB42" i="21"/>
  <c r="W42" i="21"/>
  <c r="AQ41" i="21"/>
  <c r="AG41" i="21"/>
  <c r="AB41" i="21"/>
  <c r="W41" i="21"/>
  <c r="AQ40" i="21"/>
  <c r="AG40" i="21"/>
  <c r="AB40" i="21"/>
  <c r="W40" i="21"/>
  <c r="AQ39" i="21"/>
  <c r="AG39" i="21"/>
  <c r="AB39" i="21"/>
  <c r="W39" i="21"/>
  <c r="AQ38" i="21"/>
  <c r="AG38" i="21"/>
  <c r="AB38" i="21"/>
  <c r="W38" i="21"/>
  <c r="AQ37" i="21"/>
  <c r="AG37" i="21"/>
  <c r="AB37" i="21"/>
  <c r="W37" i="21"/>
  <c r="AQ36" i="21"/>
  <c r="AG36" i="21"/>
  <c r="AB36" i="21"/>
  <c r="W36" i="21"/>
  <c r="AQ35" i="21"/>
  <c r="AG35" i="21"/>
  <c r="AB35" i="21"/>
  <c r="W35" i="21"/>
  <c r="AQ34" i="21"/>
  <c r="AG34" i="21"/>
  <c r="AB34" i="21"/>
  <c r="W34" i="21"/>
  <c r="AQ33" i="21"/>
  <c r="AG33" i="21"/>
  <c r="AB33" i="21"/>
  <c r="W33" i="21"/>
  <c r="AQ32" i="21"/>
  <c r="AG32" i="21"/>
  <c r="AB32" i="21"/>
  <c r="W32" i="21"/>
  <c r="AQ31" i="21"/>
  <c r="AG31" i="21"/>
  <c r="AB31" i="21"/>
  <c r="W31" i="21"/>
  <c r="AQ30" i="21"/>
  <c r="AG30" i="21"/>
  <c r="AB30" i="21"/>
  <c r="W30" i="21"/>
  <c r="AQ29" i="21"/>
  <c r="AG29" i="21"/>
  <c r="AB29" i="21"/>
  <c r="W29" i="21"/>
  <c r="AQ28" i="21"/>
  <c r="AG28" i="21"/>
  <c r="AB28" i="21"/>
  <c r="W28" i="21"/>
  <c r="AQ27" i="21"/>
  <c r="AG27" i="21"/>
  <c r="AB27" i="21"/>
  <c r="W27" i="21"/>
  <c r="AQ26" i="21"/>
  <c r="AG26" i="21"/>
  <c r="AB26" i="21"/>
  <c r="W26" i="21"/>
  <c r="AQ25" i="21"/>
  <c r="AG25" i="21"/>
  <c r="AB25" i="21"/>
  <c r="W25" i="21"/>
  <c r="AQ24" i="21"/>
  <c r="AG24" i="21"/>
  <c r="AB24" i="21"/>
  <c r="W24" i="21"/>
  <c r="AQ23" i="21"/>
  <c r="AG23" i="21"/>
  <c r="AB23" i="21"/>
  <c r="W23" i="21"/>
  <c r="AQ22" i="21"/>
  <c r="AG22" i="21"/>
  <c r="AB22" i="21"/>
  <c r="W22" i="21"/>
  <c r="AQ21" i="21"/>
  <c r="AG21" i="21"/>
  <c r="AB21" i="21"/>
  <c r="W21" i="21"/>
  <c r="AQ20" i="21"/>
  <c r="AG20" i="21"/>
  <c r="AB20" i="21"/>
  <c r="W20" i="21"/>
  <c r="AQ19" i="21"/>
  <c r="AG19" i="21"/>
  <c r="AB19" i="21"/>
  <c r="W19" i="21"/>
  <c r="AQ18" i="21"/>
  <c r="AG18" i="21"/>
  <c r="AB18" i="21"/>
  <c r="W18" i="21"/>
  <c r="AQ17" i="21"/>
  <c r="AG17" i="21"/>
  <c r="AB17" i="21"/>
  <c r="W17" i="21"/>
  <c r="AQ16" i="21"/>
  <c r="AG16" i="21"/>
  <c r="AB16" i="21"/>
  <c r="W16" i="21"/>
  <c r="AQ15" i="21"/>
  <c r="AL15" i="21"/>
  <c r="AG15" i="21"/>
  <c r="AB15" i="21"/>
  <c r="W15" i="21"/>
  <c r="AQ14" i="21"/>
  <c r="AL14" i="21"/>
  <c r="AG14" i="21"/>
  <c r="AB14" i="21"/>
  <c r="W14" i="21"/>
  <c r="AQ13" i="21"/>
  <c r="AL13" i="21"/>
  <c r="AG13" i="21"/>
  <c r="AB13" i="21"/>
  <c r="W13" i="21"/>
  <c r="AQ12" i="21"/>
  <c r="AL12" i="21"/>
  <c r="AG12" i="21"/>
  <c r="AB12" i="21"/>
  <c r="W12" i="21"/>
  <c r="AQ11" i="21"/>
  <c r="AL11" i="21"/>
  <c r="AG11" i="21"/>
  <c r="AB11" i="21"/>
  <c r="W11" i="21"/>
  <c r="AQ10" i="21"/>
  <c r="AL10" i="21"/>
  <c r="AG10" i="21"/>
  <c r="AB10" i="21"/>
  <c r="W10" i="21"/>
  <c r="AQ9" i="21"/>
  <c r="AL9" i="21"/>
  <c r="AG9" i="21"/>
  <c r="AB9" i="21"/>
  <c r="W9" i="21"/>
  <c r="AQ8" i="21"/>
  <c r="AL8" i="21"/>
  <c r="AG8" i="21"/>
  <c r="AB8" i="21"/>
  <c r="W8" i="21"/>
  <c r="AQ7" i="21"/>
  <c r="AL7" i="21"/>
  <c r="AG7" i="21"/>
  <c r="AB7" i="21"/>
  <c r="W7" i="21"/>
  <c r="AQ6" i="21"/>
  <c r="AL6" i="21"/>
  <c r="AG6" i="21"/>
  <c r="AB6" i="21"/>
  <c r="W6" i="21"/>
  <c r="AQ5" i="21"/>
  <c r="AL5" i="21"/>
  <c r="AG5" i="21"/>
  <c r="AB5" i="21"/>
  <c r="W5" i="21"/>
  <c r="AQ4" i="21"/>
  <c r="AL4" i="21"/>
  <c r="AG4" i="21"/>
  <c r="AB4" i="21"/>
  <c r="W4" i="21"/>
  <c r="AG56" i="20"/>
  <c r="AB56" i="20"/>
  <c r="W56" i="20"/>
  <c r="AG55" i="20"/>
  <c r="AB55" i="20"/>
  <c r="W55" i="20"/>
  <c r="AG54" i="20"/>
  <c r="AB54" i="20"/>
  <c r="W54" i="20"/>
  <c r="AG53" i="20"/>
  <c r="AB53" i="20"/>
  <c r="W53" i="20"/>
  <c r="AG52" i="20"/>
  <c r="AB52" i="20"/>
  <c r="W52" i="20"/>
  <c r="AG51" i="20"/>
  <c r="AB51" i="20"/>
  <c r="W51" i="20"/>
  <c r="F194" i="5"/>
  <c r="AG50" i="20"/>
  <c r="AB50" i="20"/>
  <c r="W50" i="20"/>
  <c r="AG49" i="20"/>
  <c r="AB49" i="20"/>
  <c r="W49" i="20"/>
  <c r="AG48" i="20"/>
  <c r="AB48" i="20"/>
  <c r="W48" i="20"/>
  <c r="AG47" i="20"/>
  <c r="AB47" i="20"/>
  <c r="W47" i="20"/>
  <c r="AG46" i="20"/>
  <c r="AB46" i="20"/>
  <c r="W46" i="20"/>
  <c r="AG45" i="20"/>
  <c r="AB45" i="20"/>
  <c r="W45" i="20"/>
  <c r="AG44" i="20"/>
  <c r="AB44" i="20"/>
  <c r="W44" i="20"/>
  <c r="AG43" i="20"/>
  <c r="AB43" i="20"/>
  <c r="W43" i="20"/>
  <c r="AG42" i="20"/>
  <c r="AB42" i="20"/>
  <c r="W42" i="20"/>
  <c r="AG41" i="20"/>
  <c r="AB41" i="20"/>
  <c r="W41" i="20"/>
  <c r="AG40" i="20"/>
  <c r="AB40" i="20"/>
  <c r="W40" i="20"/>
  <c r="AG39" i="20"/>
  <c r="AB39" i="20"/>
  <c r="W39" i="20"/>
  <c r="AG38" i="20"/>
  <c r="AB38" i="20"/>
  <c r="W38" i="20"/>
  <c r="AG37" i="20"/>
  <c r="AB37" i="20"/>
  <c r="W37" i="20"/>
  <c r="AG36" i="20"/>
  <c r="AB36" i="20"/>
  <c r="W36" i="20"/>
  <c r="AG35" i="20"/>
  <c r="AB35" i="20"/>
  <c r="W35" i="20"/>
  <c r="AG34" i="20"/>
  <c r="AB34" i="20"/>
  <c r="W34" i="20"/>
  <c r="AG33" i="20"/>
  <c r="AB33" i="20"/>
  <c r="W33" i="20"/>
  <c r="AG32" i="20"/>
  <c r="AB32" i="20"/>
  <c r="W32" i="20"/>
  <c r="AG31" i="20"/>
  <c r="AB31" i="20"/>
  <c r="W31" i="20"/>
  <c r="AG30" i="20"/>
  <c r="AB30" i="20"/>
  <c r="W30" i="20"/>
  <c r="AG29" i="20"/>
  <c r="AB29" i="20"/>
  <c r="W29" i="20"/>
  <c r="AG28" i="20"/>
  <c r="AB28" i="20"/>
  <c r="W28" i="20"/>
  <c r="AG27" i="20"/>
  <c r="AB27" i="20"/>
  <c r="W27" i="20"/>
  <c r="AG26" i="20"/>
  <c r="AB26" i="20"/>
  <c r="W26" i="20"/>
  <c r="AG25" i="20"/>
  <c r="AB25" i="20"/>
  <c r="W25" i="20"/>
  <c r="AG24" i="20"/>
  <c r="AB24" i="20"/>
  <c r="W24" i="20"/>
  <c r="AG23" i="20"/>
  <c r="AB23" i="20"/>
  <c r="W23" i="20"/>
  <c r="AG22" i="20"/>
  <c r="AB22" i="20"/>
  <c r="W22" i="20"/>
  <c r="AG21" i="20"/>
  <c r="AB21" i="20"/>
  <c r="W21" i="20"/>
  <c r="AG20" i="20"/>
  <c r="AB20" i="20"/>
  <c r="W20" i="20"/>
  <c r="AG19" i="20"/>
  <c r="AB19" i="20"/>
  <c r="W19" i="20"/>
  <c r="AG18" i="20"/>
  <c r="AB18" i="20"/>
  <c r="W18" i="20"/>
  <c r="AG17" i="20"/>
  <c r="AB17" i="20"/>
  <c r="W17" i="20"/>
  <c r="AG16" i="20"/>
  <c r="AB16" i="20"/>
  <c r="W16" i="20"/>
  <c r="AG15" i="20"/>
  <c r="AB15" i="20"/>
  <c r="W15" i="20"/>
  <c r="AG14" i="20"/>
  <c r="AB14" i="20"/>
  <c r="W14" i="20"/>
  <c r="AG13" i="20"/>
  <c r="AB13" i="20"/>
  <c r="W13" i="20"/>
  <c r="AG12" i="20"/>
  <c r="AB12" i="20"/>
  <c r="W12" i="20"/>
  <c r="AG11" i="20"/>
  <c r="AB11" i="20"/>
  <c r="W11" i="20"/>
  <c r="AG10" i="20"/>
  <c r="AB10" i="20"/>
  <c r="W10" i="20"/>
  <c r="AG9" i="20"/>
  <c r="AB9" i="20"/>
  <c r="W9" i="20"/>
  <c r="AG8" i="20"/>
  <c r="AB8" i="20"/>
  <c r="W8" i="20"/>
  <c r="AG7" i="20"/>
  <c r="AB7" i="20"/>
  <c r="W7" i="20"/>
  <c r="AG6" i="20"/>
  <c r="AB6" i="20"/>
  <c r="W6" i="20"/>
  <c r="AG5" i="20"/>
  <c r="AB5" i="20"/>
  <c r="W5" i="20"/>
  <c r="AQ4" i="20"/>
  <c r="AL4" i="20"/>
  <c r="AG4" i="20"/>
  <c r="AB4" i="20"/>
  <c r="W4" i="20"/>
  <c r="AG56" i="19"/>
  <c r="AB56" i="19"/>
  <c r="W56" i="19"/>
  <c r="AG55" i="19"/>
  <c r="AB55" i="19"/>
  <c r="W55" i="19"/>
  <c r="AG54" i="19"/>
  <c r="AB54" i="19"/>
  <c r="W54" i="19"/>
  <c r="AG53" i="19"/>
  <c r="AB53" i="19"/>
  <c r="W53" i="19"/>
  <c r="AG52" i="19"/>
  <c r="AB52" i="19"/>
  <c r="W52" i="19"/>
  <c r="AG51" i="19"/>
  <c r="AB51" i="19"/>
  <c r="W51" i="19"/>
  <c r="F193" i="5"/>
  <c r="AG50" i="19"/>
  <c r="AB50" i="19"/>
  <c r="W50" i="19"/>
  <c r="AG49" i="19"/>
  <c r="AB49" i="19"/>
  <c r="W49" i="19"/>
  <c r="AG48" i="19"/>
  <c r="AB48" i="19"/>
  <c r="W48" i="19"/>
  <c r="AG47" i="19"/>
  <c r="AB47" i="19"/>
  <c r="W47" i="19"/>
  <c r="AG46" i="19"/>
  <c r="AB46" i="19"/>
  <c r="W46" i="19"/>
  <c r="AG45" i="19"/>
  <c r="AB45" i="19"/>
  <c r="W45" i="19"/>
  <c r="AG44" i="19"/>
  <c r="AB44" i="19"/>
  <c r="W44" i="19"/>
  <c r="AG43" i="19"/>
  <c r="AB43" i="19"/>
  <c r="W43" i="19"/>
  <c r="AG42" i="19"/>
  <c r="AB42" i="19"/>
  <c r="W42" i="19"/>
  <c r="AG41" i="19"/>
  <c r="AB41" i="19"/>
  <c r="W41" i="19"/>
  <c r="AG40" i="19"/>
  <c r="AB40" i="19"/>
  <c r="W40" i="19"/>
  <c r="AG39" i="19"/>
  <c r="AB39" i="19"/>
  <c r="W39" i="19"/>
  <c r="AG38" i="19"/>
  <c r="AB38" i="19"/>
  <c r="W38" i="19"/>
  <c r="AG37" i="19"/>
  <c r="AB37" i="19"/>
  <c r="W37" i="19"/>
  <c r="AG36" i="19"/>
  <c r="AB36" i="19"/>
  <c r="W36" i="19"/>
  <c r="AG35" i="19"/>
  <c r="AB35" i="19"/>
  <c r="W35" i="19"/>
  <c r="AG34" i="19"/>
  <c r="AB34" i="19"/>
  <c r="W34" i="19"/>
  <c r="AG33" i="19"/>
  <c r="AB33" i="19"/>
  <c r="W33" i="19"/>
  <c r="AG32" i="19"/>
  <c r="AB32" i="19"/>
  <c r="W32" i="19"/>
  <c r="AG31" i="19"/>
  <c r="AB31" i="19"/>
  <c r="W31" i="19"/>
  <c r="AG30" i="19"/>
  <c r="AB30" i="19"/>
  <c r="W30" i="19"/>
  <c r="AG29" i="19"/>
  <c r="AB29" i="19"/>
  <c r="W29" i="19"/>
  <c r="AG28" i="19"/>
  <c r="AB28" i="19"/>
  <c r="W28" i="19"/>
  <c r="AG27" i="19"/>
  <c r="AB27" i="19"/>
  <c r="W27" i="19"/>
  <c r="AG26" i="19"/>
  <c r="AB26" i="19"/>
  <c r="W26" i="19"/>
  <c r="AG25" i="19"/>
  <c r="AB25" i="19"/>
  <c r="W25" i="19"/>
  <c r="AG24" i="19"/>
  <c r="AB24" i="19"/>
  <c r="W24" i="19"/>
  <c r="AG23" i="19"/>
  <c r="AB23" i="19"/>
  <c r="W23" i="19"/>
  <c r="AG22" i="19"/>
  <c r="AB22" i="19"/>
  <c r="W22" i="19"/>
  <c r="AG21" i="19"/>
  <c r="AB21" i="19"/>
  <c r="W21" i="19"/>
  <c r="AG20" i="19"/>
  <c r="AB20" i="19"/>
  <c r="W20" i="19"/>
  <c r="AG19" i="19"/>
  <c r="AB19" i="19"/>
  <c r="W19" i="19"/>
  <c r="AG18" i="19"/>
  <c r="AB18" i="19"/>
  <c r="W18" i="19"/>
  <c r="AG17" i="19"/>
  <c r="AB17" i="19"/>
  <c r="W17" i="19"/>
  <c r="AG16" i="19"/>
  <c r="AB16" i="19"/>
  <c r="W16" i="19"/>
  <c r="AG15" i="19"/>
  <c r="AB15" i="19"/>
  <c r="W15" i="19"/>
  <c r="AG14" i="19"/>
  <c r="AB14" i="19"/>
  <c r="W14" i="19"/>
  <c r="AG13" i="19"/>
  <c r="AB13" i="19"/>
  <c r="W13" i="19"/>
  <c r="AG12" i="19"/>
  <c r="AB12" i="19"/>
  <c r="W12" i="19"/>
  <c r="AG11" i="19"/>
  <c r="AB11" i="19"/>
  <c r="W11" i="19"/>
  <c r="AG10" i="19"/>
  <c r="AB10" i="19"/>
  <c r="W10" i="19"/>
  <c r="AG9" i="19"/>
  <c r="AB9" i="19"/>
  <c r="W9" i="19"/>
  <c r="AG8" i="19"/>
  <c r="AB8" i="19"/>
  <c r="W8" i="19"/>
  <c r="AG7" i="19"/>
  <c r="AB7" i="19"/>
  <c r="W7" i="19"/>
  <c r="AG6" i="19"/>
  <c r="AB6" i="19"/>
  <c r="W6" i="19"/>
  <c r="AG5" i="19"/>
  <c r="AB5" i="19"/>
  <c r="W5" i="19"/>
  <c r="AQ4" i="19"/>
  <c r="AL4" i="19"/>
  <c r="AG4" i="19"/>
  <c r="AB4" i="19"/>
  <c r="W4" i="19"/>
  <c r="AG56" i="18"/>
  <c r="AB56" i="18"/>
  <c r="W56" i="18"/>
  <c r="AG55" i="18"/>
  <c r="AB55" i="18"/>
  <c r="W55" i="18"/>
  <c r="AG54" i="18"/>
  <c r="AB54" i="18"/>
  <c r="W54" i="18"/>
  <c r="AG53" i="18"/>
  <c r="AB53" i="18"/>
  <c r="W53" i="18"/>
  <c r="AG52" i="18"/>
  <c r="AB52" i="18"/>
  <c r="W52" i="18"/>
  <c r="AG51" i="18"/>
  <c r="AB51" i="18"/>
  <c r="W51" i="18"/>
  <c r="F192" i="5"/>
  <c r="AG50" i="18"/>
  <c r="AB50" i="18"/>
  <c r="W50" i="18"/>
  <c r="AG49" i="18"/>
  <c r="AB49" i="18"/>
  <c r="W49" i="18"/>
  <c r="AG48" i="18"/>
  <c r="AB48" i="18"/>
  <c r="W48" i="18"/>
  <c r="AG47" i="18"/>
  <c r="AB47" i="18"/>
  <c r="W47" i="18"/>
  <c r="AG46" i="18"/>
  <c r="AB46" i="18"/>
  <c r="W46" i="18"/>
  <c r="AG45" i="18"/>
  <c r="AB45" i="18"/>
  <c r="W45" i="18"/>
  <c r="AG44" i="18"/>
  <c r="AB44" i="18"/>
  <c r="W44" i="18"/>
  <c r="AG43" i="18"/>
  <c r="AB43" i="18"/>
  <c r="W43" i="18"/>
  <c r="AG42" i="18"/>
  <c r="AB42" i="18"/>
  <c r="W42" i="18"/>
  <c r="AG41" i="18"/>
  <c r="AB41" i="18"/>
  <c r="W41" i="18"/>
  <c r="AG40" i="18"/>
  <c r="AB40" i="18"/>
  <c r="W40" i="18"/>
  <c r="AG39" i="18"/>
  <c r="AB39" i="18"/>
  <c r="W39" i="18"/>
  <c r="AG38" i="18"/>
  <c r="AB38" i="18"/>
  <c r="W38" i="18"/>
  <c r="AG37" i="18"/>
  <c r="AB37" i="18"/>
  <c r="W37" i="18"/>
  <c r="AG36" i="18"/>
  <c r="AB36" i="18"/>
  <c r="W36" i="18"/>
  <c r="AG35" i="18"/>
  <c r="AB35" i="18"/>
  <c r="W35" i="18"/>
  <c r="AG34" i="18"/>
  <c r="AB34" i="18"/>
  <c r="W34" i="18"/>
  <c r="AG33" i="18"/>
  <c r="AB33" i="18"/>
  <c r="W33" i="18"/>
  <c r="AG32" i="18"/>
  <c r="AB32" i="18"/>
  <c r="W32" i="18"/>
  <c r="AG31" i="18"/>
  <c r="AB31" i="18"/>
  <c r="W31" i="18"/>
  <c r="AG30" i="18"/>
  <c r="AB30" i="18"/>
  <c r="W30" i="18"/>
  <c r="AG29" i="18"/>
  <c r="AB29" i="18"/>
  <c r="W29" i="18"/>
  <c r="AG28" i="18"/>
  <c r="AB28" i="18"/>
  <c r="W28" i="18"/>
  <c r="AG27" i="18"/>
  <c r="AB27" i="18"/>
  <c r="W27" i="18"/>
  <c r="AG26" i="18"/>
  <c r="AB26" i="18"/>
  <c r="W26" i="18"/>
  <c r="AG25" i="18"/>
  <c r="AB25" i="18"/>
  <c r="W25" i="18"/>
  <c r="AG24" i="18"/>
  <c r="AB24" i="18"/>
  <c r="W24" i="18"/>
  <c r="AG23" i="18"/>
  <c r="AB23" i="18"/>
  <c r="W23" i="18"/>
  <c r="AG22" i="18"/>
  <c r="AB22" i="18"/>
  <c r="W22" i="18"/>
  <c r="AG21" i="18"/>
  <c r="AB21" i="18"/>
  <c r="W21" i="18"/>
  <c r="AG20" i="18"/>
  <c r="AB20" i="18"/>
  <c r="W20" i="18"/>
  <c r="AG19" i="18"/>
  <c r="AB19" i="18"/>
  <c r="W19" i="18"/>
  <c r="AG18" i="18"/>
  <c r="AB18" i="18"/>
  <c r="W18" i="18"/>
  <c r="AG17" i="18"/>
  <c r="AB17" i="18"/>
  <c r="W17" i="18"/>
  <c r="AG16" i="18"/>
  <c r="AB16" i="18"/>
  <c r="W16" i="18"/>
  <c r="AG15" i="18"/>
  <c r="AB15" i="18"/>
  <c r="W15" i="18"/>
  <c r="AG14" i="18"/>
  <c r="AB14" i="18"/>
  <c r="W14" i="18"/>
  <c r="AG13" i="18"/>
  <c r="AB13" i="18"/>
  <c r="W13" i="18"/>
  <c r="AG12" i="18"/>
  <c r="AB12" i="18"/>
  <c r="W12" i="18"/>
  <c r="AG11" i="18"/>
  <c r="AB11" i="18"/>
  <c r="W11" i="18"/>
  <c r="AG10" i="18"/>
  <c r="AB10" i="18"/>
  <c r="W10" i="18"/>
  <c r="AG9" i="18"/>
  <c r="AB9" i="18"/>
  <c r="W9" i="18"/>
  <c r="AG8" i="18"/>
  <c r="AB8" i="18"/>
  <c r="W8" i="18"/>
  <c r="AG7" i="18"/>
  <c r="AB7" i="18"/>
  <c r="W7" i="18"/>
  <c r="AG6" i="18"/>
  <c r="AB6" i="18"/>
  <c r="W6" i="18"/>
  <c r="AG5" i="18"/>
  <c r="AB5" i="18"/>
  <c r="W5" i="18"/>
  <c r="AQ4" i="18"/>
  <c r="AL4" i="18"/>
  <c r="AG4" i="18"/>
  <c r="AB4" i="18"/>
  <c r="W4" i="18"/>
  <c r="AG56" i="17"/>
  <c r="AB56" i="17"/>
  <c r="W56" i="17"/>
  <c r="AG55" i="17"/>
  <c r="AB55" i="17"/>
  <c r="W55" i="17"/>
  <c r="AG54" i="17"/>
  <c r="AB54" i="17"/>
  <c r="W54" i="17"/>
  <c r="AG53" i="17"/>
  <c r="AB53" i="17"/>
  <c r="W53" i="17"/>
  <c r="AG52" i="17"/>
  <c r="AB52" i="17"/>
  <c r="W52" i="17"/>
  <c r="AG51" i="17"/>
  <c r="AB51" i="17"/>
  <c r="W51" i="17"/>
  <c r="F191" i="5"/>
  <c r="AG50" i="17"/>
  <c r="AB50" i="17"/>
  <c r="W50" i="17"/>
  <c r="AG49" i="17"/>
  <c r="AB49" i="17"/>
  <c r="W49" i="17"/>
  <c r="AG48" i="17"/>
  <c r="AB48" i="17"/>
  <c r="W48" i="17"/>
  <c r="AG47" i="17"/>
  <c r="AB47" i="17"/>
  <c r="W47" i="17"/>
  <c r="AG46" i="17"/>
  <c r="AB46" i="17"/>
  <c r="W46" i="17"/>
  <c r="AG45" i="17"/>
  <c r="AB45" i="17"/>
  <c r="W45" i="17"/>
  <c r="AG44" i="17"/>
  <c r="AB44" i="17"/>
  <c r="W44" i="17"/>
  <c r="AG43" i="17"/>
  <c r="AB43" i="17"/>
  <c r="W43" i="17"/>
  <c r="AG42" i="17"/>
  <c r="AB42" i="17"/>
  <c r="W42" i="17"/>
  <c r="AG41" i="17"/>
  <c r="AB41" i="17"/>
  <c r="W41" i="17"/>
  <c r="AG40" i="17"/>
  <c r="AB40" i="17"/>
  <c r="W40" i="17"/>
  <c r="AG39" i="17"/>
  <c r="AB39" i="17"/>
  <c r="W39" i="17"/>
  <c r="AG38" i="17"/>
  <c r="AB38" i="17"/>
  <c r="W38" i="17"/>
  <c r="AG37" i="17"/>
  <c r="AB37" i="17"/>
  <c r="W37" i="17"/>
  <c r="AG36" i="17"/>
  <c r="AB36" i="17"/>
  <c r="W36" i="17"/>
  <c r="AG35" i="17"/>
  <c r="AB35" i="17"/>
  <c r="W35" i="17"/>
  <c r="AG34" i="17"/>
  <c r="AB34" i="17"/>
  <c r="W34" i="17"/>
  <c r="AG33" i="17"/>
  <c r="AB33" i="17"/>
  <c r="W33" i="17"/>
  <c r="AG32" i="17"/>
  <c r="AB32" i="17"/>
  <c r="W32" i="17"/>
  <c r="AG31" i="17"/>
  <c r="AB31" i="17"/>
  <c r="W31" i="17"/>
  <c r="AG30" i="17"/>
  <c r="AB30" i="17"/>
  <c r="W30" i="17"/>
  <c r="AG29" i="17"/>
  <c r="AB29" i="17"/>
  <c r="W29" i="17"/>
  <c r="AG28" i="17"/>
  <c r="AB28" i="17"/>
  <c r="W28" i="17"/>
  <c r="AG27" i="17"/>
  <c r="AB27" i="17"/>
  <c r="W27" i="17"/>
  <c r="AG26" i="17"/>
  <c r="AB26" i="17"/>
  <c r="W26" i="17"/>
  <c r="AG25" i="17"/>
  <c r="AB25" i="17"/>
  <c r="W25" i="17"/>
  <c r="AG24" i="17"/>
  <c r="AB24" i="17"/>
  <c r="W24" i="17"/>
  <c r="AG23" i="17"/>
  <c r="AB23" i="17"/>
  <c r="W23" i="17"/>
  <c r="AG22" i="17"/>
  <c r="AB22" i="17"/>
  <c r="W22" i="17"/>
  <c r="AG21" i="17"/>
  <c r="AB21" i="17"/>
  <c r="W21" i="17"/>
  <c r="AG20" i="17"/>
  <c r="AB20" i="17"/>
  <c r="W20" i="17"/>
  <c r="AG19" i="17"/>
  <c r="AB19" i="17"/>
  <c r="W19" i="17"/>
  <c r="AG18" i="17"/>
  <c r="AB18" i="17"/>
  <c r="W18" i="17"/>
  <c r="AG17" i="17"/>
  <c r="AB17" i="17"/>
  <c r="W17" i="17"/>
  <c r="AG16" i="17"/>
  <c r="AB16" i="17"/>
  <c r="W16" i="17"/>
  <c r="AG15" i="17"/>
  <c r="AB15" i="17"/>
  <c r="W15" i="17"/>
  <c r="AG14" i="17"/>
  <c r="AB14" i="17"/>
  <c r="W14" i="17"/>
  <c r="AG13" i="17"/>
  <c r="AB13" i="17"/>
  <c r="W13" i="17"/>
  <c r="AG12" i="17"/>
  <c r="AB12" i="17"/>
  <c r="W12" i="17"/>
  <c r="AG11" i="17"/>
  <c r="AB11" i="17"/>
  <c r="W11" i="17"/>
  <c r="AG10" i="17"/>
  <c r="AB10" i="17"/>
  <c r="W10" i="17"/>
  <c r="AG9" i="17"/>
  <c r="AB9" i="17"/>
  <c r="W9" i="17"/>
  <c r="AG8" i="17"/>
  <c r="AB8" i="17"/>
  <c r="W8" i="17"/>
  <c r="AG7" i="17"/>
  <c r="AB7" i="17"/>
  <c r="W7" i="17"/>
  <c r="AG6" i="17"/>
  <c r="AB6" i="17"/>
  <c r="W6" i="17"/>
  <c r="AG5" i="17"/>
  <c r="AB5" i="17"/>
  <c r="W5" i="17"/>
  <c r="AQ4" i="17"/>
  <c r="AL4" i="17"/>
  <c r="AG4" i="17"/>
  <c r="AB4" i="17"/>
  <c r="W4" i="17"/>
  <c r="AG56" i="16"/>
  <c r="AB56" i="16"/>
  <c r="W56" i="16"/>
  <c r="AG55" i="16"/>
  <c r="AB55" i="16"/>
  <c r="W55" i="16"/>
  <c r="AG54" i="16"/>
  <c r="AB54" i="16"/>
  <c r="W54" i="16"/>
  <c r="AG53" i="16"/>
  <c r="AB53" i="16"/>
  <c r="W53" i="16"/>
  <c r="AG52" i="16"/>
  <c r="AB52" i="16"/>
  <c r="W52" i="16"/>
  <c r="AG51" i="16"/>
  <c r="AB51" i="16"/>
  <c r="W51" i="16"/>
  <c r="F190" i="5"/>
  <c r="AG50" i="16"/>
  <c r="AB50" i="16"/>
  <c r="W50" i="16"/>
  <c r="AG49" i="16"/>
  <c r="AB49" i="16"/>
  <c r="W49" i="16"/>
  <c r="AG48" i="16"/>
  <c r="AB48" i="16"/>
  <c r="W48" i="16"/>
  <c r="AG47" i="16"/>
  <c r="AB47" i="16"/>
  <c r="W47" i="16"/>
  <c r="AG46" i="16"/>
  <c r="AB46" i="16"/>
  <c r="W46" i="16"/>
  <c r="AG45" i="16"/>
  <c r="AB45" i="16"/>
  <c r="W45" i="16"/>
  <c r="AG44" i="16"/>
  <c r="AB44" i="16"/>
  <c r="W44" i="16"/>
  <c r="AG43" i="16"/>
  <c r="AB43" i="16"/>
  <c r="W43" i="16"/>
  <c r="AG42" i="16"/>
  <c r="AB42" i="16"/>
  <c r="W42" i="16"/>
  <c r="AG41" i="16"/>
  <c r="AB41" i="16"/>
  <c r="W41" i="16"/>
  <c r="AG40" i="16"/>
  <c r="AB40" i="16"/>
  <c r="W40" i="16"/>
  <c r="AG39" i="16"/>
  <c r="AB39" i="16"/>
  <c r="W39" i="16"/>
  <c r="AG38" i="16"/>
  <c r="AB38" i="16"/>
  <c r="W38" i="16"/>
  <c r="AG37" i="16"/>
  <c r="AB37" i="16"/>
  <c r="W37" i="16"/>
  <c r="AG36" i="16"/>
  <c r="AB36" i="16"/>
  <c r="W36" i="16"/>
  <c r="AG35" i="16"/>
  <c r="AB35" i="16"/>
  <c r="W35" i="16"/>
  <c r="AG34" i="16"/>
  <c r="AB34" i="16"/>
  <c r="W34" i="16"/>
  <c r="AG33" i="16"/>
  <c r="AB33" i="16"/>
  <c r="W33" i="16"/>
  <c r="AG32" i="16"/>
  <c r="AB32" i="16"/>
  <c r="W32" i="16"/>
  <c r="AG31" i="16"/>
  <c r="AB31" i="16"/>
  <c r="W31" i="16"/>
  <c r="AG30" i="16"/>
  <c r="AB30" i="16"/>
  <c r="W30" i="16"/>
  <c r="AG29" i="16"/>
  <c r="AB29" i="16"/>
  <c r="W29" i="16"/>
  <c r="AG28" i="16"/>
  <c r="AB28" i="16"/>
  <c r="W28" i="16"/>
  <c r="AG27" i="16"/>
  <c r="AB27" i="16"/>
  <c r="W27" i="16"/>
  <c r="AG26" i="16"/>
  <c r="AB26" i="16"/>
  <c r="W26" i="16"/>
  <c r="AG25" i="16"/>
  <c r="AB25" i="16"/>
  <c r="W25" i="16"/>
  <c r="AG24" i="16"/>
  <c r="AB24" i="16"/>
  <c r="W24" i="16"/>
  <c r="AG23" i="16"/>
  <c r="AB23" i="16"/>
  <c r="W23" i="16"/>
  <c r="AG22" i="16"/>
  <c r="AB22" i="16"/>
  <c r="W22" i="16"/>
  <c r="AG21" i="16"/>
  <c r="AB21" i="16"/>
  <c r="W21" i="16"/>
  <c r="AG20" i="16"/>
  <c r="AB20" i="16"/>
  <c r="W20" i="16"/>
  <c r="AG19" i="16"/>
  <c r="AB19" i="16"/>
  <c r="W19" i="16"/>
  <c r="AG18" i="16"/>
  <c r="AB18" i="16"/>
  <c r="W18" i="16"/>
  <c r="AG17" i="16"/>
  <c r="AB17" i="16"/>
  <c r="W17" i="16"/>
  <c r="AG16" i="16"/>
  <c r="AB16" i="16"/>
  <c r="W16" i="16"/>
  <c r="AG15" i="16"/>
  <c r="AB15" i="16"/>
  <c r="W15" i="16"/>
  <c r="AG14" i="16"/>
  <c r="AB14" i="16"/>
  <c r="W14" i="16"/>
  <c r="AG13" i="16"/>
  <c r="AB13" i="16"/>
  <c r="W13" i="16"/>
  <c r="AG12" i="16"/>
  <c r="AB12" i="16"/>
  <c r="W12" i="16"/>
  <c r="AG11" i="16"/>
  <c r="AB11" i="16"/>
  <c r="W11" i="16"/>
  <c r="AG10" i="16"/>
  <c r="AB10" i="16"/>
  <c r="W10" i="16"/>
  <c r="AG9" i="16"/>
  <c r="AB9" i="16"/>
  <c r="W9" i="16"/>
  <c r="AG8" i="16"/>
  <c r="AB8" i="16"/>
  <c r="W8" i="16"/>
  <c r="AG7" i="16"/>
  <c r="AB7" i="16"/>
  <c r="W7" i="16"/>
  <c r="AG6" i="16"/>
  <c r="AB6" i="16"/>
  <c r="W6" i="16"/>
  <c r="AG5" i="16"/>
  <c r="AB5" i="16"/>
  <c r="W5" i="16"/>
  <c r="AQ4" i="16"/>
  <c r="AL4" i="16"/>
  <c r="AG4" i="16"/>
  <c r="AB4" i="16"/>
  <c r="W4" i="16"/>
  <c r="AG56" i="15"/>
  <c r="AB56" i="15"/>
  <c r="W56" i="15"/>
  <c r="AG55" i="15"/>
  <c r="AB55" i="15"/>
  <c r="W55" i="15"/>
  <c r="AG54" i="15"/>
  <c r="AB54" i="15"/>
  <c r="W54" i="15"/>
  <c r="AG53" i="15"/>
  <c r="AB53" i="15"/>
  <c r="W53" i="15"/>
  <c r="AG52" i="15"/>
  <c r="AB52" i="15"/>
  <c r="W52" i="15"/>
  <c r="AG51" i="15"/>
  <c r="AB51" i="15"/>
  <c r="W51" i="15"/>
  <c r="F189" i="5"/>
  <c r="AG50" i="15"/>
  <c r="AB50" i="15"/>
  <c r="W50" i="15"/>
  <c r="AG49" i="15"/>
  <c r="AB49" i="15"/>
  <c r="W49" i="15"/>
  <c r="AG48" i="15"/>
  <c r="AB48" i="15"/>
  <c r="W48" i="15"/>
  <c r="AG47" i="15"/>
  <c r="AB47" i="15"/>
  <c r="W47" i="15"/>
  <c r="AG46" i="15"/>
  <c r="AB46" i="15"/>
  <c r="W46" i="15"/>
  <c r="AG45" i="15"/>
  <c r="AB45" i="15"/>
  <c r="W45" i="15"/>
  <c r="AG44" i="15"/>
  <c r="AB44" i="15"/>
  <c r="W44" i="15"/>
  <c r="AG43" i="15"/>
  <c r="AB43" i="15"/>
  <c r="W43" i="15"/>
  <c r="AG42" i="15"/>
  <c r="AB42" i="15"/>
  <c r="W42" i="15"/>
  <c r="AG41" i="15"/>
  <c r="AB41" i="15"/>
  <c r="W41" i="15"/>
  <c r="AG40" i="15"/>
  <c r="AB40" i="15"/>
  <c r="W40" i="15"/>
  <c r="AG39" i="15"/>
  <c r="AB39" i="15"/>
  <c r="W39" i="15"/>
  <c r="AG38" i="15"/>
  <c r="AB38" i="15"/>
  <c r="W38" i="15"/>
  <c r="AG37" i="15"/>
  <c r="AB37" i="15"/>
  <c r="W37" i="15"/>
  <c r="AG36" i="15"/>
  <c r="AB36" i="15"/>
  <c r="W36" i="15"/>
  <c r="AG35" i="15"/>
  <c r="AB35" i="15"/>
  <c r="W35" i="15"/>
  <c r="AG34" i="15"/>
  <c r="AB34" i="15"/>
  <c r="W34" i="15"/>
  <c r="AG33" i="15"/>
  <c r="AB33" i="15"/>
  <c r="W33" i="15"/>
  <c r="AG32" i="15"/>
  <c r="AB32" i="15"/>
  <c r="W32" i="15"/>
  <c r="AG31" i="15"/>
  <c r="AB31" i="15"/>
  <c r="W31" i="15"/>
  <c r="AG30" i="15"/>
  <c r="AB30" i="15"/>
  <c r="W30" i="15"/>
  <c r="AG29" i="15"/>
  <c r="AB29" i="15"/>
  <c r="W29" i="15"/>
  <c r="AG28" i="15"/>
  <c r="AB28" i="15"/>
  <c r="W28" i="15"/>
  <c r="AG27" i="15"/>
  <c r="AB27" i="15"/>
  <c r="W27" i="15"/>
  <c r="AG26" i="15"/>
  <c r="AB26" i="15"/>
  <c r="W26" i="15"/>
  <c r="AG25" i="15"/>
  <c r="AB25" i="15"/>
  <c r="W25" i="15"/>
  <c r="AG24" i="15"/>
  <c r="AB24" i="15"/>
  <c r="W24" i="15"/>
  <c r="AG23" i="15"/>
  <c r="AB23" i="15"/>
  <c r="W23" i="15"/>
  <c r="AG22" i="15"/>
  <c r="AB22" i="15"/>
  <c r="W22" i="15"/>
  <c r="AG21" i="15"/>
  <c r="AB21" i="15"/>
  <c r="W21" i="15"/>
  <c r="AG20" i="15"/>
  <c r="AB20" i="15"/>
  <c r="W20" i="15"/>
  <c r="AG19" i="15"/>
  <c r="AB19" i="15"/>
  <c r="W19" i="15"/>
  <c r="AG18" i="15"/>
  <c r="AB18" i="15"/>
  <c r="W18" i="15"/>
  <c r="AG17" i="15"/>
  <c r="AB17" i="15"/>
  <c r="W17" i="15"/>
  <c r="AG16" i="15"/>
  <c r="AB16" i="15"/>
  <c r="W16" i="15"/>
  <c r="AQ15" i="15"/>
  <c r="AL15" i="15"/>
  <c r="AG15" i="15"/>
  <c r="AB15" i="15"/>
  <c r="W15" i="15"/>
  <c r="AQ14" i="15"/>
  <c r="AL14" i="15"/>
  <c r="AG14" i="15"/>
  <c r="AB14" i="15"/>
  <c r="W14" i="15"/>
  <c r="AQ13" i="15"/>
  <c r="AL13" i="15"/>
  <c r="AG13" i="15"/>
  <c r="AB13" i="15"/>
  <c r="W13" i="15"/>
  <c r="AQ12" i="15"/>
  <c r="AL12" i="15"/>
  <c r="AG12" i="15"/>
  <c r="AB12" i="15"/>
  <c r="W12" i="15"/>
  <c r="AQ11" i="15"/>
  <c r="AL11" i="15"/>
  <c r="AG11" i="15"/>
  <c r="AB11" i="15"/>
  <c r="W11" i="15"/>
  <c r="AQ10" i="15"/>
  <c r="AL10" i="15"/>
  <c r="AG10" i="15"/>
  <c r="AB10" i="15"/>
  <c r="W10" i="15"/>
  <c r="AQ9" i="15"/>
  <c r="AL9" i="15"/>
  <c r="AG9" i="15"/>
  <c r="AB9" i="15"/>
  <c r="W9" i="15"/>
  <c r="AQ8" i="15"/>
  <c r="AL8" i="15"/>
  <c r="AG8" i="15"/>
  <c r="AB8" i="15"/>
  <c r="W8" i="15"/>
  <c r="AQ7" i="15"/>
  <c r="AL7" i="15"/>
  <c r="AG7" i="15"/>
  <c r="AB7" i="15"/>
  <c r="W7" i="15"/>
  <c r="AQ6" i="15"/>
  <c r="AL6" i="15"/>
  <c r="AG6" i="15"/>
  <c r="AB6" i="15"/>
  <c r="W6" i="15"/>
  <c r="AQ5" i="15"/>
  <c r="AL5" i="15"/>
  <c r="AG5" i="15"/>
  <c r="AB5" i="15"/>
  <c r="W5" i="15"/>
  <c r="AQ4" i="15"/>
  <c r="AL4" i="15"/>
  <c r="AG4" i="15"/>
  <c r="AB4" i="15"/>
  <c r="W4" i="15"/>
  <c r="AG56" i="14"/>
  <c r="AB56" i="14"/>
  <c r="W56" i="14"/>
  <c r="AG55" i="14"/>
  <c r="AB55" i="14"/>
  <c r="W55" i="14"/>
  <c r="AG54" i="14"/>
  <c r="AB54" i="14"/>
  <c r="W54" i="14"/>
  <c r="AG53" i="14"/>
  <c r="AB53" i="14"/>
  <c r="W53" i="14"/>
  <c r="AG52" i="14"/>
  <c r="AB52" i="14"/>
  <c r="W52" i="14"/>
  <c r="AG51" i="14"/>
  <c r="AB51" i="14"/>
  <c r="W51" i="14"/>
  <c r="F188" i="5"/>
  <c r="AG50" i="14"/>
  <c r="AB50" i="14"/>
  <c r="W50" i="14"/>
  <c r="AG49" i="14"/>
  <c r="AB49" i="14"/>
  <c r="W49" i="14"/>
  <c r="AG48" i="14"/>
  <c r="AB48" i="14"/>
  <c r="W48" i="14"/>
  <c r="AG47" i="14"/>
  <c r="AB47" i="14"/>
  <c r="W47" i="14"/>
  <c r="AG46" i="14"/>
  <c r="AB46" i="14"/>
  <c r="W46" i="14"/>
  <c r="AG45" i="14"/>
  <c r="AB45" i="14"/>
  <c r="W45" i="14"/>
  <c r="AG44" i="14"/>
  <c r="AB44" i="14"/>
  <c r="W44" i="14"/>
  <c r="AG43" i="14"/>
  <c r="AB43" i="14"/>
  <c r="W43" i="14"/>
  <c r="AG42" i="14"/>
  <c r="AB42" i="14"/>
  <c r="W42" i="14"/>
  <c r="AG41" i="14"/>
  <c r="AB41" i="14"/>
  <c r="W41" i="14"/>
  <c r="AG40" i="14"/>
  <c r="AB40" i="14"/>
  <c r="W40" i="14"/>
  <c r="AG39" i="14"/>
  <c r="AB39" i="14"/>
  <c r="W39" i="14"/>
  <c r="AG38" i="14"/>
  <c r="AB38" i="14"/>
  <c r="W38" i="14"/>
  <c r="AG37" i="14"/>
  <c r="AB37" i="14"/>
  <c r="W37" i="14"/>
  <c r="AG36" i="14"/>
  <c r="AB36" i="14"/>
  <c r="W36" i="14"/>
  <c r="AG35" i="14"/>
  <c r="AB35" i="14"/>
  <c r="W35" i="14"/>
  <c r="AG34" i="14"/>
  <c r="AB34" i="14"/>
  <c r="W34" i="14"/>
  <c r="AG33" i="14"/>
  <c r="AB33" i="14"/>
  <c r="W33" i="14"/>
  <c r="AG32" i="14"/>
  <c r="AB32" i="14"/>
  <c r="W32" i="14"/>
  <c r="AG31" i="14"/>
  <c r="AB31" i="14"/>
  <c r="W31" i="14"/>
  <c r="AG30" i="14"/>
  <c r="AB30" i="14"/>
  <c r="W30" i="14"/>
  <c r="AG29" i="14"/>
  <c r="AB29" i="14"/>
  <c r="W29" i="14"/>
  <c r="AG28" i="14"/>
  <c r="AB28" i="14"/>
  <c r="W28" i="14"/>
  <c r="AG27" i="14"/>
  <c r="AB27" i="14"/>
  <c r="W27" i="14"/>
  <c r="AG26" i="14"/>
  <c r="AB26" i="14"/>
  <c r="W26" i="14"/>
  <c r="AG25" i="14"/>
  <c r="AB25" i="14"/>
  <c r="W25" i="14"/>
  <c r="AG24" i="14"/>
  <c r="AB24" i="14"/>
  <c r="W24" i="14"/>
  <c r="AG23" i="14"/>
  <c r="AB23" i="14"/>
  <c r="W23" i="14"/>
  <c r="AG22" i="14"/>
  <c r="AB22" i="14"/>
  <c r="W22" i="14"/>
  <c r="AG21" i="14"/>
  <c r="AB21" i="14"/>
  <c r="W21" i="14"/>
  <c r="AG20" i="14"/>
  <c r="AB20" i="14"/>
  <c r="W20" i="14"/>
  <c r="AG19" i="14"/>
  <c r="AB19" i="14"/>
  <c r="W19" i="14"/>
  <c r="AG18" i="14"/>
  <c r="AB18" i="14"/>
  <c r="W18" i="14"/>
  <c r="AG17" i="14"/>
  <c r="AB17" i="14"/>
  <c r="W17" i="14"/>
  <c r="AG16" i="14"/>
  <c r="AB16" i="14"/>
  <c r="W16" i="14"/>
  <c r="AG15" i="14"/>
  <c r="AB15" i="14"/>
  <c r="W15" i="14"/>
  <c r="AG14" i="14"/>
  <c r="AB14" i="14"/>
  <c r="W14" i="14"/>
  <c r="AG13" i="14"/>
  <c r="AB13" i="14"/>
  <c r="W13" i="14"/>
  <c r="AG12" i="14"/>
  <c r="AB12" i="14"/>
  <c r="W12" i="14"/>
  <c r="AG11" i="14"/>
  <c r="AB11" i="14"/>
  <c r="W11" i="14"/>
  <c r="AG10" i="14"/>
  <c r="AB10" i="14"/>
  <c r="W10" i="14"/>
  <c r="AG9" i="14"/>
  <c r="AB9" i="14"/>
  <c r="W9" i="14"/>
  <c r="AG8" i="14"/>
  <c r="AB8" i="14"/>
  <c r="W8" i="14"/>
  <c r="AG7" i="14"/>
  <c r="AB7" i="14"/>
  <c r="W7" i="14"/>
  <c r="AG6" i="14"/>
  <c r="AB6" i="14"/>
  <c r="W6" i="14"/>
  <c r="AG5" i="14"/>
  <c r="AB5" i="14"/>
  <c r="W5" i="14"/>
  <c r="AQ4" i="14"/>
  <c r="AL4" i="14"/>
  <c r="C188" i="5" s="1"/>
  <c r="AG4" i="14"/>
  <c r="AB4" i="14"/>
  <c r="W4" i="14"/>
  <c r="AL56" i="13"/>
  <c r="AG56" i="13"/>
  <c r="AB56" i="13"/>
  <c r="W56" i="13"/>
  <c r="AL55" i="13"/>
  <c r="AG55" i="13"/>
  <c r="AB55" i="13"/>
  <c r="W55" i="13"/>
  <c r="AL54" i="13"/>
  <c r="AG54" i="13"/>
  <c r="AB54" i="13"/>
  <c r="W54" i="13"/>
  <c r="AL53" i="13"/>
  <c r="AG53" i="13"/>
  <c r="AB53" i="13"/>
  <c r="W53" i="13"/>
  <c r="AL52" i="13"/>
  <c r="AG52" i="13"/>
  <c r="AB52" i="13"/>
  <c r="W52" i="13"/>
  <c r="AL51" i="13"/>
  <c r="AG51" i="13"/>
  <c r="AB51" i="13"/>
  <c r="W51" i="13"/>
  <c r="AL50" i="13"/>
  <c r="AG50" i="13"/>
  <c r="AB50" i="13"/>
  <c r="W50" i="13"/>
  <c r="AL49" i="13"/>
  <c r="AG49" i="13"/>
  <c r="AB49" i="13"/>
  <c r="W49" i="13"/>
  <c r="AL48" i="13"/>
  <c r="AG48" i="13"/>
  <c r="AB48" i="13"/>
  <c r="W48" i="13"/>
  <c r="AL47" i="13"/>
  <c r="AG47" i="13"/>
  <c r="AB47" i="13"/>
  <c r="W47" i="13"/>
  <c r="AL46" i="13"/>
  <c r="AG46" i="13"/>
  <c r="AB46" i="13"/>
  <c r="W46" i="13"/>
  <c r="AL45" i="13"/>
  <c r="AG45" i="13"/>
  <c r="AB45" i="13"/>
  <c r="W45" i="13"/>
  <c r="AL44" i="13"/>
  <c r="AG44" i="13"/>
  <c r="AB44" i="13"/>
  <c r="W44" i="13"/>
  <c r="AL43" i="13"/>
  <c r="AG43" i="13"/>
  <c r="AB43" i="13"/>
  <c r="W43" i="13"/>
  <c r="AL42" i="13"/>
  <c r="AG42" i="13"/>
  <c r="AB42" i="13"/>
  <c r="W42" i="13"/>
  <c r="AL41" i="13"/>
  <c r="AG41" i="13"/>
  <c r="AB41" i="13"/>
  <c r="W41" i="13"/>
  <c r="AL40" i="13"/>
  <c r="AG40" i="13"/>
  <c r="AB40" i="13"/>
  <c r="W40" i="13"/>
  <c r="AL39" i="13"/>
  <c r="AG39" i="13"/>
  <c r="AB39" i="13"/>
  <c r="W39" i="13"/>
  <c r="AL38" i="13"/>
  <c r="AG38" i="13"/>
  <c r="AB38" i="13"/>
  <c r="W38" i="13"/>
  <c r="AL37" i="13"/>
  <c r="AG37" i="13"/>
  <c r="AB37" i="13"/>
  <c r="W37" i="13"/>
  <c r="AL36" i="13"/>
  <c r="AG36" i="13"/>
  <c r="AB36" i="13"/>
  <c r="W36" i="13"/>
  <c r="AL35" i="13"/>
  <c r="AG35" i="13"/>
  <c r="AB35" i="13"/>
  <c r="W35" i="13"/>
  <c r="AL34" i="13"/>
  <c r="AG34" i="13"/>
  <c r="AB34" i="13"/>
  <c r="W34" i="13"/>
  <c r="AL33" i="13"/>
  <c r="AG33" i="13"/>
  <c r="AB33" i="13"/>
  <c r="W33" i="13"/>
  <c r="AL32" i="13"/>
  <c r="AG32" i="13"/>
  <c r="AB32" i="13"/>
  <c r="W32" i="13"/>
  <c r="AL31" i="13"/>
  <c r="AG31" i="13"/>
  <c r="AB31" i="13"/>
  <c r="W31" i="13"/>
  <c r="AL30" i="13"/>
  <c r="AG30" i="13"/>
  <c r="AB30" i="13"/>
  <c r="W30" i="13"/>
  <c r="AL29" i="13"/>
  <c r="AG29" i="13"/>
  <c r="AB29" i="13"/>
  <c r="W29" i="13"/>
  <c r="AL28" i="13"/>
  <c r="AG28" i="13"/>
  <c r="AB28" i="13"/>
  <c r="W28" i="13"/>
  <c r="AL27" i="13"/>
  <c r="AG27" i="13"/>
  <c r="AB27" i="13"/>
  <c r="W27" i="13"/>
  <c r="AL26" i="13"/>
  <c r="AG26" i="13"/>
  <c r="AB26" i="13"/>
  <c r="W26" i="13"/>
  <c r="AL25" i="13"/>
  <c r="AG25" i="13"/>
  <c r="AB25" i="13"/>
  <c r="W25" i="13"/>
  <c r="AL24" i="13"/>
  <c r="AG24" i="13"/>
  <c r="AB24" i="13"/>
  <c r="W24" i="13"/>
  <c r="AL23" i="13"/>
  <c r="AG23" i="13"/>
  <c r="AB23" i="13"/>
  <c r="W23" i="13"/>
  <c r="AL22" i="13"/>
  <c r="AG22" i="13"/>
  <c r="AB22" i="13"/>
  <c r="W22" i="13"/>
  <c r="AL21" i="13"/>
  <c r="AG21" i="13"/>
  <c r="AB21" i="13"/>
  <c r="W21" i="13"/>
  <c r="AL20" i="13"/>
  <c r="AG20" i="13"/>
  <c r="AB20" i="13"/>
  <c r="W20" i="13"/>
  <c r="AL19" i="13"/>
  <c r="AG19" i="13"/>
  <c r="AB19" i="13"/>
  <c r="W19" i="13"/>
  <c r="AL18" i="13"/>
  <c r="AG18" i="13"/>
  <c r="AB18" i="13"/>
  <c r="W18" i="13"/>
  <c r="AL17" i="13"/>
  <c r="AG17" i="13"/>
  <c r="AB17" i="13"/>
  <c r="W17" i="13"/>
  <c r="AL16" i="13"/>
  <c r="AG16" i="13"/>
  <c r="AB16" i="13"/>
  <c r="W16" i="13"/>
  <c r="AQ15" i="13"/>
  <c r="AL15" i="13"/>
  <c r="AG15" i="13"/>
  <c r="AB15" i="13"/>
  <c r="W15" i="13"/>
  <c r="AQ14" i="13"/>
  <c r="AL14" i="13"/>
  <c r="AG14" i="13"/>
  <c r="AB14" i="13"/>
  <c r="W14" i="13"/>
  <c r="AQ13" i="13"/>
  <c r="AL13" i="13"/>
  <c r="AG13" i="13"/>
  <c r="AB13" i="13"/>
  <c r="W13" i="13"/>
  <c r="AQ12" i="13"/>
  <c r="AL12" i="13"/>
  <c r="AG12" i="13"/>
  <c r="AB12" i="13"/>
  <c r="W12" i="13"/>
  <c r="AQ11" i="13"/>
  <c r="AL11" i="13"/>
  <c r="AG11" i="13"/>
  <c r="AB11" i="13"/>
  <c r="W11" i="13"/>
  <c r="AQ10" i="13"/>
  <c r="AL10" i="13"/>
  <c r="AG10" i="13"/>
  <c r="AB10" i="13"/>
  <c r="W10" i="13"/>
  <c r="AQ9" i="13"/>
  <c r="AL9" i="13"/>
  <c r="AG9" i="13"/>
  <c r="AB9" i="13"/>
  <c r="W9" i="13"/>
  <c r="AQ8" i="13"/>
  <c r="AL8" i="13"/>
  <c r="AG8" i="13"/>
  <c r="AB8" i="13"/>
  <c r="W8" i="13"/>
  <c r="AQ7" i="13"/>
  <c r="AL7" i="13"/>
  <c r="AG7" i="13"/>
  <c r="AB7" i="13"/>
  <c r="W7" i="13"/>
  <c r="AQ6" i="13"/>
  <c r="AL6" i="13"/>
  <c r="AG6" i="13"/>
  <c r="AB6" i="13"/>
  <c r="W6" i="13"/>
  <c r="AQ5" i="13"/>
  <c r="AL5" i="13"/>
  <c r="AG5" i="13"/>
  <c r="AB5" i="13"/>
  <c r="W5" i="13"/>
  <c r="AQ4" i="13"/>
  <c r="AL4" i="13"/>
  <c r="AG4" i="13"/>
  <c r="AB4" i="13"/>
  <c r="W4" i="13"/>
  <c r="AL56" i="12"/>
  <c r="AG56" i="12"/>
  <c r="AB56" i="12"/>
  <c r="W56" i="12"/>
  <c r="AL55" i="12"/>
  <c r="AG55" i="12"/>
  <c r="AB55" i="12"/>
  <c r="W55" i="12"/>
  <c r="AL54" i="12"/>
  <c r="AG54" i="12"/>
  <c r="AB54" i="12"/>
  <c r="W54" i="12"/>
  <c r="AL53" i="12"/>
  <c r="AG53" i="12"/>
  <c r="AB53" i="12"/>
  <c r="W53" i="12"/>
  <c r="AL52" i="12"/>
  <c r="AG52" i="12"/>
  <c r="AB52" i="12"/>
  <c r="W52" i="12"/>
  <c r="AL51" i="12"/>
  <c r="AG51" i="12"/>
  <c r="AB51" i="12"/>
  <c r="W51" i="12"/>
  <c r="AL50" i="12"/>
  <c r="AG50" i="12"/>
  <c r="AB50" i="12"/>
  <c r="W50" i="12"/>
  <c r="AL49" i="12"/>
  <c r="AG49" i="12"/>
  <c r="AB49" i="12"/>
  <c r="W49" i="12"/>
  <c r="AL48" i="12"/>
  <c r="AG48" i="12"/>
  <c r="AB48" i="12"/>
  <c r="W48" i="12"/>
  <c r="AL47" i="12"/>
  <c r="AG47" i="12"/>
  <c r="AB47" i="12"/>
  <c r="W47" i="12"/>
  <c r="AL46" i="12"/>
  <c r="AG46" i="12"/>
  <c r="AB46" i="12"/>
  <c r="W46" i="12"/>
  <c r="AL45" i="12"/>
  <c r="AG45" i="12"/>
  <c r="AB45" i="12"/>
  <c r="W45" i="12"/>
  <c r="AL44" i="12"/>
  <c r="AG44" i="12"/>
  <c r="AB44" i="12"/>
  <c r="W44" i="12"/>
  <c r="AL43" i="12"/>
  <c r="AG43" i="12"/>
  <c r="AB43" i="12"/>
  <c r="W43" i="12"/>
  <c r="AL42" i="12"/>
  <c r="AG42" i="12"/>
  <c r="AB42" i="12"/>
  <c r="W42" i="12"/>
  <c r="AL41" i="12"/>
  <c r="AG41" i="12"/>
  <c r="AB41" i="12"/>
  <c r="W41" i="12"/>
  <c r="AL40" i="12"/>
  <c r="AG40" i="12"/>
  <c r="AB40" i="12"/>
  <c r="W40" i="12"/>
  <c r="AL39" i="12"/>
  <c r="AG39" i="12"/>
  <c r="AB39" i="12"/>
  <c r="W39" i="12"/>
  <c r="AL38" i="12"/>
  <c r="AG38" i="12"/>
  <c r="AB38" i="12"/>
  <c r="W38" i="12"/>
  <c r="AL37" i="12"/>
  <c r="AG37" i="12"/>
  <c r="AB37" i="12"/>
  <c r="W37" i="12"/>
  <c r="AL36" i="12"/>
  <c r="AG36" i="12"/>
  <c r="AB36" i="12"/>
  <c r="W36" i="12"/>
  <c r="AL35" i="12"/>
  <c r="AG35" i="12"/>
  <c r="AB35" i="12"/>
  <c r="W35" i="12"/>
  <c r="AL34" i="12"/>
  <c r="AG34" i="12"/>
  <c r="AB34" i="12"/>
  <c r="W34" i="12"/>
  <c r="AL33" i="12"/>
  <c r="AG33" i="12"/>
  <c r="AB33" i="12"/>
  <c r="W33" i="12"/>
  <c r="AL32" i="12"/>
  <c r="AG32" i="12"/>
  <c r="AB32" i="12"/>
  <c r="W32" i="12"/>
  <c r="AL31" i="12"/>
  <c r="AG31" i="12"/>
  <c r="AB31" i="12"/>
  <c r="W31" i="12"/>
  <c r="AL30" i="12"/>
  <c r="AG30" i="12"/>
  <c r="AB30" i="12"/>
  <c r="W30" i="12"/>
  <c r="AL29" i="12"/>
  <c r="AG29" i="12"/>
  <c r="AB29" i="12"/>
  <c r="W29" i="12"/>
  <c r="AL28" i="12"/>
  <c r="AG28" i="12"/>
  <c r="AB28" i="12"/>
  <c r="W28" i="12"/>
  <c r="AL27" i="12"/>
  <c r="AG27" i="12"/>
  <c r="AB27" i="12"/>
  <c r="W27" i="12"/>
  <c r="AL26" i="12"/>
  <c r="AG26" i="12"/>
  <c r="AB26" i="12"/>
  <c r="W26" i="12"/>
  <c r="AL25" i="12"/>
  <c r="AG25" i="12"/>
  <c r="AB25" i="12"/>
  <c r="W25" i="12"/>
  <c r="AL24" i="12"/>
  <c r="AG24" i="12"/>
  <c r="AB24" i="12"/>
  <c r="W24" i="12"/>
  <c r="AL23" i="12"/>
  <c r="AG23" i="12"/>
  <c r="AB23" i="12"/>
  <c r="W23" i="12"/>
  <c r="AL22" i="12"/>
  <c r="AG22" i="12"/>
  <c r="AB22" i="12"/>
  <c r="W22" i="12"/>
  <c r="AL21" i="12"/>
  <c r="AG21" i="12"/>
  <c r="AB21" i="12"/>
  <c r="W21" i="12"/>
  <c r="AL20" i="12"/>
  <c r="AG20" i="12"/>
  <c r="AB20" i="12"/>
  <c r="W20" i="12"/>
  <c r="AL19" i="12"/>
  <c r="AG19" i="12"/>
  <c r="AB19" i="12"/>
  <c r="W19" i="12"/>
  <c r="AL18" i="12"/>
  <c r="AG18" i="12"/>
  <c r="AB18" i="12"/>
  <c r="W18" i="12"/>
  <c r="AL17" i="12"/>
  <c r="AG17" i="12"/>
  <c r="AB17" i="12"/>
  <c r="W17" i="12"/>
  <c r="AL16" i="12"/>
  <c r="AG16" i="12"/>
  <c r="AB16" i="12"/>
  <c r="W16" i="12"/>
  <c r="AQ15" i="12"/>
  <c r="AL15" i="12"/>
  <c r="AG15" i="12"/>
  <c r="AB15" i="12"/>
  <c r="W15" i="12"/>
  <c r="AQ14" i="12"/>
  <c r="AL14" i="12"/>
  <c r="AG14" i="12"/>
  <c r="AB14" i="12"/>
  <c r="W14" i="12"/>
  <c r="AQ13" i="12"/>
  <c r="AL13" i="12"/>
  <c r="AG13" i="12"/>
  <c r="AB13" i="12"/>
  <c r="W13" i="12"/>
  <c r="AQ12" i="12"/>
  <c r="AL12" i="12"/>
  <c r="AG12" i="12"/>
  <c r="AB12" i="12"/>
  <c r="W12" i="12"/>
  <c r="AQ11" i="12"/>
  <c r="AL11" i="12"/>
  <c r="AG11" i="12"/>
  <c r="AB11" i="12"/>
  <c r="W11" i="12"/>
  <c r="AQ10" i="12"/>
  <c r="AL10" i="12"/>
  <c r="AG10" i="12"/>
  <c r="AB10" i="12"/>
  <c r="W10" i="12"/>
  <c r="AQ9" i="12"/>
  <c r="AL9" i="12"/>
  <c r="AG9" i="12"/>
  <c r="AB9" i="12"/>
  <c r="W9" i="12"/>
  <c r="AQ8" i="12"/>
  <c r="AL8" i="12"/>
  <c r="AG8" i="12"/>
  <c r="AB8" i="12"/>
  <c r="W8" i="12"/>
  <c r="AQ7" i="12"/>
  <c r="AL7" i="12"/>
  <c r="AG7" i="12"/>
  <c r="AB7" i="12"/>
  <c r="W7" i="12"/>
  <c r="AQ6" i="12"/>
  <c r="AL6" i="12"/>
  <c r="AG6" i="12"/>
  <c r="AB6" i="12"/>
  <c r="W6" i="12"/>
  <c r="AQ5" i="12"/>
  <c r="AL5" i="12"/>
  <c r="AG5" i="12"/>
  <c r="AB5" i="12"/>
  <c r="W5" i="12"/>
  <c r="AQ4" i="12"/>
  <c r="AL4" i="12"/>
  <c r="AG4" i="12"/>
  <c r="AB4" i="12"/>
  <c r="W4" i="12"/>
  <c r="AL56" i="11"/>
  <c r="AG56" i="11"/>
  <c r="AB56" i="11"/>
  <c r="W56" i="11"/>
  <c r="AL55" i="11"/>
  <c r="AG55" i="11"/>
  <c r="AB55" i="11"/>
  <c r="W55" i="11"/>
  <c r="AL54" i="11"/>
  <c r="AG54" i="11"/>
  <c r="AB54" i="11"/>
  <c r="W54" i="11"/>
  <c r="AL53" i="11"/>
  <c r="AG53" i="11"/>
  <c r="AB53" i="11"/>
  <c r="W53" i="11"/>
  <c r="AL52" i="11"/>
  <c r="AG52" i="11"/>
  <c r="AB52" i="11"/>
  <c r="W52" i="11"/>
  <c r="AL51" i="11"/>
  <c r="AG51" i="11"/>
  <c r="AB51" i="11"/>
  <c r="W51" i="11"/>
  <c r="AL50" i="11"/>
  <c r="AG50" i="11"/>
  <c r="AB50" i="11"/>
  <c r="W50" i="11"/>
  <c r="AL49" i="11"/>
  <c r="AG49" i="11"/>
  <c r="AB49" i="11"/>
  <c r="W49" i="11"/>
  <c r="AL48" i="11"/>
  <c r="AG48" i="11"/>
  <c r="AB48" i="11"/>
  <c r="W48" i="11"/>
  <c r="AL47" i="11"/>
  <c r="AG47" i="11"/>
  <c r="AB47" i="11"/>
  <c r="W47" i="11"/>
  <c r="AL46" i="11"/>
  <c r="AG46" i="11"/>
  <c r="AB46" i="11"/>
  <c r="W46" i="11"/>
  <c r="AL45" i="11"/>
  <c r="AG45" i="11"/>
  <c r="AB45" i="11"/>
  <c r="W45" i="11"/>
  <c r="AL44" i="11"/>
  <c r="AG44" i="11"/>
  <c r="AB44" i="11"/>
  <c r="W44" i="11"/>
  <c r="AL43" i="11"/>
  <c r="AG43" i="11"/>
  <c r="AB43" i="11"/>
  <c r="W43" i="11"/>
  <c r="AL42" i="11"/>
  <c r="AG42" i="11"/>
  <c r="AB42" i="11"/>
  <c r="W42" i="11"/>
  <c r="AL41" i="11"/>
  <c r="AG41" i="11"/>
  <c r="AB41" i="11"/>
  <c r="W41" i="11"/>
  <c r="AL40" i="11"/>
  <c r="AG40" i="11"/>
  <c r="AB40" i="11"/>
  <c r="W40" i="11"/>
  <c r="AL39" i="11"/>
  <c r="AG39" i="11"/>
  <c r="AB39" i="11"/>
  <c r="W39" i="11"/>
  <c r="AL38" i="11"/>
  <c r="AG38" i="11"/>
  <c r="AB38" i="11"/>
  <c r="W38" i="11"/>
  <c r="AL37" i="11"/>
  <c r="AG37" i="11"/>
  <c r="AB37" i="11"/>
  <c r="W37" i="11"/>
  <c r="AL36" i="11"/>
  <c r="AG36" i="11"/>
  <c r="AB36" i="11"/>
  <c r="W36" i="11"/>
  <c r="AL35" i="11"/>
  <c r="AG35" i="11"/>
  <c r="AB35" i="11"/>
  <c r="W35" i="11"/>
  <c r="AL34" i="11"/>
  <c r="AG34" i="11"/>
  <c r="AB34" i="11"/>
  <c r="W34" i="11"/>
  <c r="AL33" i="11"/>
  <c r="AG33" i="11"/>
  <c r="AB33" i="11"/>
  <c r="W33" i="11"/>
  <c r="AL32" i="11"/>
  <c r="AG32" i="11"/>
  <c r="AB32" i="11"/>
  <c r="W32" i="11"/>
  <c r="AL31" i="11"/>
  <c r="AG31" i="11"/>
  <c r="AB31" i="11"/>
  <c r="W31" i="11"/>
  <c r="AL30" i="11"/>
  <c r="AG30" i="11"/>
  <c r="AB30" i="11"/>
  <c r="W30" i="11"/>
  <c r="AL29" i="11"/>
  <c r="AG29" i="11"/>
  <c r="AB29" i="11"/>
  <c r="W29" i="11"/>
  <c r="AL28" i="11"/>
  <c r="AG28" i="11"/>
  <c r="AB28" i="11"/>
  <c r="W28" i="11"/>
  <c r="AL27" i="11"/>
  <c r="AG27" i="11"/>
  <c r="AB27" i="11"/>
  <c r="W27" i="11"/>
  <c r="AL26" i="11"/>
  <c r="AG26" i="11"/>
  <c r="AB26" i="11"/>
  <c r="W26" i="11"/>
  <c r="AL25" i="11"/>
  <c r="AG25" i="11"/>
  <c r="AB25" i="11"/>
  <c r="W25" i="11"/>
  <c r="AL24" i="11"/>
  <c r="AG24" i="11"/>
  <c r="AB24" i="11"/>
  <c r="W24" i="11"/>
  <c r="AL23" i="11"/>
  <c r="AG23" i="11"/>
  <c r="AB23" i="11"/>
  <c r="W23" i="11"/>
  <c r="AL22" i="11"/>
  <c r="AG22" i="11"/>
  <c r="AB22" i="11"/>
  <c r="W22" i="11"/>
  <c r="AL21" i="11"/>
  <c r="AG21" i="11"/>
  <c r="AB21" i="11"/>
  <c r="W21" i="11"/>
  <c r="AL20" i="11"/>
  <c r="AG20" i="11"/>
  <c r="AB20" i="11"/>
  <c r="W20" i="11"/>
  <c r="AL19" i="11"/>
  <c r="AG19" i="11"/>
  <c r="AB19" i="11"/>
  <c r="W19" i="11"/>
  <c r="AL18" i="11"/>
  <c r="AG18" i="11"/>
  <c r="AB18" i="11"/>
  <c r="W18" i="11"/>
  <c r="AL17" i="11"/>
  <c r="AG17" i="11"/>
  <c r="AB17" i="11"/>
  <c r="W17" i="11"/>
  <c r="AL16" i="11"/>
  <c r="AG16" i="11"/>
  <c r="AB16" i="11"/>
  <c r="W16" i="11"/>
  <c r="AQ15" i="11"/>
  <c r="AL15" i="11"/>
  <c r="AG15" i="11"/>
  <c r="AB15" i="11"/>
  <c r="W15" i="11"/>
  <c r="AQ14" i="11"/>
  <c r="AL14" i="11"/>
  <c r="AG14" i="11"/>
  <c r="AB14" i="11"/>
  <c r="W14" i="11"/>
  <c r="AQ13" i="11"/>
  <c r="AL13" i="11"/>
  <c r="AG13" i="11"/>
  <c r="AB13" i="11"/>
  <c r="W13" i="11"/>
  <c r="AQ12" i="11"/>
  <c r="AL12" i="11"/>
  <c r="AG12" i="11"/>
  <c r="AB12" i="11"/>
  <c r="W12" i="11"/>
  <c r="AQ11" i="11"/>
  <c r="AL11" i="11"/>
  <c r="AG11" i="11"/>
  <c r="AB11" i="11"/>
  <c r="W11" i="11"/>
  <c r="AQ10" i="11"/>
  <c r="AL10" i="11"/>
  <c r="AG10" i="11"/>
  <c r="AB10" i="11"/>
  <c r="W10" i="11"/>
  <c r="AQ9" i="11"/>
  <c r="AL9" i="11"/>
  <c r="AG9" i="11"/>
  <c r="AB9" i="11"/>
  <c r="W9" i="11"/>
  <c r="AQ8" i="11"/>
  <c r="AL8" i="11"/>
  <c r="AG8" i="11"/>
  <c r="AB8" i="11"/>
  <c r="W8" i="11"/>
  <c r="AQ7" i="11"/>
  <c r="AL7" i="11"/>
  <c r="AG7" i="11"/>
  <c r="AB7" i="11"/>
  <c r="W7" i="11"/>
  <c r="AQ6" i="11"/>
  <c r="AL6" i="11"/>
  <c r="AG6" i="11"/>
  <c r="AB6" i="11"/>
  <c r="W6" i="11"/>
  <c r="AQ5" i="11"/>
  <c r="AL5" i="11"/>
  <c r="AG5" i="11"/>
  <c r="AB5" i="11"/>
  <c r="W5" i="11"/>
  <c r="AQ4" i="11"/>
  <c r="AL4" i="11"/>
  <c r="AG4" i="11"/>
  <c r="AB4" i="11"/>
  <c r="W4" i="11"/>
  <c r="AL56" i="10"/>
  <c r="AG56" i="10"/>
  <c r="AB56" i="10"/>
  <c r="W56" i="10"/>
  <c r="AL55" i="10"/>
  <c r="AG55" i="10"/>
  <c r="AB55" i="10"/>
  <c r="W55" i="10"/>
  <c r="AL54" i="10"/>
  <c r="AG54" i="10"/>
  <c r="AB54" i="10"/>
  <c r="W54" i="10"/>
  <c r="AL53" i="10"/>
  <c r="AG53" i="10"/>
  <c r="AB53" i="10"/>
  <c r="W53" i="10"/>
  <c r="AL52" i="10"/>
  <c r="AG52" i="10"/>
  <c r="AB52" i="10"/>
  <c r="W52" i="10"/>
  <c r="AL51" i="10"/>
  <c r="AG51" i="10"/>
  <c r="AB51" i="10"/>
  <c r="W51" i="10"/>
  <c r="AL50" i="10"/>
  <c r="AG50" i="10"/>
  <c r="AB50" i="10"/>
  <c r="W50" i="10"/>
  <c r="AL49" i="10"/>
  <c r="AG49" i="10"/>
  <c r="AB49" i="10"/>
  <c r="W49" i="10"/>
  <c r="AL48" i="10"/>
  <c r="AG48" i="10"/>
  <c r="AB48" i="10"/>
  <c r="W48" i="10"/>
  <c r="AL47" i="10"/>
  <c r="AG47" i="10"/>
  <c r="AB47" i="10"/>
  <c r="W47" i="10"/>
  <c r="AL46" i="10"/>
  <c r="AG46" i="10"/>
  <c r="AB46" i="10"/>
  <c r="W46" i="10"/>
  <c r="AL45" i="10"/>
  <c r="AG45" i="10"/>
  <c r="AB45" i="10"/>
  <c r="W45" i="10"/>
  <c r="AL44" i="10"/>
  <c r="AG44" i="10"/>
  <c r="AB44" i="10"/>
  <c r="W44" i="10"/>
  <c r="AL43" i="10"/>
  <c r="AG43" i="10"/>
  <c r="AB43" i="10"/>
  <c r="W43" i="10"/>
  <c r="AL42" i="10"/>
  <c r="AG42" i="10"/>
  <c r="AB42" i="10"/>
  <c r="W42" i="10"/>
  <c r="AL41" i="10"/>
  <c r="AG41" i="10"/>
  <c r="AB41" i="10"/>
  <c r="W41" i="10"/>
  <c r="AL40" i="10"/>
  <c r="AG40" i="10"/>
  <c r="AB40" i="10"/>
  <c r="W40" i="10"/>
  <c r="AL39" i="10"/>
  <c r="AG39" i="10"/>
  <c r="AB39" i="10"/>
  <c r="W39" i="10"/>
  <c r="AL38" i="10"/>
  <c r="AG38" i="10"/>
  <c r="AB38" i="10"/>
  <c r="W38" i="10"/>
  <c r="AL37" i="10"/>
  <c r="AG37" i="10"/>
  <c r="AB37" i="10"/>
  <c r="W37" i="10"/>
  <c r="AL36" i="10"/>
  <c r="AG36" i="10"/>
  <c r="AB36" i="10"/>
  <c r="W36" i="10"/>
  <c r="AL35" i="10"/>
  <c r="AG35" i="10"/>
  <c r="AB35" i="10"/>
  <c r="W35" i="10"/>
  <c r="AL34" i="10"/>
  <c r="AG34" i="10"/>
  <c r="AB34" i="10"/>
  <c r="W34" i="10"/>
  <c r="AL33" i="10"/>
  <c r="AG33" i="10"/>
  <c r="AB33" i="10"/>
  <c r="W33" i="10"/>
  <c r="AL32" i="10"/>
  <c r="AG32" i="10"/>
  <c r="AB32" i="10"/>
  <c r="W32" i="10"/>
  <c r="AL31" i="10"/>
  <c r="AG31" i="10"/>
  <c r="AB31" i="10"/>
  <c r="W31" i="10"/>
  <c r="AL30" i="10"/>
  <c r="AG30" i="10"/>
  <c r="AB30" i="10"/>
  <c r="W30" i="10"/>
  <c r="AL29" i="10"/>
  <c r="AG29" i="10"/>
  <c r="AB29" i="10"/>
  <c r="W29" i="10"/>
  <c r="AL28" i="10"/>
  <c r="AG28" i="10"/>
  <c r="AB28" i="10"/>
  <c r="W28" i="10"/>
  <c r="AL27" i="10"/>
  <c r="AG27" i="10"/>
  <c r="AB27" i="10"/>
  <c r="W27" i="10"/>
  <c r="AL26" i="10"/>
  <c r="AG26" i="10"/>
  <c r="AB26" i="10"/>
  <c r="W26" i="10"/>
  <c r="AL25" i="10"/>
  <c r="AG25" i="10"/>
  <c r="AB25" i="10"/>
  <c r="W25" i="10"/>
  <c r="AL24" i="10"/>
  <c r="AG24" i="10"/>
  <c r="AB24" i="10"/>
  <c r="W24" i="10"/>
  <c r="AL23" i="10"/>
  <c r="AG23" i="10"/>
  <c r="AB23" i="10"/>
  <c r="W23" i="10"/>
  <c r="AL22" i="10"/>
  <c r="AG22" i="10"/>
  <c r="AB22" i="10"/>
  <c r="W22" i="10"/>
  <c r="AL21" i="10"/>
  <c r="AG21" i="10"/>
  <c r="AB21" i="10"/>
  <c r="W21" i="10"/>
  <c r="AL20" i="10"/>
  <c r="AG20" i="10"/>
  <c r="AB20" i="10"/>
  <c r="W20" i="10"/>
  <c r="AL19" i="10"/>
  <c r="AG19" i="10"/>
  <c r="AB19" i="10"/>
  <c r="W19" i="10"/>
  <c r="AL18" i="10"/>
  <c r="AG18" i="10"/>
  <c r="AB18" i="10"/>
  <c r="W18" i="10"/>
  <c r="AL17" i="10"/>
  <c r="AG17" i="10"/>
  <c r="AB17" i="10"/>
  <c r="W17" i="10"/>
  <c r="AL16" i="10"/>
  <c r="AG16" i="10"/>
  <c r="AB16" i="10"/>
  <c r="W16" i="10"/>
  <c r="AQ15" i="10"/>
  <c r="AL15" i="10"/>
  <c r="AG15" i="10"/>
  <c r="AB15" i="10"/>
  <c r="W15" i="10"/>
  <c r="AQ14" i="10"/>
  <c r="AL14" i="10"/>
  <c r="AG14" i="10"/>
  <c r="AB14" i="10"/>
  <c r="W14" i="10"/>
  <c r="AQ13" i="10"/>
  <c r="AL13" i="10"/>
  <c r="AG13" i="10"/>
  <c r="AB13" i="10"/>
  <c r="W13" i="10"/>
  <c r="AQ12" i="10"/>
  <c r="AL12" i="10"/>
  <c r="AG12" i="10"/>
  <c r="AB12" i="10"/>
  <c r="W12" i="10"/>
  <c r="AQ11" i="10"/>
  <c r="AL11" i="10"/>
  <c r="AG11" i="10"/>
  <c r="AB11" i="10"/>
  <c r="W11" i="10"/>
  <c r="AQ10" i="10"/>
  <c r="AL10" i="10"/>
  <c r="AG10" i="10"/>
  <c r="AB10" i="10"/>
  <c r="W10" i="10"/>
  <c r="AQ9" i="10"/>
  <c r="AL9" i="10"/>
  <c r="AG9" i="10"/>
  <c r="AB9" i="10"/>
  <c r="W9" i="10"/>
  <c r="AQ8" i="10"/>
  <c r="AL8" i="10"/>
  <c r="AG8" i="10"/>
  <c r="AB8" i="10"/>
  <c r="W8" i="10"/>
  <c r="AQ7" i="10"/>
  <c r="AL7" i="10"/>
  <c r="AG7" i="10"/>
  <c r="AB7" i="10"/>
  <c r="W7" i="10"/>
  <c r="AQ6" i="10"/>
  <c r="AL6" i="10"/>
  <c r="AG6" i="10"/>
  <c r="AB6" i="10"/>
  <c r="W6" i="10"/>
  <c r="AQ5" i="10"/>
  <c r="AL5" i="10"/>
  <c r="AG5" i="10"/>
  <c r="AB5" i="10"/>
  <c r="W5" i="10"/>
  <c r="AQ4" i="10"/>
  <c r="AL4" i="10"/>
  <c r="AG4" i="10"/>
  <c r="AB4" i="10"/>
  <c r="W4" i="10"/>
  <c r="AL56" i="9"/>
  <c r="AG56" i="9"/>
  <c r="AB56" i="9"/>
  <c r="W56" i="9"/>
  <c r="AL55" i="9"/>
  <c r="AG55" i="9"/>
  <c r="AB55" i="9"/>
  <c r="W55" i="9"/>
  <c r="AL54" i="9"/>
  <c r="AG54" i="9"/>
  <c r="AB54" i="9"/>
  <c r="W54" i="9"/>
  <c r="AL53" i="9"/>
  <c r="AG53" i="9"/>
  <c r="AB53" i="9"/>
  <c r="W53" i="9"/>
  <c r="AL52" i="9"/>
  <c r="AG52" i="9"/>
  <c r="AB52" i="9"/>
  <c r="W52" i="9"/>
  <c r="AL51" i="9"/>
  <c r="AG51" i="9"/>
  <c r="AB51" i="9"/>
  <c r="W51" i="9"/>
  <c r="AL50" i="9"/>
  <c r="AG50" i="9"/>
  <c r="AB50" i="9"/>
  <c r="W50" i="9"/>
  <c r="AL49" i="9"/>
  <c r="AG49" i="9"/>
  <c r="AB49" i="9"/>
  <c r="W49" i="9"/>
  <c r="AL48" i="9"/>
  <c r="AG48" i="9"/>
  <c r="AB48" i="9"/>
  <c r="W48" i="9"/>
  <c r="AL47" i="9"/>
  <c r="AG47" i="9"/>
  <c r="AB47" i="9"/>
  <c r="W47" i="9"/>
  <c r="AL46" i="9"/>
  <c r="AG46" i="9"/>
  <c r="AB46" i="9"/>
  <c r="W46" i="9"/>
  <c r="AL45" i="9"/>
  <c r="AG45" i="9"/>
  <c r="AB45" i="9"/>
  <c r="W45" i="9"/>
  <c r="AL44" i="9"/>
  <c r="AG44" i="9"/>
  <c r="AB44" i="9"/>
  <c r="W44" i="9"/>
  <c r="AL43" i="9"/>
  <c r="AG43" i="9"/>
  <c r="AB43" i="9"/>
  <c r="W43" i="9"/>
  <c r="AL42" i="9"/>
  <c r="AG42" i="9"/>
  <c r="AB42" i="9"/>
  <c r="W42" i="9"/>
  <c r="AL41" i="9"/>
  <c r="AG41" i="9"/>
  <c r="AB41" i="9"/>
  <c r="W41" i="9"/>
  <c r="AL40" i="9"/>
  <c r="AG40" i="9"/>
  <c r="AB40" i="9"/>
  <c r="W40" i="9"/>
  <c r="AL39" i="9"/>
  <c r="AG39" i="9"/>
  <c r="AB39" i="9"/>
  <c r="W39" i="9"/>
  <c r="AL38" i="9"/>
  <c r="AG38" i="9"/>
  <c r="AB38" i="9"/>
  <c r="W38" i="9"/>
  <c r="AL37" i="9"/>
  <c r="AG37" i="9"/>
  <c r="AB37" i="9"/>
  <c r="W37" i="9"/>
  <c r="AL36" i="9"/>
  <c r="AG36" i="9"/>
  <c r="AB36" i="9"/>
  <c r="W36" i="9"/>
  <c r="AL35" i="9"/>
  <c r="AG35" i="9"/>
  <c r="AB35" i="9"/>
  <c r="W35" i="9"/>
  <c r="AL34" i="9"/>
  <c r="AG34" i="9"/>
  <c r="AB34" i="9"/>
  <c r="W34" i="9"/>
  <c r="AL33" i="9"/>
  <c r="AG33" i="9"/>
  <c r="AB33" i="9"/>
  <c r="W33" i="9"/>
  <c r="AL32" i="9"/>
  <c r="AG32" i="9"/>
  <c r="AB32" i="9"/>
  <c r="W32" i="9"/>
  <c r="AL31" i="9"/>
  <c r="AG31" i="9"/>
  <c r="AB31" i="9"/>
  <c r="W31" i="9"/>
  <c r="AL30" i="9"/>
  <c r="AG30" i="9"/>
  <c r="AB30" i="9"/>
  <c r="W30" i="9"/>
  <c r="AL29" i="9"/>
  <c r="AG29" i="9"/>
  <c r="AB29" i="9"/>
  <c r="W29" i="9"/>
  <c r="AL28" i="9"/>
  <c r="AG28" i="9"/>
  <c r="AB28" i="9"/>
  <c r="W28" i="9"/>
  <c r="AL27" i="9"/>
  <c r="AG27" i="9"/>
  <c r="AB27" i="9"/>
  <c r="W27" i="9"/>
  <c r="AL26" i="9"/>
  <c r="AG26" i="9"/>
  <c r="AB26" i="9"/>
  <c r="W26" i="9"/>
  <c r="AL25" i="9"/>
  <c r="AG25" i="9"/>
  <c r="AB25" i="9"/>
  <c r="W25" i="9"/>
  <c r="AL24" i="9"/>
  <c r="AG24" i="9"/>
  <c r="AB24" i="9"/>
  <c r="W24" i="9"/>
  <c r="AL23" i="9"/>
  <c r="AG23" i="9"/>
  <c r="AB23" i="9"/>
  <c r="W23" i="9"/>
  <c r="AL22" i="9"/>
  <c r="AG22" i="9"/>
  <c r="AB22" i="9"/>
  <c r="W22" i="9"/>
  <c r="AL21" i="9"/>
  <c r="AG21" i="9"/>
  <c r="AB21" i="9"/>
  <c r="W21" i="9"/>
  <c r="AL20" i="9"/>
  <c r="AG20" i="9"/>
  <c r="AB20" i="9"/>
  <c r="W20" i="9"/>
  <c r="AL19" i="9"/>
  <c r="AG19" i="9"/>
  <c r="AB19" i="9"/>
  <c r="W19" i="9"/>
  <c r="AL18" i="9"/>
  <c r="AG18" i="9"/>
  <c r="AB18" i="9"/>
  <c r="W18" i="9"/>
  <c r="AL17" i="9"/>
  <c r="AG17" i="9"/>
  <c r="AB17" i="9"/>
  <c r="W17" i="9"/>
  <c r="AL16" i="9"/>
  <c r="AG16" i="9"/>
  <c r="AB16" i="9"/>
  <c r="W16" i="9"/>
  <c r="AQ15" i="9"/>
  <c r="AL15" i="9"/>
  <c r="AG15" i="9"/>
  <c r="AB15" i="9"/>
  <c r="W15" i="9"/>
  <c r="AQ14" i="9"/>
  <c r="AL14" i="9"/>
  <c r="AG14" i="9"/>
  <c r="AB14" i="9"/>
  <c r="W14" i="9"/>
  <c r="AQ13" i="9"/>
  <c r="AL13" i="9"/>
  <c r="AG13" i="9"/>
  <c r="AB13" i="9"/>
  <c r="W13" i="9"/>
  <c r="AQ12" i="9"/>
  <c r="AL12" i="9"/>
  <c r="AG12" i="9"/>
  <c r="AB12" i="9"/>
  <c r="W12" i="9"/>
  <c r="AQ11" i="9"/>
  <c r="AL11" i="9"/>
  <c r="AG11" i="9"/>
  <c r="AB11" i="9"/>
  <c r="W11" i="9"/>
  <c r="AQ10" i="9"/>
  <c r="AL10" i="9"/>
  <c r="AG10" i="9"/>
  <c r="AB10" i="9"/>
  <c r="W10" i="9"/>
  <c r="AQ9" i="9"/>
  <c r="AL9" i="9"/>
  <c r="AG9" i="9"/>
  <c r="AB9" i="9"/>
  <c r="W9" i="9"/>
  <c r="AQ8" i="9"/>
  <c r="AL8" i="9"/>
  <c r="AG8" i="9"/>
  <c r="AB8" i="9"/>
  <c r="W8" i="9"/>
  <c r="AQ7" i="9"/>
  <c r="AL7" i="9"/>
  <c r="AG7" i="9"/>
  <c r="AB7" i="9"/>
  <c r="W7" i="9"/>
  <c r="AQ6" i="9"/>
  <c r="AL6" i="9"/>
  <c r="AG6" i="9"/>
  <c r="AB6" i="9"/>
  <c r="W6" i="9"/>
  <c r="AQ5" i="9"/>
  <c r="AL5" i="9"/>
  <c r="AG5" i="9"/>
  <c r="AB5" i="9"/>
  <c r="W5" i="9"/>
  <c r="AQ4" i="9"/>
  <c r="AL4" i="9"/>
  <c r="AG4" i="9"/>
  <c r="AB4" i="9"/>
  <c r="W4" i="9"/>
  <c r="AL56" i="8"/>
  <c r="AG56" i="8"/>
  <c r="AB56" i="8"/>
  <c r="W56" i="8"/>
  <c r="AL55" i="8"/>
  <c r="AG55" i="8"/>
  <c r="AB55" i="8"/>
  <c r="W55" i="8"/>
  <c r="AL54" i="8"/>
  <c r="AG54" i="8"/>
  <c r="AB54" i="8"/>
  <c r="W54" i="8"/>
  <c r="AL53" i="8"/>
  <c r="AG53" i="8"/>
  <c r="AB53" i="8"/>
  <c r="W53" i="8"/>
  <c r="AL52" i="8"/>
  <c r="AG52" i="8"/>
  <c r="AB52" i="8"/>
  <c r="W52" i="8"/>
  <c r="AL51" i="8"/>
  <c r="AG51" i="8"/>
  <c r="AB51" i="8"/>
  <c r="W51" i="8"/>
  <c r="AL50" i="8"/>
  <c r="AG50" i="8"/>
  <c r="AB50" i="8"/>
  <c r="W50" i="8"/>
  <c r="AL49" i="8"/>
  <c r="AG49" i="8"/>
  <c r="AB49" i="8"/>
  <c r="W49" i="8"/>
  <c r="AL48" i="8"/>
  <c r="AG48" i="8"/>
  <c r="AB48" i="8"/>
  <c r="W48" i="8"/>
  <c r="AL47" i="8"/>
  <c r="AG47" i="8"/>
  <c r="AB47" i="8"/>
  <c r="W47" i="8"/>
  <c r="AL46" i="8"/>
  <c r="AG46" i="8"/>
  <c r="AB46" i="8"/>
  <c r="W46" i="8"/>
  <c r="AL45" i="8"/>
  <c r="AG45" i="8"/>
  <c r="AB45" i="8"/>
  <c r="W45" i="8"/>
  <c r="AL44" i="8"/>
  <c r="AG44" i="8"/>
  <c r="AB44" i="8"/>
  <c r="W44" i="8"/>
  <c r="AL43" i="8"/>
  <c r="AG43" i="8"/>
  <c r="AB43" i="8"/>
  <c r="W43" i="8"/>
  <c r="AL42" i="8"/>
  <c r="AG42" i="8"/>
  <c r="AB42" i="8"/>
  <c r="W42" i="8"/>
  <c r="AL41" i="8"/>
  <c r="AG41" i="8"/>
  <c r="AB41" i="8"/>
  <c r="W41" i="8"/>
  <c r="AL40" i="8"/>
  <c r="AG40" i="8"/>
  <c r="AB40" i="8"/>
  <c r="W40" i="8"/>
  <c r="AL39" i="8"/>
  <c r="AG39" i="8"/>
  <c r="AB39" i="8"/>
  <c r="W39" i="8"/>
  <c r="AL38" i="8"/>
  <c r="AG38" i="8"/>
  <c r="AB38" i="8"/>
  <c r="W38" i="8"/>
  <c r="AL37" i="8"/>
  <c r="AG37" i="8"/>
  <c r="AB37" i="8"/>
  <c r="W37" i="8"/>
  <c r="AL36" i="8"/>
  <c r="AG36" i="8"/>
  <c r="AB36" i="8"/>
  <c r="W36" i="8"/>
  <c r="AL35" i="8"/>
  <c r="AG35" i="8"/>
  <c r="AB35" i="8"/>
  <c r="W35" i="8"/>
  <c r="AL34" i="8"/>
  <c r="AG34" i="8"/>
  <c r="AB34" i="8"/>
  <c r="W34" i="8"/>
  <c r="AL33" i="8"/>
  <c r="AG33" i="8"/>
  <c r="AB33" i="8"/>
  <c r="W33" i="8"/>
  <c r="AL32" i="8"/>
  <c r="AG32" i="8"/>
  <c r="AB32" i="8"/>
  <c r="W32" i="8"/>
  <c r="AL31" i="8"/>
  <c r="AG31" i="8"/>
  <c r="AB31" i="8"/>
  <c r="W31" i="8"/>
  <c r="AL30" i="8"/>
  <c r="AG30" i="8"/>
  <c r="AB30" i="8"/>
  <c r="W30" i="8"/>
  <c r="AL29" i="8"/>
  <c r="AG29" i="8"/>
  <c r="AB29" i="8"/>
  <c r="W29" i="8"/>
  <c r="AL28" i="8"/>
  <c r="AG28" i="8"/>
  <c r="AB28" i="8"/>
  <c r="W28" i="8"/>
  <c r="AL27" i="8"/>
  <c r="AG27" i="8"/>
  <c r="AB27" i="8"/>
  <c r="W27" i="8"/>
  <c r="AL26" i="8"/>
  <c r="AG26" i="8"/>
  <c r="AB26" i="8"/>
  <c r="W26" i="8"/>
  <c r="AL25" i="8"/>
  <c r="AG25" i="8"/>
  <c r="AB25" i="8"/>
  <c r="W25" i="8"/>
  <c r="AL24" i="8"/>
  <c r="AG24" i="8"/>
  <c r="AB24" i="8"/>
  <c r="W24" i="8"/>
  <c r="AL23" i="8"/>
  <c r="AG23" i="8"/>
  <c r="AB23" i="8"/>
  <c r="W23" i="8"/>
  <c r="AL22" i="8"/>
  <c r="AG22" i="8"/>
  <c r="AB22" i="8"/>
  <c r="W22" i="8"/>
  <c r="AL21" i="8"/>
  <c r="AG21" i="8"/>
  <c r="AB21" i="8"/>
  <c r="W21" i="8"/>
  <c r="AL20" i="8"/>
  <c r="AG20" i="8"/>
  <c r="AB20" i="8"/>
  <c r="W20" i="8"/>
  <c r="AL19" i="8"/>
  <c r="AG19" i="8"/>
  <c r="AB19" i="8"/>
  <c r="W19" i="8"/>
  <c r="AL18" i="8"/>
  <c r="AG18" i="8"/>
  <c r="AB18" i="8"/>
  <c r="W18" i="8"/>
  <c r="AL17" i="8"/>
  <c r="AG17" i="8"/>
  <c r="AB17" i="8"/>
  <c r="W17" i="8"/>
  <c r="AL16" i="8"/>
  <c r="AG16" i="8"/>
  <c r="AB16" i="8"/>
  <c r="W16" i="8"/>
  <c r="AQ15" i="8"/>
  <c r="AL15" i="8"/>
  <c r="AG15" i="8"/>
  <c r="AB15" i="8"/>
  <c r="W15" i="8"/>
  <c r="AQ14" i="8"/>
  <c r="AL14" i="8"/>
  <c r="AG14" i="8"/>
  <c r="AB14" i="8"/>
  <c r="W14" i="8"/>
  <c r="AQ13" i="8"/>
  <c r="AL13" i="8"/>
  <c r="AG13" i="8"/>
  <c r="AB13" i="8"/>
  <c r="W13" i="8"/>
  <c r="AQ12" i="8"/>
  <c r="AL12" i="8"/>
  <c r="AG12" i="8"/>
  <c r="AB12" i="8"/>
  <c r="W12" i="8"/>
  <c r="AQ11" i="8"/>
  <c r="AL11" i="8"/>
  <c r="AG11" i="8"/>
  <c r="AB11" i="8"/>
  <c r="W11" i="8"/>
  <c r="AQ10" i="8"/>
  <c r="AL10" i="8"/>
  <c r="AG10" i="8"/>
  <c r="AB10" i="8"/>
  <c r="W10" i="8"/>
  <c r="AQ9" i="8"/>
  <c r="AL9" i="8"/>
  <c r="AG9" i="8"/>
  <c r="AB9" i="8"/>
  <c r="W9" i="8"/>
  <c r="AQ8" i="8"/>
  <c r="AL8" i="8"/>
  <c r="AG8" i="8"/>
  <c r="AB8" i="8"/>
  <c r="W8" i="8"/>
  <c r="AQ7" i="8"/>
  <c r="AL7" i="8"/>
  <c r="AG7" i="8"/>
  <c r="AB7" i="8"/>
  <c r="W7" i="8"/>
  <c r="AQ6" i="8"/>
  <c r="AL6" i="8"/>
  <c r="AG6" i="8"/>
  <c r="AB6" i="8"/>
  <c r="W6" i="8"/>
  <c r="AQ5" i="8"/>
  <c r="AL5" i="8"/>
  <c r="AG5" i="8"/>
  <c r="AB5" i="8"/>
  <c r="W5" i="8"/>
  <c r="AQ4" i="8"/>
  <c r="AL4" i="8"/>
  <c r="AG4" i="8"/>
  <c r="AB4" i="8"/>
  <c r="W4" i="8"/>
  <c r="AL56" i="7"/>
  <c r="AG56" i="7"/>
  <c r="AB56" i="7"/>
  <c r="W56" i="7"/>
  <c r="AL55" i="7"/>
  <c r="AG55" i="7"/>
  <c r="AB55" i="7"/>
  <c r="W55" i="7"/>
  <c r="AL54" i="7"/>
  <c r="AG54" i="7"/>
  <c r="AB54" i="7"/>
  <c r="W54" i="7"/>
  <c r="AL53" i="7"/>
  <c r="AG53" i="7"/>
  <c r="AB53" i="7"/>
  <c r="W53" i="7"/>
  <c r="AL52" i="7"/>
  <c r="AG52" i="7"/>
  <c r="AB52" i="7"/>
  <c r="W52" i="7"/>
  <c r="AL51" i="7"/>
  <c r="AG51" i="7"/>
  <c r="AB51" i="7"/>
  <c r="W51" i="7"/>
  <c r="AL50" i="7"/>
  <c r="AG50" i="7"/>
  <c r="AB50" i="7"/>
  <c r="W50" i="7"/>
  <c r="AL49" i="7"/>
  <c r="AG49" i="7"/>
  <c r="AB49" i="7"/>
  <c r="W49" i="7"/>
  <c r="AL48" i="7"/>
  <c r="AG48" i="7"/>
  <c r="AB48" i="7"/>
  <c r="W48" i="7"/>
  <c r="AL47" i="7"/>
  <c r="AG47" i="7"/>
  <c r="AB47" i="7"/>
  <c r="W47" i="7"/>
  <c r="AL46" i="7"/>
  <c r="AG46" i="7"/>
  <c r="AB46" i="7"/>
  <c r="W46" i="7"/>
  <c r="AL45" i="7"/>
  <c r="AG45" i="7"/>
  <c r="AB45" i="7"/>
  <c r="W45" i="7"/>
  <c r="AL44" i="7"/>
  <c r="AG44" i="7"/>
  <c r="AB44" i="7"/>
  <c r="W44" i="7"/>
  <c r="AL43" i="7"/>
  <c r="AG43" i="7"/>
  <c r="AB43" i="7"/>
  <c r="W43" i="7"/>
  <c r="AL42" i="7"/>
  <c r="AG42" i="7"/>
  <c r="AB42" i="7"/>
  <c r="W42" i="7"/>
  <c r="AL41" i="7"/>
  <c r="AG41" i="7"/>
  <c r="AB41" i="7"/>
  <c r="W41" i="7"/>
  <c r="AL40" i="7"/>
  <c r="AG40" i="7"/>
  <c r="AB40" i="7"/>
  <c r="W40" i="7"/>
  <c r="AL39" i="7"/>
  <c r="AG39" i="7"/>
  <c r="AB39" i="7"/>
  <c r="W39" i="7"/>
  <c r="AL38" i="7"/>
  <c r="AG38" i="7"/>
  <c r="AB38" i="7"/>
  <c r="W38" i="7"/>
  <c r="AL37" i="7"/>
  <c r="AG37" i="7"/>
  <c r="AB37" i="7"/>
  <c r="W37" i="7"/>
  <c r="AL36" i="7"/>
  <c r="AG36" i="7"/>
  <c r="AB36" i="7"/>
  <c r="W36" i="7"/>
  <c r="AL35" i="7"/>
  <c r="AG35" i="7"/>
  <c r="AB35" i="7"/>
  <c r="W35" i="7"/>
  <c r="AL34" i="7"/>
  <c r="AG34" i="7"/>
  <c r="AB34" i="7"/>
  <c r="W34" i="7"/>
  <c r="AL33" i="7"/>
  <c r="AG33" i="7"/>
  <c r="AB33" i="7"/>
  <c r="W33" i="7"/>
  <c r="AL32" i="7"/>
  <c r="AG32" i="7"/>
  <c r="AB32" i="7"/>
  <c r="W32" i="7"/>
  <c r="AL31" i="7"/>
  <c r="AG31" i="7"/>
  <c r="AB31" i="7"/>
  <c r="W31" i="7"/>
  <c r="AL30" i="7"/>
  <c r="AG30" i="7"/>
  <c r="AB30" i="7"/>
  <c r="W30" i="7"/>
  <c r="AL29" i="7"/>
  <c r="AG29" i="7"/>
  <c r="AB29" i="7"/>
  <c r="W29" i="7"/>
  <c r="AL28" i="7"/>
  <c r="AG28" i="7"/>
  <c r="AB28" i="7"/>
  <c r="W28" i="7"/>
  <c r="AL27" i="7"/>
  <c r="AG27" i="7"/>
  <c r="AB27" i="7"/>
  <c r="W27" i="7"/>
  <c r="AL26" i="7"/>
  <c r="AG26" i="7"/>
  <c r="AB26" i="7"/>
  <c r="W26" i="7"/>
  <c r="AL25" i="7"/>
  <c r="AG25" i="7"/>
  <c r="AB25" i="7"/>
  <c r="W25" i="7"/>
  <c r="AL24" i="7"/>
  <c r="AG24" i="7"/>
  <c r="AB24" i="7"/>
  <c r="W24" i="7"/>
  <c r="AL23" i="7"/>
  <c r="AG23" i="7"/>
  <c r="AB23" i="7"/>
  <c r="W23" i="7"/>
  <c r="AL22" i="7"/>
  <c r="AG22" i="7"/>
  <c r="AB22" i="7"/>
  <c r="W22" i="7"/>
  <c r="AL21" i="7"/>
  <c r="AG21" i="7"/>
  <c r="AB21" i="7"/>
  <c r="W21" i="7"/>
  <c r="AL20" i="7"/>
  <c r="AG20" i="7"/>
  <c r="AB20" i="7"/>
  <c r="W20" i="7"/>
  <c r="AL19" i="7"/>
  <c r="AG19" i="7"/>
  <c r="AB19" i="7"/>
  <c r="W19" i="7"/>
  <c r="AL18" i="7"/>
  <c r="AG18" i="7"/>
  <c r="AB18" i="7"/>
  <c r="W18" i="7"/>
  <c r="AL17" i="7"/>
  <c r="AG17" i="7"/>
  <c r="AB17" i="7"/>
  <c r="W17" i="7"/>
  <c r="AL16" i="7"/>
  <c r="AG16" i="7"/>
  <c r="AB16" i="7"/>
  <c r="W16" i="7"/>
  <c r="AQ15" i="7"/>
  <c r="AL15" i="7"/>
  <c r="AG15" i="7"/>
  <c r="AB15" i="7"/>
  <c r="W15" i="7"/>
  <c r="AQ14" i="7"/>
  <c r="AL14" i="7"/>
  <c r="AG14" i="7"/>
  <c r="AB14" i="7"/>
  <c r="W14" i="7"/>
  <c r="AQ13" i="7"/>
  <c r="AL13" i="7"/>
  <c r="AG13" i="7"/>
  <c r="AB13" i="7"/>
  <c r="W13" i="7"/>
  <c r="AQ12" i="7"/>
  <c r="AL12" i="7"/>
  <c r="AG12" i="7"/>
  <c r="AB12" i="7"/>
  <c r="W12" i="7"/>
  <c r="AQ11" i="7"/>
  <c r="AL11" i="7"/>
  <c r="AG11" i="7"/>
  <c r="AB11" i="7"/>
  <c r="W11" i="7"/>
  <c r="AQ10" i="7"/>
  <c r="AL10" i="7"/>
  <c r="AG10" i="7"/>
  <c r="AB10" i="7"/>
  <c r="W10" i="7"/>
  <c r="AQ9" i="7"/>
  <c r="AL9" i="7"/>
  <c r="AG9" i="7"/>
  <c r="AB9" i="7"/>
  <c r="W9" i="7"/>
  <c r="AQ8" i="7"/>
  <c r="AL8" i="7"/>
  <c r="AG8" i="7"/>
  <c r="AB8" i="7"/>
  <c r="W8" i="7"/>
  <c r="AQ7" i="7"/>
  <c r="AL7" i="7"/>
  <c r="AG7" i="7"/>
  <c r="AB7" i="7"/>
  <c r="W7" i="7"/>
  <c r="AQ6" i="7"/>
  <c r="AL6" i="7"/>
  <c r="AG6" i="7"/>
  <c r="AB6" i="7"/>
  <c r="W6" i="7"/>
  <c r="AQ5" i="7"/>
  <c r="AL5" i="7"/>
  <c r="AG5" i="7"/>
  <c r="AB5" i="7"/>
  <c r="W5" i="7"/>
  <c r="AQ4" i="7"/>
  <c r="AL4" i="7"/>
  <c r="AG4" i="7"/>
  <c r="AB4" i="7"/>
  <c r="W4" i="7"/>
  <c r="AL56" i="6"/>
  <c r="AG56" i="6"/>
  <c r="AB56" i="6"/>
  <c r="W56" i="6"/>
  <c r="AL55" i="6"/>
  <c r="AG55" i="6"/>
  <c r="AB55" i="6"/>
  <c r="W55" i="6"/>
  <c r="AL54" i="6"/>
  <c r="AG54" i="6"/>
  <c r="AB54" i="6"/>
  <c r="W54" i="6"/>
  <c r="AL53" i="6"/>
  <c r="AG53" i="6"/>
  <c r="AB53" i="6"/>
  <c r="W53" i="6"/>
  <c r="AL52" i="6"/>
  <c r="AG52" i="6"/>
  <c r="AB52" i="6"/>
  <c r="W52" i="6"/>
  <c r="AL51" i="6"/>
  <c r="AG51" i="6"/>
  <c r="AB51" i="6"/>
  <c r="W51" i="6"/>
  <c r="AL50" i="6"/>
  <c r="AG50" i="6"/>
  <c r="AB50" i="6"/>
  <c r="W50" i="6"/>
  <c r="AL49" i="6"/>
  <c r="AG49" i="6"/>
  <c r="AB49" i="6"/>
  <c r="W49" i="6"/>
  <c r="AL48" i="6"/>
  <c r="AG48" i="6"/>
  <c r="AB48" i="6"/>
  <c r="W48" i="6"/>
  <c r="AL47" i="6"/>
  <c r="AG47" i="6"/>
  <c r="AB47" i="6"/>
  <c r="W47" i="6"/>
  <c r="AL46" i="6"/>
  <c r="AG46" i="6"/>
  <c r="AB46" i="6"/>
  <c r="W46" i="6"/>
  <c r="AL45" i="6"/>
  <c r="AG45" i="6"/>
  <c r="AB45" i="6"/>
  <c r="W45" i="6"/>
  <c r="AL44" i="6"/>
  <c r="AG44" i="6"/>
  <c r="AB44" i="6"/>
  <c r="W44" i="6"/>
  <c r="AL43" i="6"/>
  <c r="AG43" i="6"/>
  <c r="AB43" i="6"/>
  <c r="W43" i="6"/>
  <c r="AL42" i="6"/>
  <c r="AG42" i="6"/>
  <c r="AB42" i="6"/>
  <c r="W42" i="6"/>
  <c r="AL41" i="6"/>
  <c r="AG41" i="6"/>
  <c r="AB41" i="6"/>
  <c r="W41" i="6"/>
  <c r="AL40" i="6"/>
  <c r="AG40" i="6"/>
  <c r="AB40" i="6"/>
  <c r="W40" i="6"/>
  <c r="AL39" i="6"/>
  <c r="AG39" i="6"/>
  <c r="AB39" i="6"/>
  <c r="W39" i="6"/>
  <c r="AL38" i="6"/>
  <c r="AG38" i="6"/>
  <c r="AB38" i="6"/>
  <c r="W38" i="6"/>
  <c r="AL37" i="6"/>
  <c r="AG37" i="6"/>
  <c r="AB37" i="6"/>
  <c r="W37" i="6"/>
  <c r="AL36" i="6"/>
  <c r="AG36" i="6"/>
  <c r="AB36" i="6"/>
  <c r="W36" i="6"/>
  <c r="AL35" i="6"/>
  <c r="AG35" i="6"/>
  <c r="AB35" i="6"/>
  <c r="W35" i="6"/>
  <c r="AL34" i="6"/>
  <c r="AG34" i="6"/>
  <c r="AB34" i="6"/>
  <c r="W34" i="6"/>
  <c r="AL33" i="6"/>
  <c r="AG33" i="6"/>
  <c r="AB33" i="6"/>
  <c r="W33" i="6"/>
  <c r="AL32" i="6"/>
  <c r="AG32" i="6"/>
  <c r="AB32" i="6"/>
  <c r="W32" i="6"/>
  <c r="AL31" i="6"/>
  <c r="AG31" i="6"/>
  <c r="AB31" i="6"/>
  <c r="W31" i="6"/>
  <c r="AL30" i="6"/>
  <c r="AG30" i="6"/>
  <c r="AB30" i="6"/>
  <c r="W30" i="6"/>
  <c r="AL29" i="6"/>
  <c r="AG29" i="6"/>
  <c r="AB29" i="6"/>
  <c r="W29" i="6"/>
  <c r="AL28" i="6"/>
  <c r="AG28" i="6"/>
  <c r="AB28" i="6"/>
  <c r="W28" i="6"/>
  <c r="AL27" i="6"/>
  <c r="AG27" i="6"/>
  <c r="AB27" i="6"/>
  <c r="W27" i="6"/>
  <c r="AL26" i="6"/>
  <c r="AG26" i="6"/>
  <c r="AB26" i="6"/>
  <c r="W26" i="6"/>
  <c r="AL25" i="6"/>
  <c r="AG25" i="6"/>
  <c r="AB25" i="6"/>
  <c r="W25" i="6"/>
  <c r="AL24" i="6"/>
  <c r="AG24" i="6"/>
  <c r="AB24" i="6"/>
  <c r="W24" i="6"/>
  <c r="AL23" i="6"/>
  <c r="AG23" i="6"/>
  <c r="AB23" i="6"/>
  <c r="W23" i="6"/>
  <c r="AL22" i="6"/>
  <c r="AG22" i="6"/>
  <c r="AB22" i="6"/>
  <c r="W22" i="6"/>
  <c r="AL21" i="6"/>
  <c r="AG21" i="6"/>
  <c r="AB21" i="6"/>
  <c r="W21" i="6"/>
  <c r="AL20" i="6"/>
  <c r="AG20" i="6"/>
  <c r="AB20" i="6"/>
  <c r="W20" i="6"/>
  <c r="AL19" i="6"/>
  <c r="AG19" i="6"/>
  <c r="AB19" i="6"/>
  <c r="W19" i="6"/>
  <c r="AL18" i="6"/>
  <c r="AG18" i="6"/>
  <c r="AB18" i="6"/>
  <c r="W18" i="6"/>
  <c r="AL17" i="6"/>
  <c r="AG17" i="6"/>
  <c r="AB17" i="6"/>
  <c r="W17" i="6"/>
  <c r="AL16" i="6"/>
  <c r="AG16" i="6"/>
  <c r="AB16" i="6"/>
  <c r="W16" i="6"/>
  <c r="AQ15" i="6"/>
  <c r="AL15" i="6"/>
  <c r="AG15" i="6"/>
  <c r="AB15" i="6"/>
  <c r="W15" i="6"/>
  <c r="AQ14" i="6"/>
  <c r="AL14" i="6"/>
  <c r="AG14" i="6"/>
  <c r="AB14" i="6"/>
  <c r="W14" i="6"/>
  <c r="AQ13" i="6"/>
  <c r="AL13" i="6"/>
  <c r="AG13" i="6"/>
  <c r="AB13" i="6"/>
  <c r="W13" i="6"/>
  <c r="AQ12" i="6"/>
  <c r="AL12" i="6"/>
  <c r="AG12" i="6"/>
  <c r="AB12" i="6"/>
  <c r="W12" i="6"/>
  <c r="AQ11" i="6"/>
  <c r="AL11" i="6"/>
  <c r="AG11" i="6"/>
  <c r="AB11" i="6"/>
  <c r="W11" i="6"/>
  <c r="AQ10" i="6"/>
  <c r="AL10" i="6"/>
  <c r="AG10" i="6"/>
  <c r="AB10" i="6"/>
  <c r="W10" i="6"/>
  <c r="AQ9" i="6"/>
  <c r="AL9" i="6"/>
  <c r="AG9" i="6"/>
  <c r="AB9" i="6"/>
  <c r="W9" i="6"/>
  <c r="AQ8" i="6"/>
  <c r="AL8" i="6"/>
  <c r="AG8" i="6"/>
  <c r="AB8" i="6"/>
  <c r="W8" i="6"/>
  <c r="AQ7" i="6"/>
  <c r="AL7" i="6"/>
  <c r="AG7" i="6"/>
  <c r="AB7" i="6"/>
  <c r="W7" i="6"/>
  <c r="AQ6" i="6"/>
  <c r="AL6" i="6"/>
  <c r="AG6" i="6"/>
  <c r="AB6" i="6"/>
  <c r="W6" i="6"/>
  <c r="AQ5" i="6"/>
  <c r="AL5" i="6"/>
  <c r="AG5" i="6"/>
  <c r="AB5" i="6"/>
  <c r="W5" i="6"/>
  <c r="AQ4" i="6"/>
  <c r="AL4" i="6"/>
  <c r="AG4" i="6"/>
  <c r="AB4" i="6"/>
  <c r="W4" i="6"/>
  <c r="AQ15" i="1"/>
  <c r="AQ14" i="1"/>
  <c r="AQ13" i="1"/>
  <c r="AQ12" i="1"/>
  <c r="AQ11" i="1"/>
  <c r="AQ10" i="1"/>
  <c r="AQ9" i="1"/>
  <c r="AQ8" i="1"/>
  <c r="AQ7" i="1"/>
  <c r="AQ6" i="1"/>
  <c r="AQ5" i="1"/>
  <c r="AQ4" i="1"/>
  <c r="AL56" i="1"/>
  <c r="AL55" i="1"/>
  <c r="AL54" i="1"/>
  <c r="AL53" i="1"/>
  <c r="AL52" i="1"/>
  <c r="AL51" i="1"/>
  <c r="AL50" i="1"/>
  <c r="AL49" i="1"/>
  <c r="AL48" i="1"/>
  <c r="AL47" i="1"/>
  <c r="AL46" i="1"/>
  <c r="AL45" i="1"/>
  <c r="AL44" i="1"/>
  <c r="AL43" i="1"/>
  <c r="AL42" i="1"/>
  <c r="AL41" i="1"/>
  <c r="AL40" i="1"/>
  <c r="AL39" i="1"/>
  <c r="AL38" i="1"/>
  <c r="AL37" i="1"/>
  <c r="AL36" i="1"/>
  <c r="AL35" i="1"/>
  <c r="AL34" i="1"/>
  <c r="AL33" i="1"/>
  <c r="AL32" i="1"/>
  <c r="AL31" i="1"/>
  <c r="AL30" i="1"/>
  <c r="AL29" i="1"/>
  <c r="AL28" i="1"/>
  <c r="AL27" i="1"/>
  <c r="AL26" i="1"/>
  <c r="AL25" i="1"/>
  <c r="AL24" i="1"/>
  <c r="AL23" i="1"/>
  <c r="AL22" i="1"/>
  <c r="AL21" i="1"/>
  <c r="AL20" i="1"/>
  <c r="AL19" i="1"/>
  <c r="AL18" i="1"/>
  <c r="AL17" i="1"/>
  <c r="AL16" i="1"/>
  <c r="AL15" i="1"/>
  <c r="AL14" i="1"/>
  <c r="AL13" i="1"/>
  <c r="AL12" i="1"/>
  <c r="AL11" i="1"/>
  <c r="AL10" i="1"/>
  <c r="AL9" i="1"/>
  <c r="AL8" i="1"/>
  <c r="AL7" i="1"/>
  <c r="AL6" i="1"/>
  <c r="AL5" i="1"/>
  <c r="AL4" i="1"/>
  <c r="AG56" i="1"/>
  <c r="AG55" i="1"/>
  <c r="AG54" i="1"/>
  <c r="AG53" i="1"/>
  <c r="AG52" i="1"/>
  <c r="AG51" i="1"/>
  <c r="AG50" i="1"/>
  <c r="AG49" i="1"/>
  <c r="AG48" i="1"/>
  <c r="AG47" i="1"/>
  <c r="AG46" i="1"/>
  <c r="AG45" i="1"/>
  <c r="AG44" i="1"/>
  <c r="AG43" i="1"/>
  <c r="AG42" i="1"/>
  <c r="AG41" i="1"/>
  <c r="AG40" i="1"/>
  <c r="AG39" i="1"/>
  <c r="AG38" i="1"/>
  <c r="AG37" i="1"/>
  <c r="AG36" i="1"/>
  <c r="AG35" i="1"/>
  <c r="AG34" i="1"/>
  <c r="AG33" i="1"/>
  <c r="AG32" i="1"/>
  <c r="AG31" i="1"/>
  <c r="AG30" i="1"/>
  <c r="AG29" i="1"/>
  <c r="AG28" i="1"/>
  <c r="AG27" i="1"/>
  <c r="AG26" i="1"/>
  <c r="AG25" i="1"/>
  <c r="AG24" i="1"/>
  <c r="AG23" i="1"/>
  <c r="AG22" i="1"/>
  <c r="AG21" i="1"/>
  <c r="AG20" i="1"/>
  <c r="AG19" i="1"/>
  <c r="AG18" i="1"/>
  <c r="AG17" i="1"/>
  <c r="AG16" i="1"/>
  <c r="AG15" i="1"/>
  <c r="AG14" i="1"/>
  <c r="AG13" i="1"/>
  <c r="AG12" i="1"/>
  <c r="AG11" i="1"/>
  <c r="AG10" i="1"/>
  <c r="AG9" i="1"/>
  <c r="AG8" i="1"/>
  <c r="AG7" i="1"/>
  <c r="AG6" i="1"/>
  <c r="AG5" i="1"/>
  <c r="AG4" i="1"/>
  <c r="AB56" i="1"/>
  <c r="AB55" i="1"/>
  <c r="AB54" i="1"/>
  <c r="AB53" i="1"/>
  <c r="AB52" i="1"/>
  <c r="AB51" i="1"/>
  <c r="AB50" i="1"/>
  <c r="AB49" i="1"/>
  <c r="AB48" i="1"/>
  <c r="AB47" i="1"/>
  <c r="AB46" i="1"/>
  <c r="AB45" i="1"/>
  <c r="AB44" i="1"/>
  <c r="AB43" i="1"/>
  <c r="AB42" i="1"/>
  <c r="AB41" i="1"/>
  <c r="AB40" i="1"/>
  <c r="AB39" i="1"/>
  <c r="AB38" i="1"/>
  <c r="AB37" i="1"/>
  <c r="AB36" i="1"/>
  <c r="AB35" i="1"/>
  <c r="AB34" i="1"/>
  <c r="AB33" i="1"/>
  <c r="AB32" i="1"/>
  <c r="AB31" i="1"/>
  <c r="AB30" i="1"/>
  <c r="AB29" i="1"/>
  <c r="AB28" i="1"/>
  <c r="AB27" i="1"/>
  <c r="AB26" i="1"/>
  <c r="AB25" i="1"/>
  <c r="AB24" i="1"/>
  <c r="AB23" i="1"/>
  <c r="AB22" i="1"/>
  <c r="AB21" i="1"/>
  <c r="AB20" i="1"/>
  <c r="AB19" i="1"/>
  <c r="AB18" i="1"/>
  <c r="AB17" i="1"/>
  <c r="AB16" i="1"/>
  <c r="AB15" i="1"/>
  <c r="AB14" i="1"/>
  <c r="AB13" i="1"/>
  <c r="AB12" i="1"/>
  <c r="AB11" i="1"/>
  <c r="AB10" i="1"/>
  <c r="AB9" i="1"/>
  <c r="AB8" i="1"/>
  <c r="AB7" i="1"/>
  <c r="AB6" i="1"/>
  <c r="AB5" i="1"/>
  <c r="AB4" i="1"/>
  <c r="W56" i="1"/>
  <c r="W55" i="1"/>
  <c r="W54" i="1"/>
  <c r="W53" i="1"/>
  <c r="W52" i="1"/>
  <c r="W51" i="1"/>
  <c r="W50" i="1"/>
  <c r="W49" i="1"/>
  <c r="W48" i="1"/>
  <c r="W47" i="1"/>
  <c r="W46" i="1"/>
  <c r="W45" i="1"/>
  <c r="W44" i="1"/>
  <c r="W43" i="1"/>
  <c r="W42" i="1"/>
  <c r="W41" i="1"/>
  <c r="W40" i="1"/>
  <c r="W39" i="1"/>
  <c r="W38" i="1"/>
  <c r="W37" i="1"/>
  <c r="W36" i="1"/>
  <c r="W35" i="1"/>
  <c r="W34" i="1"/>
  <c r="W33" i="1"/>
  <c r="W32" i="1"/>
  <c r="W31" i="1"/>
  <c r="W30" i="1"/>
  <c r="W29" i="1"/>
  <c r="W28" i="1"/>
  <c r="W27" i="1"/>
  <c r="W26" i="1"/>
  <c r="W25" i="1"/>
  <c r="W24" i="1"/>
  <c r="W23" i="1"/>
  <c r="W22" i="1"/>
  <c r="W21" i="1"/>
  <c r="W20" i="1"/>
  <c r="W19" i="1"/>
  <c r="W18" i="1"/>
  <c r="W17" i="1"/>
  <c r="W16" i="1"/>
  <c r="W15" i="1"/>
  <c r="W14" i="1"/>
  <c r="W13" i="1"/>
  <c r="W12" i="1"/>
  <c r="W11" i="1"/>
  <c r="W10" i="1"/>
  <c r="W9" i="1"/>
  <c r="W8" i="1"/>
  <c r="W7" i="1"/>
  <c r="W6" i="1"/>
  <c r="W5" i="1"/>
  <c r="W4" i="1"/>
  <c r="N229" i="5"/>
  <c r="N219" i="5"/>
  <c r="N204" i="5"/>
  <c r="N195" i="5"/>
  <c r="N183" i="5"/>
  <c r="N175" i="5"/>
  <c r="N166" i="5"/>
  <c r="N152" i="5"/>
  <c r="N144" i="5"/>
  <c r="N135" i="5"/>
  <c r="N121" i="5"/>
  <c r="N113" i="5"/>
  <c r="N104" i="5"/>
  <c r="N89" i="5"/>
  <c r="N79" i="5"/>
  <c r="N64" i="5"/>
  <c r="N55" i="5"/>
  <c r="N45" i="5"/>
  <c r="N31" i="5"/>
  <c r="N23" i="5"/>
  <c r="N14" i="5"/>
  <c r="C62" i="5" l="1"/>
  <c r="C202" i="5"/>
  <c r="C210" i="5"/>
  <c r="F213" i="5"/>
  <c r="F225" i="5"/>
  <c r="E188" i="5"/>
  <c r="E191" i="5"/>
  <c r="E62" i="5"/>
  <c r="F62" i="5"/>
  <c r="F216" i="5"/>
  <c r="E210" i="5"/>
  <c r="E213" i="5"/>
  <c r="E216" i="5"/>
  <c r="D188" i="5"/>
  <c r="E222" i="5"/>
  <c r="E223" i="5"/>
  <c r="C191" i="5"/>
  <c r="D191" i="5"/>
  <c r="E225" i="5"/>
  <c r="D210" i="5"/>
  <c r="F222" i="5"/>
  <c r="F223" i="5"/>
  <c r="F210" i="5"/>
  <c r="C213" i="5"/>
  <c r="D213" i="5"/>
  <c r="C216" i="5"/>
  <c r="D216" i="5"/>
  <c r="C222" i="5"/>
  <c r="D222" i="5"/>
  <c r="C223" i="5"/>
  <c r="D223" i="5"/>
  <c r="D225" i="5"/>
  <c r="F224" i="5"/>
  <c r="F228" i="5"/>
  <c r="E199" i="5"/>
  <c r="E200" i="5"/>
  <c r="E201" i="5"/>
  <c r="E202" i="5"/>
  <c r="F202" i="5"/>
  <c r="F226" i="5"/>
  <c r="E189" i="5"/>
  <c r="E190" i="5"/>
  <c r="E192" i="5"/>
  <c r="E193" i="5"/>
  <c r="E194" i="5"/>
  <c r="E198" i="5"/>
  <c r="C200" i="5"/>
  <c r="D200" i="5"/>
  <c r="C201" i="5"/>
  <c r="D201" i="5"/>
  <c r="C203" i="5"/>
  <c r="D203" i="5"/>
  <c r="F227" i="5"/>
  <c r="E211" i="5"/>
  <c r="E215" i="5"/>
  <c r="E217" i="5"/>
  <c r="E222" i="14"/>
  <c r="C189" i="5"/>
  <c r="D189" i="5"/>
  <c r="C190" i="5"/>
  <c r="D190" i="5"/>
  <c r="E224" i="5"/>
  <c r="C192" i="5"/>
  <c r="D192" i="5"/>
  <c r="E226" i="5"/>
  <c r="C193" i="5"/>
  <c r="D193" i="5"/>
  <c r="E227" i="5"/>
  <c r="C194" i="5"/>
  <c r="D194" i="5"/>
  <c r="E228" i="5"/>
  <c r="C198" i="5"/>
  <c r="D198" i="5"/>
  <c r="C199" i="5"/>
  <c r="D199" i="5"/>
  <c r="D63" i="5"/>
  <c r="C224" i="5"/>
  <c r="D224" i="5"/>
  <c r="C226" i="5"/>
  <c r="D226" i="5"/>
  <c r="C227" i="5"/>
  <c r="D227" i="5"/>
  <c r="C228" i="5"/>
  <c r="D228" i="5"/>
  <c r="F199" i="5"/>
  <c r="F200" i="5"/>
  <c r="F201" i="5"/>
  <c r="E203" i="5"/>
  <c r="F203" i="5"/>
  <c r="C212" i="5"/>
  <c r="D212" i="5"/>
  <c r="D214" i="5"/>
  <c r="C218" i="5"/>
  <c r="C211" i="5"/>
  <c r="D211" i="5"/>
  <c r="F212" i="5"/>
  <c r="F214" i="5"/>
  <c r="C215" i="5"/>
  <c r="D215" i="5"/>
  <c r="C217" i="5"/>
  <c r="D217" i="5"/>
  <c r="F218" i="5"/>
  <c r="F211" i="5"/>
  <c r="C214" i="5"/>
  <c r="F215" i="5"/>
  <c r="F217" i="5"/>
  <c r="D218" i="5"/>
  <c r="C63" i="5"/>
  <c r="E212" i="5"/>
  <c r="E214" i="5"/>
  <c r="E218" i="5"/>
  <c r="M13" i="5"/>
  <c r="M12" i="5"/>
  <c r="M11" i="5"/>
  <c r="C220" i="5" l="1"/>
  <c r="C230" i="5"/>
  <c r="M189" i="5"/>
  <c r="M62" i="5"/>
  <c r="G62" i="5"/>
  <c r="M202" i="5"/>
  <c r="G202" i="5"/>
  <c r="G227" i="5"/>
  <c r="M227" i="5"/>
  <c r="M200" i="5"/>
  <c r="G200" i="5"/>
  <c r="M217" i="5"/>
  <c r="G217" i="5"/>
  <c r="M218" i="5"/>
  <c r="G218" i="5"/>
  <c r="M193" i="5"/>
  <c r="G193" i="5"/>
  <c r="G201" i="5"/>
  <c r="M201" i="5"/>
  <c r="M203" i="5"/>
  <c r="G203" i="5"/>
  <c r="G63" i="5"/>
  <c r="M63" i="5"/>
  <c r="G228" i="5"/>
  <c r="M228" i="5"/>
  <c r="M194" i="5"/>
  <c r="G194" i="5"/>
  <c r="M216" i="5"/>
  <c r="G216" i="5"/>
  <c r="G5" i="5"/>
  <c r="R56" i="24" l="1"/>
  <c r="H56" i="24"/>
  <c r="R55" i="24"/>
  <c r="H55" i="24"/>
  <c r="R54" i="24"/>
  <c r="H54" i="24"/>
  <c r="R53" i="24"/>
  <c r="H53" i="24"/>
  <c r="R52" i="24"/>
  <c r="H52" i="24"/>
  <c r="R51" i="24"/>
  <c r="H51" i="24"/>
  <c r="R50" i="24"/>
  <c r="H50" i="24"/>
  <c r="R49" i="24"/>
  <c r="H49" i="24"/>
  <c r="R48" i="24"/>
  <c r="H48" i="24"/>
  <c r="R47" i="24"/>
  <c r="H47" i="24"/>
  <c r="R46" i="24"/>
  <c r="H46" i="24"/>
  <c r="R45" i="24"/>
  <c r="H45" i="24"/>
  <c r="R44" i="24"/>
  <c r="H44" i="24"/>
  <c r="R43" i="24"/>
  <c r="H43" i="24"/>
  <c r="R42" i="24"/>
  <c r="H42" i="24"/>
  <c r="R41" i="24"/>
  <c r="H41" i="24"/>
  <c r="R40" i="24"/>
  <c r="H40" i="24"/>
  <c r="R39" i="24"/>
  <c r="H39" i="24"/>
  <c r="R38" i="24"/>
  <c r="H38" i="24"/>
  <c r="R37" i="24"/>
  <c r="H37" i="24"/>
  <c r="R36" i="24"/>
  <c r="H36" i="24"/>
  <c r="R35" i="24"/>
  <c r="H35" i="24"/>
  <c r="R34" i="24"/>
  <c r="H34" i="24"/>
  <c r="R33" i="24"/>
  <c r="H33" i="24"/>
  <c r="R32" i="24"/>
  <c r="H32" i="24"/>
  <c r="R31" i="24"/>
  <c r="H31" i="24"/>
  <c r="R30" i="24"/>
  <c r="H30" i="24"/>
  <c r="R29" i="24"/>
  <c r="H29" i="24"/>
  <c r="R28" i="24"/>
  <c r="H28" i="24"/>
  <c r="R27" i="24"/>
  <c r="H27" i="24"/>
  <c r="R26" i="24"/>
  <c r="H26" i="24"/>
  <c r="R25" i="24"/>
  <c r="H25" i="24"/>
  <c r="R24" i="24"/>
  <c r="H24" i="24"/>
  <c r="R23" i="24"/>
  <c r="H23" i="24"/>
  <c r="R22" i="24"/>
  <c r="H22" i="24"/>
  <c r="R21" i="24"/>
  <c r="H21" i="24"/>
  <c r="R20" i="24"/>
  <c r="H20" i="24"/>
  <c r="R19" i="24"/>
  <c r="H19" i="24"/>
  <c r="R18" i="24"/>
  <c r="H18" i="24"/>
  <c r="R17" i="24"/>
  <c r="H17" i="24"/>
  <c r="R16" i="24"/>
  <c r="H16" i="24"/>
  <c r="R15" i="24"/>
  <c r="H15" i="24"/>
  <c r="R14" i="24"/>
  <c r="H14" i="24"/>
  <c r="R13" i="24"/>
  <c r="H13" i="24"/>
  <c r="R12" i="24"/>
  <c r="H12" i="24"/>
  <c r="R11" i="24"/>
  <c r="H11" i="24"/>
  <c r="R10" i="24"/>
  <c r="H10" i="24"/>
  <c r="R9" i="24"/>
  <c r="H9" i="24"/>
  <c r="R8" i="24"/>
  <c r="H8" i="24"/>
  <c r="R7" i="24"/>
  <c r="H7" i="24"/>
  <c r="R6" i="24"/>
  <c r="H6" i="24"/>
  <c r="R5" i="24"/>
  <c r="H5" i="24"/>
  <c r="R4" i="24"/>
  <c r="M4" i="24"/>
  <c r="H4" i="24"/>
  <c r="R56" i="23"/>
  <c r="H56" i="23"/>
  <c r="R55" i="23"/>
  <c r="H55" i="23"/>
  <c r="R54" i="23"/>
  <c r="H54" i="23"/>
  <c r="R53" i="23"/>
  <c r="H53" i="23"/>
  <c r="R52" i="23"/>
  <c r="H52" i="23"/>
  <c r="R51" i="23"/>
  <c r="H51" i="23"/>
  <c r="R50" i="23"/>
  <c r="H50" i="23"/>
  <c r="R49" i="23"/>
  <c r="H49" i="23"/>
  <c r="R48" i="23"/>
  <c r="H48" i="23"/>
  <c r="R47" i="23"/>
  <c r="H47" i="23"/>
  <c r="R46" i="23"/>
  <c r="H46" i="23"/>
  <c r="R45" i="23"/>
  <c r="H45" i="23"/>
  <c r="R44" i="23"/>
  <c r="H44" i="23"/>
  <c r="R43" i="23"/>
  <c r="H43" i="23"/>
  <c r="R42" i="23"/>
  <c r="H42" i="23"/>
  <c r="R41" i="23"/>
  <c r="H41" i="23"/>
  <c r="R40" i="23"/>
  <c r="H40" i="23"/>
  <c r="R39" i="23"/>
  <c r="H39" i="23"/>
  <c r="R38" i="23"/>
  <c r="H38" i="23"/>
  <c r="R37" i="23"/>
  <c r="H37" i="23"/>
  <c r="R36" i="23"/>
  <c r="H36" i="23"/>
  <c r="R35" i="23"/>
  <c r="H35" i="23"/>
  <c r="R34" i="23"/>
  <c r="H34" i="23"/>
  <c r="R33" i="23"/>
  <c r="H33" i="23"/>
  <c r="R32" i="23"/>
  <c r="H32" i="23"/>
  <c r="R31" i="23"/>
  <c r="H31" i="23"/>
  <c r="R30" i="23"/>
  <c r="H30" i="23"/>
  <c r="R29" i="23"/>
  <c r="H29" i="23"/>
  <c r="R28" i="23"/>
  <c r="H28" i="23"/>
  <c r="R27" i="23"/>
  <c r="H27" i="23"/>
  <c r="R26" i="23"/>
  <c r="H26" i="23"/>
  <c r="R25" i="23"/>
  <c r="H25" i="23"/>
  <c r="R24" i="23"/>
  <c r="H24" i="23"/>
  <c r="R23" i="23"/>
  <c r="H23" i="23"/>
  <c r="R22" i="23"/>
  <c r="H22" i="23"/>
  <c r="R21" i="23"/>
  <c r="H21" i="23"/>
  <c r="R20" i="23"/>
  <c r="H20" i="23"/>
  <c r="R19" i="23"/>
  <c r="H19" i="23"/>
  <c r="R18" i="23"/>
  <c r="H18" i="23"/>
  <c r="R17" i="23"/>
  <c r="H17" i="23"/>
  <c r="R16" i="23"/>
  <c r="D60" i="5"/>
  <c r="H16" i="23"/>
  <c r="R15" i="23"/>
  <c r="H15" i="23"/>
  <c r="R14" i="23"/>
  <c r="H14" i="23"/>
  <c r="R13" i="23"/>
  <c r="H13" i="23"/>
  <c r="R12" i="23"/>
  <c r="H12" i="23"/>
  <c r="R11" i="23"/>
  <c r="H11" i="23"/>
  <c r="R10" i="23"/>
  <c r="H10" i="23"/>
  <c r="R9" i="23"/>
  <c r="H9" i="23"/>
  <c r="R8" i="23"/>
  <c r="H8" i="23"/>
  <c r="R7" i="23"/>
  <c r="H7" i="23"/>
  <c r="R6" i="23"/>
  <c r="H6" i="23"/>
  <c r="R5" i="23"/>
  <c r="H5" i="23"/>
  <c r="R4" i="23"/>
  <c r="M4" i="23"/>
  <c r="H4" i="23"/>
  <c r="R56" i="22"/>
  <c r="H56" i="22"/>
  <c r="R55" i="22"/>
  <c r="H55" i="22"/>
  <c r="R54" i="22"/>
  <c r="H54" i="22"/>
  <c r="R53" i="22"/>
  <c r="H53" i="22"/>
  <c r="R52" i="22"/>
  <c r="H52" i="22"/>
  <c r="R51" i="22"/>
  <c r="H51" i="22"/>
  <c r="R50" i="22"/>
  <c r="H50" i="22"/>
  <c r="R49" i="22"/>
  <c r="H49" i="22"/>
  <c r="R48" i="22"/>
  <c r="H48" i="22"/>
  <c r="R47" i="22"/>
  <c r="H47" i="22"/>
  <c r="R46" i="22"/>
  <c r="H46" i="22"/>
  <c r="R45" i="22"/>
  <c r="H45" i="22"/>
  <c r="R44" i="22"/>
  <c r="H44" i="22"/>
  <c r="R43" i="22"/>
  <c r="H43" i="22"/>
  <c r="R42" i="22"/>
  <c r="H42" i="22"/>
  <c r="R41" i="22"/>
  <c r="E59" i="5"/>
  <c r="H41" i="22"/>
  <c r="R40" i="22"/>
  <c r="H40" i="22"/>
  <c r="R39" i="22"/>
  <c r="H39" i="22"/>
  <c r="R38" i="22"/>
  <c r="H38" i="22"/>
  <c r="R37" i="22"/>
  <c r="H37" i="22"/>
  <c r="R36" i="22"/>
  <c r="H36" i="22"/>
  <c r="R35" i="22"/>
  <c r="H35" i="22"/>
  <c r="R34" i="22"/>
  <c r="H34" i="22"/>
  <c r="R33" i="22"/>
  <c r="H33" i="22"/>
  <c r="R32" i="22"/>
  <c r="H32" i="22"/>
  <c r="R31" i="22"/>
  <c r="H31" i="22"/>
  <c r="R30" i="22"/>
  <c r="H30" i="22"/>
  <c r="R29" i="22"/>
  <c r="H29" i="22"/>
  <c r="R28" i="22"/>
  <c r="H28" i="22"/>
  <c r="R27" i="22"/>
  <c r="H27" i="22"/>
  <c r="R26" i="22"/>
  <c r="H26" i="22"/>
  <c r="R25" i="22"/>
  <c r="H25" i="22"/>
  <c r="R24" i="22"/>
  <c r="H24" i="22"/>
  <c r="R23" i="22"/>
  <c r="H23" i="22"/>
  <c r="R22" i="22"/>
  <c r="H22" i="22"/>
  <c r="R21" i="22"/>
  <c r="H21" i="22"/>
  <c r="R20" i="22"/>
  <c r="H20" i="22"/>
  <c r="R19" i="22"/>
  <c r="H19" i="22"/>
  <c r="R18" i="22"/>
  <c r="H18" i="22"/>
  <c r="R17" i="22"/>
  <c r="H17" i="22"/>
  <c r="R16" i="22"/>
  <c r="H16" i="22"/>
  <c r="R15" i="22"/>
  <c r="H15" i="22"/>
  <c r="R14" i="22"/>
  <c r="H14" i="22"/>
  <c r="R13" i="22"/>
  <c r="H13" i="22"/>
  <c r="R12" i="22"/>
  <c r="H12" i="22"/>
  <c r="R11" i="22"/>
  <c r="H11" i="22"/>
  <c r="R10" i="22"/>
  <c r="H10" i="22"/>
  <c r="R9" i="22"/>
  <c r="H9" i="22"/>
  <c r="R8" i="22"/>
  <c r="H8" i="22"/>
  <c r="R7" i="22"/>
  <c r="H7" i="22"/>
  <c r="R6" i="22"/>
  <c r="H6" i="22"/>
  <c r="R5" i="22"/>
  <c r="H5" i="22"/>
  <c r="R4" i="22"/>
  <c r="M4" i="22"/>
  <c r="H4" i="22"/>
  <c r="R56" i="21"/>
  <c r="H56" i="21"/>
  <c r="R55" i="21"/>
  <c r="H55" i="21"/>
  <c r="R54" i="21"/>
  <c r="H54" i="21"/>
  <c r="R53" i="21"/>
  <c r="H53" i="21"/>
  <c r="R52" i="21"/>
  <c r="H52" i="21"/>
  <c r="R51" i="21"/>
  <c r="H51" i="21"/>
  <c r="R50" i="21"/>
  <c r="H50" i="21"/>
  <c r="R49" i="21"/>
  <c r="H49" i="21"/>
  <c r="R48" i="21"/>
  <c r="H48" i="21"/>
  <c r="R47" i="21"/>
  <c r="H47" i="21"/>
  <c r="R46" i="21"/>
  <c r="H46" i="21"/>
  <c r="R45" i="21"/>
  <c r="H45" i="21"/>
  <c r="R44" i="21"/>
  <c r="H44" i="21"/>
  <c r="R43" i="21"/>
  <c r="H43" i="21"/>
  <c r="R42" i="21"/>
  <c r="H42" i="21"/>
  <c r="R41" i="21"/>
  <c r="H41" i="21"/>
  <c r="R40" i="21"/>
  <c r="H40" i="21"/>
  <c r="R39" i="21"/>
  <c r="H39" i="21"/>
  <c r="R38" i="21"/>
  <c r="H38" i="21"/>
  <c r="R37" i="21"/>
  <c r="H37" i="21"/>
  <c r="R36" i="21"/>
  <c r="H36" i="21"/>
  <c r="R35" i="21"/>
  <c r="H35" i="21"/>
  <c r="R34" i="21"/>
  <c r="H34" i="21"/>
  <c r="R33" i="21"/>
  <c r="H33" i="21"/>
  <c r="R32" i="21"/>
  <c r="H32" i="21"/>
  <c r="R31" i="21"/>
  <c r="H31" i="21"/>
  <c r="R30" i="21"/>
  <c r="H30" i="21"/>
  <c r="R29" i="21"/>
  <c r="H29" i="21"/>
  <c r="R28" i="21"/>
  <c r="H28" i="21"/>
  <c r="R27" i="21"/>
  <c r="H27" i="21"/>
  <c r="R26" i="21"/>
  <c r="H26" i="21"/>
  <c r="R25" i="21"/>
  <c r="H25" i="21"/>
  <c r="R24" i="21"/>
  <c r="H24" i="21"/>
  <c r="R23" i="21"/>
  <c r="H23" i="21"/>
  <c r="R22" i="21"/>
  <c r="H22" i="21"/>
  <c r="R21" i="21"/>
  <c r="H21" i="21"/>
  <c r="R20" i="21"/>
  <c r="H20" i="21"/>
  <c r="R19" i="21"/>
  <c r="H19" i="21"/>
  <c r="R18" i="21"/>
  <c r="H18" i="21"/>
  <c r="R17" i="21"/>
  <c r="H17" i="21"/>
  <c r="R16" i="21"/>
  <c r="H16" i="21"/>
  <c r="R15" i="21"/>
  <c r="H15" i="21"/>
  <c r="R14" i="21"/>
  <c r="H14" i="21"/>
  <c r="R13" i="21"/>
  <c r="H13" i="21"/>
  <c r="R12" i="21"/>
  <c r="H12" i="21"/>
  <c r="R11" i="21"/>
  <c r="H11" i="21"/>
  <c r="R10" i="21"/>
  <c r="H10" i="21"/>
  <c r="R9" i="21"/>
  <c r="H9" i="21"/>
  <c r="R8" i="21"/>
  <c r="H8" i="21"/>
  <c r="R7" i="21"/>
  <c r="H7" i="21"/>
  <c r="R6" i="21"/>
  <c r="H6" i="21"/>
  <c r="R5" i="21"/>
  <c r="H5" i="21"/>
  <c r="R4" i="21"/>
  <c r="M4" i="21"/>
  <c r="H4" i="21"/>
  <c r="H56" i="20"/>
  <c r="H55" i="20"/>
  <c r="H54" i="20"/>
  <c r="H53" i="20"/>
  <c r="H52" i="20"/>
  <c r="H51" i="20"/>
  <c r="H50" i="20"/>
  <c r="H49" i="20"/>
  <c r="H48" i="20"/>
  <c r="H47" i="20"/>
  <c r="H46" i="20"/>
  <c r="H45" i="20"/>
  <c r="H44" i="20"/>
  <c r="H43" i="20"/>
  <c r="H42" i="20"/>
  <c r="E54" i="5"/>
  <c r="H41" i="20"/>
  <c r="H40" i="20"/>
  <c r="H39" i="20"/>
  <c r="H38" i="20"/>
  <c r="H37" i="20"/>
  <c r="H36" i="20"/>
  <c r="H35" i="20"/>
  <c r="H34" i="20"/>
  <c r="H33" i="20"/>
  <c r="H32" i="20"/>
  <c r="H31" i="20"/>
  <c r="H30" i="20"/>
  <c r="H29" i="20"/>
  <c r="H28" i="20"/>
  <c r="H27" i="20"/>
  <c r="H26" i="20"/>
  <c r="H25" i="20"/>
  <c r="H24" i="20"/>
  <c r="H23" i="20"/>
  <c r="H22" i="20"/>
  <c r="H21" i="20"/>
  <c r="H20" i="20"/>
  <c r="H19" i="20"/>
  <c r="H18" i="20"/>
  <c r="H17" i="20"/>
  <c r="H16" i="20"/>
  <c r="R15" i="20"/>
  <c r="M15" i="20"/>
  <c r="H15" i="20"/>
  <c r="R14" i="20"/>
  <c r="M14" i="20"/>
  <c r="H14" i="20"/>
  <c r="R13" i="20"/>
  <c r="M13" i="20"/>
  <c r="H13" i="20"/>
  <c r="R12" i="20"/>
  <c r="M12" i="20"/>
  <c r="H12" i="20"/>
  <c r="R11" i="20"/>
  <c r="M11" i="20"/>
  <c r="H11" i="20"/>
  <c r="R10" i="20"/>
  <c r="M10" i="20"/>
  <c r="H10" i="20"/>
  <c r="R9" i="20"/>
  <c r="M9" i="20"/>
  <c r="H9" i="20"/>
  <c r="R8" i="20"/>
  <c r="M8" i="20"/>
  <c r="H8" i="20"/>
  <c r="R7" i="20"/>
  <c r="M7" i="20"/>
  <c r="H7" i="20"/>
  <c r="R6" i="20"/>
  <c r="M6" i="20"/>
  <c r="H6" i="20"/>
  <c r="R5" i="20"/>
  <c r="M5" i="20"/>
  <c r="H5" i="20"/>
  <c r="R4" i="20"/>
  <c r="M4" i="20"/>
  <c r="H4" i="20"/>
  <c r="H56" i="19"/>
  <c r="H55" i="19"/>
  <c r="H54" i="19"/>
  <c r="H53" i="19"/>
  <c r="H52" i="19"/>
  <c r="H51" i="19"/>
  <c r="F53" i="5"/>
  <c r="H50" i="19"/>
  <c r="H49" i="19"/>
  <c r="H48" i="19"/>
  <c r="H47" i="19"/>
  <c r="H46" i="19"/>
  <c r="H45" i="19"/>
  <c r="H44" i="19"/>
  <c r="H43" i="19"/>
  <c r="H42" i="19"/>
  <c r="H41" i="19"/>
  <c r="H40" i="19"/>
  <c r="H39" i="19"/>
  <c r="H38" i="19"/>
  <c r="H37" i="19"/>
  <c r="H36" i="19"/>
  <c r="H35" i="19"/>
  <c r="H34" i="19"/>
  <c r="H33" i="19"/>
  <c r="H32" i="19"/>
  <c r="H31" i="19"/>
  <c r="H30" i="19"/>
  <c r="H29" i="19"/>
  <c r="H28" i="19"/>
  <c r="H27" i="19"/>
  <c r="H26" i="19"/>
  <c r="H25" i="19"/>
  <c r="H24" i="19"/>
  <c r="H23" i="19"/>
  <c r="H22" i="19"/>
  <c r="H21" i="19"/>
  <c r="H20" i="19"/>
  <c r="H19" i="19"/>
  <c r="H18" i="19"/>
  <c r="H17" i="19"/>
  <c r="H16" i="19"/>
  <c r="R15" i="19"/>
  <c r="M15" i="19"/>
  <c r="H15" i="19"/>
  <c r="R14" i="19"/>
  <c r="M14" i="19"/>
  <c r="H14" i="19"/>
  <c r="R13" i="19"/>
  <c r="M13" i="19"/>
  <c r="H13" i="19"/>
  <c r="R12" i="19"/>
  <c r="M12" i="19"/>
  <c r="H12" i="19"/>
  <c r="R11" i="19"/>
  <c r="M11" i="19"/>
  <c r="H11" i="19"/>
  <c r="R10" i="19"/>
  <c r="M10" i="19"/>
  <c r="H10" i="19"/>
  <c r="R9" i="19"/>
  <c r="M9" i="19"/>
  <c r="H9" i="19"/>
  <c r="R8" i="19"/>
  <c r="M8" i="19"/>
  <c r="H8" i="19"/>
  <c r="R7" i="19"/>
  <c r="M7" i="19"/>
  <c r="H7" i="19"/>
  <c r="R6" i="19"/>
  <c r="M6" i="19"/>
  <c r="H6" i="19"/>
  <c r="R5" i="19"/>
  <c r="M5" i="19"/>
  <c r="H5" i="19"/>
  <c r="R4" i="19"/>
  <c r="M4" i="19"/>
  <c r="H4" i="19"/>
  <c r="H56" i="18"/>
  <c r="H55" i="18"/>
  <c r="H54" i="18"/>
  <c r="H53" i="18"/>
  <c r="H52" i="18"/>
  <c r="H51" i="18"/>
  <c r="H50" i="18"/>
  <c r="H49" i="18"/>
  <c r="H48" i="18"/>
  <c r="H47" i="18"/>
  <c r="H46" i="18"/>
  <c r="H45" i="18"/>
  <c r="H44" i="18"/>
  <c r="H43" i="18"/>
  <c r="H42" i="18"/>
  <c r="E52" i="5"/>
  <c r="H41" i="18"/>
  <c r="H40" i="18"/>
  <c r="H39" i="18"/>
  <c r="H38" i="18"/>
  <c r="H37" i="18"/>
  <c r="H36" i="18"/>
  <c r="H35" i="18"/>
  <c r="H34" i="18"/>
  <c r="H33" i="18"/>
  <c r="H32" i="18"/>
  <c r="H31" i="18"/>
  <c r="H30" i="18"/>
  <c r="H29" i="18"/>
  <c r="H28" i="18"/>
  <c r="H27" i="18"/>
  <c r="H26" i="18"/>
  <c r="H25" i="18"/>
  <c r="H24" i="18"/>
  <c r="H23" i="18"/>
  <c r="H22" i="18"/>
  <c r="H21" i="18"/>
  <c r="H20" i="18"/>
  <c r="H19" i="18"/>
  <c r="H18" i="18"/>
  <c r="H17" i="18"/>
  <c r="H16" i="18"/>
  <c r="R15" i="18"/>
  <c r="M15" i="18"/>
  <c r="H15" i="18"/>
  <c r="R14" i="18"/>
  <c r="M14" i="18"/>
  <c r="H14" i="18"/>
  <c r="R13" i="18"/>
  <c r="M13" i="18"/>
  <c r="H13" i="18"/>
  <c r="R12" i="18"/>
  <c r="M12" i="18"/>
  <c r="H12" i="18"/>
  <c r="R11" i="18"/>
  <c r="M11" i="18"/>
  <c r="H11" i="18"/>
  <c r="R10" i="18"/>
  <c r="M10" i="18"/>
  <c r="H10" i="18"/>
  <c r="R9" i="18"/>
  <c r="M9" i="18"/>
  <c r="H9" i="18"/>
  <c r="R8" i="18"/>
  <c r="M8" i="18"/>
  <c r="H8" i="18"/>
  <c r="R7" i="18"/>
  <c r="M7" i="18"/>
  <c r="H7" i="18"/>
  <c r="R6" i="18"/>
  <c r="M6" i="18"/>
  <c r="H6" i="18"/>
  <c r="R5" i="18"/>
  <c r="M5" i="18"/>
  <c r="H5" i="18"/>
  <c r="R4" i="18"/>
  <c r="M4" i="18"/>
  <c r="H4" i="18"/>
  <c r="H56" i="17"/>
  <c r="H55" i="17"/>
  <c r="H54" i="17"/>
  <c r="H53" i="17"/>
  <c r="H52" i="17"/>
  <c r="H51" i="17"/>
  <c r="H50" i="17"/>
  <c r="H49" i="17"/>
  <c r="H48" i="17"/>
  <c r="H47" i="17"/>
  <c r="H46" i="17"/>
  <c r="H45" i="17"/>
  <c r="H44" i="17"/>
  <c r="H43" i="17"/>
  <c r="H42" i="17"/>
  <c r="H41" i="17"/>
  <c r="H40" i="17"/>
  <c r="H39" i="17"/>
  <c r="H38" i="17"/>
  <c r="H37" i="17"/>
  <c r="H36" i="17"/>
  <c r="H35" i="17"/>
  <c r="H34" i="17"/>
  <c r="H33" i="17"/>
  <c r="H32" i="17"/>
  <c r="H31" i="17"/>
  <c r="H30" i="17"/>
  <c r="H29" i="17"/>
  <c r="H28" i="17"/>
  <c r="H27" i="17"/>
  <c r="H26" i="17"/>
  <c r="H25" i="17"/>
  <c r="H24" i="17"/>
  <c r="H23" i="17"/>
  <c r="H22" i="17"/>
  <c r="H21" i="17"/>
  <c r="H20" i="17"/>
  <c r="H19" i="17"/>
  <c r="H18" i="17"/>
  <c r="H17" i="17"/>
  <c r="D51" i="5"/>
  <c r="H16" i="17"/>
  <c r="R15" i="17"/>
  <c r="M15" i="17"/>
  <c r="H15" i="17"/>
  <c r="R14" i="17"/>
  <c r="M14" i="17"/>
  <c r="H14" i="17"/>
  <c r="R13" i="17"/>
  <c r="M13" i="17"/>
  <c r="H13" i="17"/>
  <c r="R12" i="17"/>
  <c r="M12" i="17"/>
  <c r="H12" i="17"/>
  <c r="R11" i="17"/>
  <c r="M11" i="17"/>
  <c r="H11" i="17"/>
  <c r="R10" i="17"/>
  <c r="M10" i="17"/>
  <c r="H10" i="17"/>
  <c r="R9" i="17"/>
  <c r="M9" i="17"/>
  <c r="H9" i="17"/>
  <c r="R8" i="17"/>
  <c r="M8" i="17"/>
  <c r="H8" i="17"/>
  <c r="R7" i="17"/>
  <c r="M7" i="17"/>
  <c r="H7" i="17"/>
  <c r="R6" i="17"/>
  <c r="M6" i="17"/>
  <c r="H6" i="17"/>
  <c r="R5" i="17"/>
  <c r="M5" i="17"/>
  <c r="H5" i="17"/>
  <c r="R4" i="17"/>
  <c r="M4" i="17"/>
  <c r="H4" i="17"/>
  <c r="H56" i="16"/>
  <c r="H55" i="16"/>
  <c r="H54" i="16"/>
  <c r="H53" i="16"/>
  <c r="H52" i="16"/>
  <c r="H51" i="16"/>
  <c r="H50" i="16"/>
  <c r="H49" i="16"/>
  <c r="H48" i="16"/>
  <c r="H47" i="16"/>
  <c r="H46" i="16"/>
  <c r="H45" i="16"/>
  <c r="H44" i="16"/>
  <c r="H43" i="16"/>
  <c r="H42" i="16"/>
  <c r="H41" i="16"/>
  <c r="H40" i="16"/>
  <c r="H39" i="16"/>
  <c r="H38" i="16"/>
  <c r="H37" i="16"/>
  <c r="H36" i="16"/>
  <c r="H35" i="16"/>
  <c r="H34" i="16"/>
  <c r="H33" i="16"/>
  <c r="H32" i="16"/>
  <c r="H31" i="16"/>
  <c r="H30" i="16"/>
  <c r="H29" i="16"/>
  <c r="H28" i="16"/>
  <c r="H27" i="16"/>
  <c r="H26" i="16"/>
  <c r="H25" i="16"/>
  <c r="H24" i="16"/>
  <c r="H23" i="16"/>
  <c r="H22" i="16"/>
  <c r="H21" i="16"/>
  <c r="H20" i="16"/>
  <c r="H19" i="16"/>
  <c r="H18" i="16"/>
  <c r="H17" i="16"/>
  <c r="H16" i="16"/>
  <c r="R15" i="16"/>
  <c r="M15" i="16"/>
  <c r="H15" i="16"/>
  <c r="R14" i="16"/>
  <c r="M14" i="16"/>
  <c r="H14" i="16"/>
  <c r="R13" i="16"/>
  <c r="M13" i="16"/>
  <c r="H13" i="16"/>
  <c r="R12" i="16"/>
  <c r="M12" i="16"/>
  <c r="H12" i="16"/>
  <c r="R11" i="16"/>
  <c r="M11" i="16"/>
  <c r="H11" i="16"/>
  <c r="R10" i="16"/>
  <c r="M10" i="16"/>
  <c r="H10" i="16"/>
  <c r="R9" i="16"/>
  <c r="M9" i="16"/>
  <c r="H9" i="16"/>
  <c r="R8" i="16"/>
  <c r="M8" i="16"/>
  <c r="H8" i="16"/>
  <c r="R7" i="16"/>
  <c r="M7" i="16"/>
  <c r="H7" i="16"/>
  <c r="R6" i="16"/>
  <c r="M6" i="16"/>
  <c r="H6" i="16"/>
  <c r="R5" i="16"/>
  <c r="M5" i="16"/>
  <c r="H5" i="16"/>
  <c r="R4" i="16"/>
  <c r="M4" i="16"/>
  <c r="H4" i="16"/>
  <c r="H56" i="15"/>
  <c r="H55" i="15"/>
  <c r="H54" i="15"/>
  <c r="H53" i="15"/>
  <c r="H52" i="15"/>
  <c r="H51" i="15"/>
  <c r="F49" i="5"/>
  <c r="H50" i="15"/>
  <c r="H49" i="15"/>
  <c r="H48" i="15"/>
  <c r="H47" i="15"/>
  <c r="H46" i="15"/>
  <c r="H45" i="15"/>
  <c r="H44" i="15"/>
  <c r="H43" i="15"/>
  <c r="H42" i="15"/>
  <c r="H41" i="15"/>
  <c r="H40" i="15"/>
  <c r="H39" i="15"/>
  <c r="H38" i="15"/>
  <c r="H37" i="15"/>
  <c r="H36" i="15"/>
  <c r="H35" i="15"/>
  <c r="H34" i="15"/>
  <c r="H33" i="15"/>
  <c r="H32" i="15"/>
  <c r="H31" i="15"/>
  <c r="H30" i="15"/>
  <c r="H29" i="15"/>
  <c r="H28" i="15"/>
  <c r="H27" i="15"/>
  <c r="H26" i="15"/>
  <c r="H25" i="15"/>
  <c r="H24" i="15"/>
  <c r="H23" i="15"/>
  <c r="H22" i="15"/>
  <c r="H21" i="15"/>
  <c r="H20" i="15"/>
  <c r="H19" i="15"/>
  <c r="H18" i="15"/>
  <c r="H17" i="15"/>
  <c r="H16" i="15"/>
  <c r="R15" i="15"/>
  <c r="M15" i="15"/>
  <c r="H15" i="15"/>
  <c r="R14" i="15"/>
  <c r="M14" i="15"/>
  <c r="H14" i="15"/>
  <c r="R13" i="15"/>
  <c r="M13" i="15"/>
  <c r="H13" i="15"/>
  <c r="R12" i="15"/>
  <c r="M12" i="15"/>
  <c r="H12" i="15"/>
  <c r="R11" i="15"/>
  <c r="M11" i="15"/>
  <c r="H11" i="15"/>
  <c r="R10" i="15"/>
  <c r="M10" i="15"/>
  <c r="H10" i="15"/>
  <c r="R9" i="15"/>
  <c r="M9" i="15"/>
  <c r="H9" i="15"/>
  <c r="R8" i="15"/>
  <c r="M8" i="15"/>
  <c r="H8" i="15"/>
  <c r="R7" i="15"/>
  <c r="M7" i="15"/>
  <c r="H7" i="15"/>
  <c r="R6" i="15"/>
  <c r="M6" i="15"/>
  <c r="H6" i="15"/>
  <c r="R5" i="15"/>
  <c r="M5" i="15"/>
  <c r="H5" i="15"/>
  <c r="R4" i="15"/>
  <c r="M4" i="15"/>
  <c r="H4" i="15"/>
  <c r="H56" i="14"/>
  <c r="H55" i="14"/>
  <c r="H54" i="14"/>
  <c r="H53" i="14"/>
  <c r="H52" i="14"/>
  <c r="H51" i="14"/>
  <c r="H50" i="14"/>
  <c r="H49" i="14"/>
  <c r="H48" i="14"/>
  <c r="H47" i="14"/>
  <c r="H46" i="14"/>
  <c r="H45" i="14"/>
  <c r="H44" i="14"/>
  <c r="H43" i="14"/>
  <c r="H42" i="14"/>
  <c r="E48" i="5"/>
  <c r="H41" i="14"/>
  <c r="H40" i="14"/>
  <c r="H39" i="14"/>
  <c r="H38" i="14"/>
  <c r="H37" i="14"/>
  <c r="H36" i="14"/>
  <c r="H35" i="14"/>
  <c r="H34" i="14"/>
  <c r="H33" i="14"/>
  <c r="H32" i="14"/>
  <c r="H31" i="14"/>
  <c r="H30" i="14"/>
  <c r="H29" i="14"/>
  <c r="H28" i="14"/>
  <c r="H27" i="14"/>
  <c r="H26" i="14"/>
  <c r="H25" i="14"/>
  <c r="H24" i="14"/>
  <c r="H23" i="14"/>
  <c r="H22" i="14"/>
  <c r="H21" i="14"/>
  <c r="H20" i="14"/>
  <c r="H19" i="14"/>
  <c r="H18" i="14"/>
  <c r="H17" i="14"/>
  <c r="H16" i="14"/>
  <c r="M15" i="14"/>
  <c r="H15" i="14"/>
  <c r="M14" i="14"/>
  <c r="H14" i="14"/>
  <c r="M13" i="14"/>
  <c r="H13" i="14"/>
  <c r="M12" i="14"/>
  <c r="H12" i="14"/>
  <c r="M11" i="14"/>
  <c r="H11" i="14"/>
  <c r="M10" i="14"/>
  <c r="H10" i="14"/>
  <c r="M9" i="14"/>
  <c r="H9" i="14"/>
  <c r="M8" i="14"/>
  <c r="H8" i="14"/>
  <c r="M7" i="14"/>
  <c r="H7" i="14"/>
  <c r="M6" i="14"/>
  <c r="H6" i="14"/>
  <c r="M5" i="14"/>
  <c r="H5" i="14"/>
  <c r="R4" i="14"/>
  <c r="M4" i="14"/>
  <c r="H4" i="14"/>
  <c r="H56" i="13"/>
  <c r="H55" i="13"/>
  <c r="H54" i="13"/>
  <c r="H53" i="13"/>
  <c r="H52" i="13"/>
  <c r="H51" i="13"/>
  <c r="F44" i="5"/>
  <c r="H50" i="13"/>
  <c r="H49" i="13"/>
  <c r="H48" i="13"/>
  <c r="H47" i="13"/>
  <c r="H46" i="13"/>
  <c r="H45" i="13"/>
  <c r="H44" i="13"/>
  <c r="H43" i="13"/>
  <c r="H42" i="13"/>
  <c r="H41" i="13"/>
  <c r="H40" i="13"/>
  <c r="H39" i="13"/>
  <c r="H38" i="13"/>
  <c r="H37" i="13"/>
  <c r="H36" i="13"/>
  <c r="H35" i="13"/>
  <c r="H34" i="13"/>
  <c r="H33" i="13"/>
  <c r="H32" i="13"/>
  <c r="H31" i="13"/>
  <c r="H30" i="13"/>
  <c r="H29" i="13"/>
  <c r="H28" i="13"/>
  <c r="H27" i="13"/>
  <c r="H26" i="13"/>
  <c r="H25" i="13"/>
  <c r="H24" i="13"/>
  <c r="H23" i="13"/>
  <c r="H22" i="13"/>
  <c r="H21" i="13"/>
  <c r="H20" i="13"/>
  <c r="H19" i="13"/>
  <c r="H18" i="13"/>
  <c r="H17" i="13"/>
  <c r="D44" i="5"/>
  <c r="H16" i="13"/>
  <c r="H15" i="13"/>
  <c r="H14" i="13"/>
  <c r="H13" i="13"/>
  <c r="H12" i="13"/>
  <c r="H11" i="13"/>
  <c r="H10" i="13"/>
  <c r="H9" i="13"/>
  <c r="H8" i="13"/>
  <c r="H7" i="13"/>
  <c r="H6" i="13"/>
  <c r="H5" i="13"/>
  <c r="R4" i="13"/>
  <c r="M4" i="13"/>
  <c r="C44" i="5" s="1"/>
  <c r="H4" i="13"/>
  <c r="H56" i="12"/>
  <c r="H55" i="12"/>
  <c r="H54" i="12"/>
  <c r="H53" i="12"/>
  <c r="H52" i="12"/>
  <c r="H51" i="12"/>
  <c r="H50" i="12"/>
  <c r="H49" i="12"/>
  <c r="H48" i="12"/>
  <c r="H47" i="12"/>
  <c r="H46" i="12"/>
  <c r="H45" i="12"/>
  <c r="H44" i="12"/>
  <c r="H43" i="12"/>
  <c r="H42" i="12"/>
  <c r="H41" i="12"/>
  <c r="H40" i="12"/>
  <c r="H39" i="12"/>
  <c r="H38" i="12"/>
  <c r="H37" i="12"/>
  <c r="H36" i="12"/>
  <c r="H35" i="12"/>
  <c r="H34" i="12"/>
  <c r="H33" i="12"/>
  <c r="H32" i="12"/>
  <c r="H31" i="12"/>
  <c r="H30" i="12"/>
  <c r="H29" i="12"/>
  <c r="H28" i="12"/>
  <c r="H27" i="12"/>
  <c r="H26" i="12"/>
  <c r="H25" i="12"/>
  <c r="H24" i="12"/>
  <c r="H23" i="12"/>
  <c r="H22" i="12"/>
  <c r="H21" i="12"/>
  <c r="H20" i="12"/>
  <c r="H19" i="12"/>
  <c r="H18" i="12"/>
  <c r="H17" i="12"/>
  <c r="H16" i="12"/>
  <c r="H15" i="12"/>
  <c r="H14" i="12"/>
  <c r="H13" i="12"/>
  <c r="H12" i="12"/>
  <c r="H11" i="12"/>
  <c r="H10" i="12"/>
  <c r="H9" i="12"/>
  <c r="H8" i="12"/>
  <c r="H7" i="12"/>
  <c r="H6" i="12"/>
  <c r="H5" i="12"/>
  <c r="R4" i="12"/>
  <c r="M4" i="12"/>
  <c r="H4" i="12"/>
  <c r="H56" i="11"/>
  <c r="H55" i="11"/>
  <c r="H54" i="11"/>
  <c r="H53" i="11"/>
  <c r="H52" i="11"/>
  <c r="H51" i="11"/>
  <c r="F42" i="5"/>
  <c r="H50" i="11"/>
  <c r="H49" i="11"/>
  <c r="H48" i="11"/>
  <c r="H47" i="11"/>
  <c r="H46" i="11"/>
  <c r="H45"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H14" i="11"/>
  <c r="H13" i="11"/>
  <c r="H12" i="11"/>
  <c r="H11" i="11"/>
  <c r="H10" i="11"/>
  <c r="H9" i="11"/>
  <c r="H8" i="11"/>
  <c r="H7" i="11"/>
  <c r="H6" i="11"/>
  <c r="H5" i="11"/>
  <c r="R4" i="11"/>
  <c r="M4" i="11"/>
  <c r="C42" i="5" s="1"/>
  <c r="H4" i="11"/>
  <c r="H56" i="10"/>
  <c r="H55" i="10"/>
  <c r="H54" i="10"/>
  <c r="H53" i="10"/>
  <c r="H52" i="10"/>
  <c r="H51" i="10"/>
  <c r="F75" i="5"/>
  <c r="H50" i="10"/>
  <c r="H49" i="10"/>
  <c r="H48" i="10"/>
  <c r="H47" i="10"/>
  <c r="H46" i="10"/>
  <c r="H45" i="10"/>
  <c r="H44" i="10"/>
  <c r="H43" i="10"/>
  <c r="H42" i="10"/>
  <c r="E41" i="5"/>
  <c r="H41" i="10"/>
  <c r="H40" i="10"/>
  <c r="H39" i="10"/>
  <c r="H38" i="10"/>
  <c r="H37" i="10"/>
  <c r="H36" i="10"/>
  <c r="H35" i="10"/>
  <c r="H34" i="10"/>
  <c r="H33" i="10"/>
  <c r="H32" i="10"/>
  <c r="H31" i="10"/>
  <c r="H30" i="10"/>
  <c r="H29" i="10"/>
  <c r="H28" i="10"/>
  <c r="H27" i="10"/>
  <c r="H26" i="10"/>
  <c r="H25" i="10"/>
  <c r="H24" i="10"/>
  <c r="H23" i="10"/>
  <c r="H22" i="10"/>
  <c r="H21" i="10"/>
  <c r="H20" i="10"/>
  <c r="H19" i="10"/>
  <c r="H18" i="10"/>
  <c r="H17" i="10"/>
  <c r="H16" i="10"/>
  <c r="H15" i="10"/>
  <c r="H14" i="10"/>
  <c r="H13" i="10"/>
  <c r="H12" i="10"/>
  <c r="H11" i="10"/>
  <c r="H10" i="10"/>
  <c r="H9" i="10"/>
  <c r="H8" i="10"/>
  <c r="H7" i="10"/>
  <c r="H6" i="10"/>
  <c r="H5" i="10"/>
  <c r="R4" i="10"/>
  <c r="M4" i="10"/>
  <c r="H4" i="10"/>
  <c r="H56" i="9"/>
  <c r="H55" i="9"/>
  <c r="H54" i="9"/>
  <c r="H53" i="9"/>
  <c r="H52" i="9"/>
  <c r="H51" i="9"/>
  <c r="H50" i="9"/>
  <c r="H49" i="9"/>
  <c r="H48" i="9"/>
  <c r="H47" i="9"/>
  <c r="H46" i="9"/>
  <c r="H45" i="9"/>
  <c r="H44" i="9"/>
  <c r="H43" i="9"/>
  <c r="H42" i="9"/>
  <c r="E74" i="5"/>
  <c r="H41" i="9"/>
  <c r="H40" i="9"/>
  <c r="H39" i="9"/>
  <c r="H38" i="9"/>
  <c r="H37" i="9"/>
  <c r="H36" i="9"/>
  <c r="H35" i="9"/>
  <c r="H34" i="9"/>
  <c r="H33" i="9"/>
  <c r="H32" i="9"/>
  <c r="H31" i="9"/>
  <c r="H30" i="9"/>
  <c r="H29" i="9"/>
  <c r="H28" i="9"/>
  <c r="H27" i="9"/>
  <c r="H26" i="9"/>
  <c r="H25" i="9"/>
  <c r="H24" i="9"/>
  <c r="H23" i="9"/>
  <c r="H22" i="9"/>
  <c r="H21" i="9"/>
  <c r="H20" i="9"/>
  <c r="H19" i="9"/>
  <c r="H18" i="9"/>
  <c r="H17" i="9"/>
  <c r="D40" i="5"/>
  <c r="H16" i="9"/>
  <c r="H15" i="9"/>
  <c r="H14" i="9"/>
  <c r="H13" i="9"/>
  <c r="H12" i="9"/>
  <c r="H11" i="9"/>
  <c r="H10" i="9"/>
  <c r="H9" i="9"/>
  <c r="H8" i="9"/>
  <c r="H7" i="9"/>
  <c r="H6" i="9"/>
  <c r="H5" i="9"/>
  <c r="R4" i="9"/>
  <c r="M4" i="9"/>
  <c r="C40" i="5" s="1"/>
  <c r="H4" i="9"/>
  <c r="H56" i="8"/>
  <c r="H55" i="8"/>
  <c r="H54" i="8"/>
  <c r="H53" i="8"/>
  <c r="H52" i="8"/>
  <c r="H51" i="8"/>
  <c r="H50" i="8"/>
  <c r="H49" i="8"/>
  <c r="H48" i="8"/>
  <c r="H47" i="8"/>
  <c r="H46" i="8"/>
  <c r="H45" i="8"/>
  <c r="H44" i="8"/>
  <c r="H43" i="8"/>
  <c r="H42" i="8"/>
  <c r="E39" i="5"/>
  <c r="H41" i="8"/>
  <c r="H40" i="8"/>
  <c r="H39" i="8"/>
  <c r="H38" i="8"/>
  <c r="H37" i="8"/>
  <c r="H36" i="8"/>
  <c r="H35" i="8"/>
  <c r="H34" i="8"/>
  <c r="H33" i="8"/>
  <c r="H32" i="8"/>
  <c r="H31" i="8"/>
  <c r="H30" i="8"/>
  <c r="H29" i="8"/>
  <c r="H28" i="8"/>
  <c r="H27" i="8"/>
  <c r="H26" i="8"/>
  <c r="H25" i="8"/>
  <c r="H24" i="8"/>
  <c r="H23" i="8"/>
  <c r="H22" i="8"/>
  <c r="H21" i="8"/>
  <c r="H20" i="8"/>
  <c r="H19" i="8"/>
  <c r="H18" i="8"/>
  <c r="H17" i="8"/>
  <c r="D73" i="5"/>
  <c r="H16" i="8"/>
  <c r="H15" i="8"/>
  <c r="H14" i="8"/>
  <c r="H13" i="8"/>
  <c r="H12" i="8"/>
  <c r="H11" i="8"/>
  <c r="H10" i="8"/>
  <c r="H9" i="8"/>
  <c r="H8" i="8"/>
  <c r="H7" i="8"/>
  <c r="H6" i="8"/>
  <c r="H5" i="8"/>
  <c r="R4" i="8"/>
  <c r="M4" i="8"/>
  <c r="H4" i="8"/>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D38" i="5"/>
  <c r="H16" i="7"/>
  <c r="H15" i="7"/>
  <c r="H14" i="7"/>
  <c r="H13" i="7"/>
  <c r="H12" i="7"/>
  <c r="H11" i="7"/>
  <c r="H10" i="7"/>
  <c r="H9" i="7"/>
  <c r="H8" i="7"/>
  <c r="H7" i="7"/>
  <c r="H6" i="7"/>
  <c r="H5" i="7"/>
  <c r="R4" i="7"/>
  <c r="M4" i="7"/>
  <c r="H4" i="7"/>
  <c r="C58" i="5" l="1"/>
  <c r="C51" i="5"/>
  <c r="C60" i="5"/>
  <c r="G60" i="5" s="1"/>
  <c r="C73" i="5"/>
  <c r="F40" i="5"/>
  <c r="F38" i="5"/>
  <c r="C38" i="5"/>
  <c r="D58" i="5"/>
  <c r="F58" i="5"/>
  <c r="C39" i="5"/>
  <c r="C41" i="5"/>
  <c r="D41" i="5"/>
  <c r="F41" i="5"/>
  <c r="E42" i="5"/>
  <c r="E44" i="5"/>
  <c r="M44" i="5" s="1"/>
  <c r="C48" i="5"/>
  <c r="D48" i="5"/>
  <c r="F48" i="5"/>
  <c r="C54" i="5"/>
  <c r="D54" i="5"/>
  <c r="F54" i="5"/>
  <c r="E58" i="5"/>
  <c r="C59" i="5"/>
  <c r="D59" i="5"/>
  <c r="F59" i="5"/>
  <c r="E38" i="5"/>
  <c r="D39" i="5"/>
  <c r="F39" i="5"/>
  <c r="E40" i="5"/>
  <c r="C77" i="5"/>
  <c r="D77" i="5"/>
  <c r="E78" i="5"/>
  <c r="F82" i="5"/>
  <c r="C84" i="5"/>
  <c r="D84" i="5"/>
  <c r="E85" i="5"/>
  <c r="F86" i="5"/>
  <c r="C88" i="5"/>
  <c r="D88" i="5"/>
  <c r="C74" i="5"/>
  <c r="F76" i="5"/>
  <c r="F43" i="5"/>
  <c r="C78" i="5"/>
  <c r="D78" i="5"/>
  <c r="E49" i="5"/>
  <c r="F83" i="5"/>
  <c r="D85" i="5"/>
  <c r="C52" i="5"/>
  <c r="D52" i="5"/>
  <c r="E53" i="5"/>
  <c r="C72" i="5"/>
  <c r="D72" i="5"/>
  <c r="E73" i="5"/>
  <c r="F74" i="5"/>
  <c r="C76" i="5"/>
  <c r="D76" i="5"/>
  <c r="C43" i="5"/>
  <c r="D43" i="5"/>
  <c r="E77" i="5"/>
  <c r="C83" i="5"/>
  <c r="D83" i="5"/>
  <c r="C50" i="5"/>
  <c r="D50" i="5"/>
  <c r="E51" i="5"/>
  <c r="F85" i="5"/>
  <c r="F52" i="5"/>
  <c r="C87" i="5"/>
  <c r="D87" i="5"/>
  <c r="E88" i="5"/>
  <c r="C61" i="5"/>
  <c r="D61" i="5"/>
  <c r="F72" i="5"/>
  <c r="D74" i="5"/>
  <c r="E75" i="5"/>
  <c r="E82" i="5"/>
  <c r="F50" i="5"/>
  <c r="C85" i="5"/>
  <c r="E86" i="5"/>
  <c r="F87" i="5"/>
  <c r="F61" i="5"/>
  <c r="E72" i="5"/>
  <c r="F73" i="5"/>
  <c r="C75" i="5"/>
  <c r="D75" i="5"/>
  <c r="D42" i="5"/>
  <c r="E76" i="5"/>
  <c r="E43" i="5"/>
  <c r="F77" i="5"/>
  <c r="C82" i="5"/>
  <c r="D82" i="5"/>
  <c r="C49" i="5"/>
  <c r="D49" i="5"/>
  <c r="E83" i="5"/>
  <c r="E50" i="5"/>
  <c r="F84" i="5"/>
  <c r="F51" i="5"/>
  <c r="C86" i="5"/>
  <c r="D86" i="5"/>
  <c r="C53" i="5"/>
  <c r="D53" i="5"/>
  <c r="E87" i="5"/>
  <c r="F88" i="5"/>
  <c r="E61" i="5"/>
  <c r="G188" i="5"/>
  <c r="M199" i="5"/>
  <c r="H56" i="6"/>
  <c r="H55" i="6"/>
  <c r="H54" i="6"/>
  <c r="H53" i="6"/>
  <c r="H52" i="6"/>
  <c r="H51" i="6"/>
  <c r="H50" i="6"/>
  <c r="H49" i="6"/>
  <c r="H48" i="6"/>
  <c r="H47" i="6"/>
  <c r="H46" i="6"/>
  <c r="H45" i="6"/>
  <c r="H44" i="6"/>
  <c r="H43" i="6"/>
  <c r="H42" i="6"/>
  <c r="E37" i="5"/>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R4" i="6"/>
  <c r="M4" i="6"/>
  <c r="H4" i="6"/>
  <c r="M60" i="5" l="1"/>
  <c r="G61" i="5"/>
  <c r="M61" i="5"/>
  <c r="M88" i="5"/>
  <c r="G88" i="5"/>
  <c r="M43" i="5"/>
  <c r="M42" i="5"/>
  <c r="C37" i="5"/>
  <c r="M77" i="5"/>
  <c r="G77" i="5"/>
  <c r="M54" i="5"/>
  <c r="G54" i="5"/>
  <c r="F37" i="5"/>
  <c r="M53" i="5"/>
  <c r="G53" i="5"/>
  <c r="M87" i="5"/>
  <c r="G87" i="5"/>
  <c r="G76" i="5"/>
  <c r="M76" i="5"/>
  <c r="M78" i="5"/>
  <c r="G78" i="5"/>
  <c r="G42" i="5"/>
  <c r="G43" i="5"/>
  <c r="G44" i="5"/>
  <c r="C71" i="5"/>
  <c r="E71" i="5"/>
  <c r="D71" i="5"/>
  <c r="M146" i="5"/>
  <c r="G146" i="5"/>
  <c r="M108" i="5"/>
  <c r="G108" i="5"/>
  <c r="M161" i="5"/>
  <c r="G161" i="5"/>
  <c r="G160" i="5"/>
  <c r="M110" i="5"/>
  <c r="G110" i="5"/>
  <c r="G168" i="5"/>
  <c r="M97" i="5"/>
  <c r="G97" i="5"/>
  <c r="M198" i="5"/>
  <c r="M204" i="5" s="1"/>
  <c r="G198" i="5"/>
  <c r="M107" i="5"/>
  <c r="G107" i="5"/>
  <c r="M140" i="5"/>
  <c r="G140" i="5"/>
  <c r="M162" i="5"/>
  <c r="G199" i="5"/>
  <c r="M226" i="5"/>
  <c r="M139" i="5"/>
  <c r="G139" i="5"/>
  <c r="M168" i="5"/>
  <c r="M213" i="5"/>
  <c r="G213" i="5"/>
  <c r="M223" i="5"/>
  <c r="G223" i="5"/>
  <c r="M158" i="5"/>
  <c r="M141" i="5"/>
  <c r="G141" i="5"/>
  <c r="M159" i="5"/>
  <c r="G159" i="5"/>
  <c r="M128" i="5"/>
  <c r="G128" i="5"/>
  <c r="M177" i="5"/>
  <c r="G177" i="5"/>
  <c r="M138" i="5"/>
  <c r="G138" i="5"/>
  <c r="M225" i="5"/>
  <c r="G225" i="5"/>
  <c r="G191" i="5"/>
  <c r="M100" i="5"/>
  <c r="G100" i="5"/>
  <c r="M178" i="5"/>
  <c r="G178" i="5"/>
  <c r="G224" i="5"/>
  <c r="M190" i="5"/>
  <c r="G190" i="5"/>
  <c r="M137" i="5"/>
  <c r="G137" i="5"/>
  <c r="M214" i="5"/>
  <c r="G214" i="5"/>
  <c r="M191" i="5"/>
  <c r="M98" i="5"/>
  <c r="G98" i="5"/>
  <c r="G226" i="5"/>
  <c r="M109" i="5"/>
  <c r="G109" i="5"/>
  <c r="M215" i="5"/>
  <c r="G215" i="5"/>
  <c r="M147" i="5"/>
  <c r="G147" i="5"/>
  <c r="M188" i="5"/>
  <c r="M130" i="5"/>
  <c r="G130" i="5"/>
  <c r="M172" i="5"/>
  <c r="G172" i="5"/>
  <c r="M192" i="5"/>
  <c r="G192" i="5"/>
  <c r="M224" i="5"/>
  <c r="M106" i="5"/>
  <c r="G106" i="5"/>
  <c r="M212" i="5"/>
  <c r="G212" i="5"/>
  <c r="M115" i="5"/>
  <c r="G115" i="5"/>
  <c r="M169" i="5"/>
  <c r="G169" i="5"/>
  <c r="G189" i="5"/>
  <c r="M171" i="5"/>
  <c r="G171" i="5"/>
  <c r="G162" i="5"/>
  <c r="M131" i="5"/>
  <c r="G131" i="5"/>
  <c r="M160" i="5"/>
  <c r="M116" i="5"/>
  <c r="G116" i="5"/>
  <c r="M170" i="5"/>
  <c r="G170" i="5"/>
  <c r="G222" i="5"/>
  <c r="M222" i="5"/>
  <c r="M99" i="5"/>
  <c r="G99" i="5"/>
  <c r="M129" i="5"/>
  <c r="G129" i="5"/>
  <c r="G204" i="5" l="1"/>
  <c r="M37" i="5"/>
  <c r="G144" i="5"/>
  <c r="G195" i="5"/>
  <c r="G229" i="5"/>
  <c r="M229" i="5"/>
  <c r="M195" i="5"/>
  <c r="G183" i="5"/>
  <c r="M144" i="5"/>
  <c r="G158" i="5"/>
  <c r="M175" i="5"/>
  <c r="G152" i="5"/>
  <c r="G121" i="5"/>
  <c r="G113" i="5"/>
  <c r="M211" i="5"/>
  <c r="G211" i="5"/>
  <c r="M152" i="5"/>
  <c r="G175" i="5"/>
  <c r="M127" i="5"/>
  <c r="G127" i="5"/>
  <c r="M121" i="5"/>
  <c r="M113" i="5"/>
  <c r="M183" i="5"/>
  <c r="M96" i="5"/>
  <c r="G96" i="5"/>
  <c r="M7" i="5"/>
  <c r="M39" i="5"/>
  <c r="G74" i="5"/>
  <c r="G16" i="5"/>
  <c r="G49" i="5"/>
  <c r="G84" i="5"/>
  <c r="M58" i="5"/>
  <c r="M75" i="5"/>
  <c r="G20" i="5"/>
  <c r="H22" i="1"/>
  <c r="M48" i="5" l="1"/>
  <c r="M20" i="5"/>
  <c r="G48" i="5"/>
  <c r="G25" i="5"/>
  <c r="M9" i="5"/>
  <c r="G10" i="5"/>
  <c r="M84" i="5"/>
  <c r="G86" i="5"/>
  <c r="G18" i="5"/>
  <c r="M17" i="5"/>
  <c r="G73" i="5"/>
  <c r="M40" i="5"/>
  <c r="M50" i="5"/>
  <c r="G9" i="5"/>
  <c r="M38" i="5"/>
  <c r="G40" i="5"/>
  <c r="M73" i="5"/>
  <c r="G39" i="5"/>
  <c r="G58" i="5"/>
  <c r="M16" i="5"/>
  <c r="M86" i="5"/>
  <c r="M52" i="5"/>
  <c r="M19" i="5"/>
  <c r="G27" i="5"/>
  <c r="M85" i="5"/>
  <c r="M18" i="5"/>
  <c r="G59" i="5"/>
  <c r="M27" i="5"/>
  <c r="M51" i="5"/>
  <c r="G19" i="5"/>
  <c r="G85" i="5"/>
  <c r="G50" i="5"/>
  <c r="G17" i="5"/>
  <c r="M49" i="5"/>
  <c r="G83" i="5"/>
  <c r="M82" i="5"/>
  <c r="G41" i="5"/>
  <c r="M10" i="5"/>
  <c r="M41" i="5"/>
  <c r="M8" i="5"/>
  <c r="G7" i="5"/>
  <c r="G72" i="5"/>
  <c r="M6" i="5"/>
  <c r="G6" i="5"/>
  <c r="M72" i="5"/>
  <c r="G52" i="5"/>
  <c r="M25" i="5"/>
  <c r="G75" i="5"/>
  <c r="G51" i="5"/>
  <c r="G38" i="5"/>
  <c r="G8" i="5"/>
  <c r="M74" i="5"/>
  <c r="M83" i="5"/>
  <c r="M59" i="5"/>
  <c r="M64" i="5" s="1"/>
  <c r="G82" i="5"/>
  <c r="H16" i="1"/>
  <c r="H17" i="1"/>
  <c r="H18" i="1"/>
  <c r="H19" i="1"/>
  <c r="H20" i="1"/>
  <c r="H21"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G64" i="5" l="1"/>
  <c r="G89" i="5"/>
  <c r="F36" i="5"/>
  <c r="C36" i="5"/>
  <c r="D70" i="5"/>
  <c r="E36" i="5"/>
  <c r="E70" i="5"/>
  <c r="G55" i="5"/>
  <c r="D36" i="5"/>
  <c r="F70" i="5"/>
  <c r="M89" i="5"/>
  <c r="M55" i="5"/>
  <c r="G31" i="5"/>
  <c r="G23" i="5"/>
  <c r="M23" i="5"/>
  <c r="M31" i="5"/>
  <c r="G37" i="5" l="1"/>
  <c r="G71" i="5"/>
  <c r="M71" i="5"/>
  <c r="G210" i="5"/>
  <c r="G219" i="5" s="1"/>
  <c r="G95" i="5"/>
  <c r="G104" i="5" s="1"/>
  <c r="M95" i="5"/>
  <c r="M104" i="5" s="1"/>
  <c r="M126" i="5"/>
  <c r="M135" i="5" s="1"/>
  <c r="G126" i="5"/>
  <c r="G135" i="5" s="1"/>
  <c r="M157" i="5"/>
  <c r="M166" i="5" s="1"/>
  <c r="G157" i="5"/>
  <c r="G166" i="5" s="1"/>
  <c r="M210" i="5"/>
  <c r="M219" i="5" s="1"/>
  <c r="M70" i="5"/>
  <c r="G70" i="5"/>
  <c r="G79" i="5" l="1"/>
  <c r="M79" i="5"/>
  <c r="M45" i="5"/>
  <c r="G36" i="5"/>
  <c r="G45" i="5" s="1"/>
  <c r="G14" i="5"/>
  <c r="M5" i="5"/>
  <c r="M14"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thiago.caldeira</author>
  </authors>
  <commentList>
    <comment ref="N4" authorId="0" shapeId="0" xr:uid="{00000000-0006-0000-0000-000001000000}">
      <text>
        <r>
          <rPr>
            <b/>
            <sz val="9"/>
            <color indexed="81"/>
            <rFont val="Tahoma"/>
            <family val="2"/>
          </rPr>
          <t>thiago.caldeira:</t>
        </r>
        <r>
          <rPr>
            <sz val="9"/>
            <color indexed="81"/>
            <rFont val="Tahoma"/>
            <family val="2"/>
          </rPr>
          <t xml:space="preserve">
Edital CPE nº 3/2017 (já com ajustes)</t>
        </r>
      </text>
    </comment>
    <comment ref="N35" authorId="0" shapeId="0" xr:uid="{00000000-0006-0000-0000-000002000000}">
      <text>
        <r>
          <rPr>
            <b/>
            <sz val="9"/>
            <color indexed="81"/>
            <rFont val="Tahoma"/>
            <family val="2"/>
          </rPr>
          <t>thiago.caldeira:</t>
        </r>
        <r>
          <rPr>
            <sz val="9"/>
            <color indexed="81"/>
            <rFont val="Tahoma"/>
            <family val="2"/>
          </rPr>
          <t xml:space="preserve">
Edital CPE nº 3/2017 (já com ajustes)</t>
        </r>
      </text>
    </comment>
    <comment ref="N69" authorId="0" shapeId="0" xr:uid="{00000000-0006-0000-0000-000003000000}">
      <text>
        <r>
          <rPr>
            <b/>
            <sz val="9"/>
            <color indexed="81"/>
            <rFont val="Tahoma"/>
            <family val="2"/>
          </rPr>
          <t>thiago.caldeira:</t>
        </r>
        <r>
          <rPr>
            <sz val="9"/>
            <color indexed="81"/>
            <rFont val="Tahoma"/>
            <family val="2"/>
          </rPr>
          <t xml:space="preserve">
Edital CPE nº 3/2017 (já com ajustes)</t>
        </r>
      </text>
    </comment>
    <comment ref="N94" authorId="0" shapeId="0" xr:uid="{00000000-0006-0000-0000-000004000000}">
      <text>
        <r>
          <rPr>
            <b/>
            <sz val="9"/>
            <color indexed="81"/>
            <rFont val="Tahoma"/>
            <family val="2"/>
          </rPr>
          <t>thiago.caldeira:</t>
        </r>
        <r>
          <rPr>
            <sz val="9"/>
            <color indexed="81"/>
            <rFont val="Tahoma"/>
            <family val="2"/>
          </rPr>
          <t xml:space="preserve">
Edital CPE nº 3/2017 (já com ajustes)</t>
        </r>
      </text>
    </comment>
    <comment ref="N125" authorId="0" shapeId="0" xr:uid="{00000000-0006-0000-0000-000005000000}">
      <text>
        <r>
          <rPr>
            <b/>
            <sz val="9"/>
            <color indexed="81"/>
            <rFont val="Tahoma"/>
            <family val="2"/>
          </rPr>
          <t>thiago.caldeira:</t>
        </r>
        <r>
          <rPr>
            <sz val="9"/>
            <color indexed="81"/>
            <rFont val="Tahoma"/>
            <family val="2"/>
          </rPr>
          <t xml:space="preserve">
Edital CPE nº 3/2017 (já com ajustes)</t>
        </r>
      </text>
    </comment>
    <comment ref="N156" authorId="0" shapeId="0" xr:uid="{00000000-0006-0000-0000-000006000000}">
      <text>
        <r>
          <rPr>
            <b/>
            <sz val="9"/>
            <color indexed="81"/>
            <rFont val="Tahoma"/>
            <family val="2"/>
          </rPr>
          <t>thiago.caldeira:</t>
        </r>
        <r>
          <rPr>
            <sz val="9"/>
            <color indexed="81"/>
            <rFont val="Tahoma"/>
            <family val="2"/>
          </rPr>
          <t xml:space="preserve">
Edital CPE nº 3/2017 (já com ajustes)</t>
        </r>
      </text>
    </comment>
    <comment ref="N187" authorId="0" shapeId="0" xr:uid="{00000000-0006-0000-0000-000007000000}">
      <text>
        <r>
          <rPr>
            <b/>
            <sz val="9"/>
            <color indexed="81"/>
            <rFont val="Tahoma"/>
            <family val="2"/>
          </rPr>
          <t>thiago.caldeira:</t>
        </r>
        <r>
          <rPr>
            <sz val="9"/>
            <color indexed="81"/>
            <rFont val="Tahoma"/>
            <family val="2"/>
          </rPr>
          <t xml:space="preserve">
Edital CPE nº 3/2017 (já com ajustes)</t>
        </r>
      </text>
    </comment>
    <comment ref="N209" authorId="0" shapeId="0" xr:uid="{00000000-0006-0000-0000-000008000000}">
      <text>
        <r>
          <rPr>
            <b/>
            <sz val="9"/>
            <color indexed="81"/>
            <rFont val="Tahoma"/>
            <family val="2"/>
          </rPr>
          <t>thiago.caldeira:</t>
        </r>
        <r>
          <rPr>
            <sz val="9"/>
            <color indexed="81"/>
            <rFont val="Tahoma"/>
            <family val="2"/>
          </rPr>
          <t xml:space="preserve">
Edital CPE nº 3/2017 (já com ajustes)</t>
        </r>
      </text>
    </comment>
  </commentList>
</comments>
</file>

<file path=xl/sharedStrings.xml><?xml version="1.0" encoding="utf-8"?>
<sst xmlns="http://schemas.openxmlformats.org/spreadsheetml/2006/main" count="8156" uniqueCount="1635">
  <si>
    <t>Estudo</t>
  </si>
  <si>
    <t>Tópico</t>
  </si>
  <si>
    <t>Descrição</t>
  </si>
  <si>
    <t>Estudo de Mercado</t>
  </si>
  <si>
    <t>Avaliação da demanda</t>
  </si>
  <si>
    <t>Avaliação de receitas</t>
  </si>
  <si>
    <t>Estudo de Engenharia e afins</t>
  </si>
  <si>
    <t>Inventário das condições existentes</t>
  </si>
  <si>
    <t>Desenvolvimento do sítio aeroportuário</t>
  </si>
  <si>
    <t>Estimativas de CAPEX e OPEX</t>
  </si>
  <si>
    <t>Estudos Ambientais</t>
  </si>
  <si>
    <t>Relatório de estudos ambientais</t>
  </si>
  <si>
    <t>Os estudos ambientais apresentam as diretrizes e previsão de cronograma para o licenciamento ambiental do empreendimento pela futura concessionária, quando aplicável.</t>
  </si>
  <si>
    <t>Os estudos ambientais apresentam indicadores para avaliar o desempenho da gestão ambiental dos operadores aeroportuários.</t>
  </si>
  <si>
    <t>Avaliação Econômico-Financeira</t>
  </si>
  <si>
    <t>O relatório de avaliação econômico-financeira contém a modelagem econômico-financeira pelo método de fluxo de caixa descontado, com objetivo de avaliar a atratividade do projeto para o setor privado, focando na possibilidade de sua autossustentabilidade.</t>
  </si>
  <si>
    <t>ITENS PARA AVALIAÇÃO</t>
  </si>
  <si>
    <t>Atende minimamente? (Sim = 1 / Não = 0)</t>
  </si>
  <si>
    <t>Nota qualitativa (0% a 100%)</t>
  </si>
  <si>
    <t>Comentários</t>
  </si>
  <si>
    <t>NOTAS FINAIS PARA SELEÇÃO DOS ESTUDOS</t>
  </si>
  <si>
    <t>Nota do item</t>
  </si>
  <si>
    <t>Demanda</t>
  </si>
  <si>
    <t>Ambiental</t>
  </si>
  <si>
    <t>Engenharia</t>
  </si>
  <si>
    <t>Financeiro</t>
  </si>
  <si>
    <t>Nota</t>
  </si>
  <si>
    <t>VALOR DE RESSARCIMENTO</t>
  </si>
  <si>
    <t>Valor do ressarcimento</t>
  </si>
  <si>
    <t>Valor Solicitado</t>
  </si>
  <si>
    <t xml:space="preserve"> </t>
  </si>
  <si>
    <t>Análise de benchmarking</t>
  </si>
  <si>
    <t>É apresentada a inserção do aeroporto na malha de transporte local, evidenciando a sua interface com outros modais existentes e a integração desses modais aos serviços do aeroporto</t>
  </si>
  <si>
    <t>Avaliação da demanda considera a delimitação das regiões de influência, levando em conta dados demográficos e socioeconômicos e análise de variáveis regionais.</t>
  </si>
  <si>
    <t>Projeção de demanda, considera, separadamente, cada segmento (passageiros, aeronaves e cargas) e perfil (regular, não-regular, doméstica, internacional, conexão etc.), ao longo de um período sugerido de projeção de 30 (trinta) anos.</t>
  </si>
  <si>
    <t>Projeção de demanda é compatível com eventuais restrições operacionais apontadas nos estudos ambientais e de engenharia e afins.</t>
  </si>
  <si>
    <t>Na avaliação da demanda consta análise da competição intramodal (entre aeroportos) e intermodal (demais modos de transporte).</t>
  </si>
  <si>
    <t>Estudo contempla adequadamente previsão de receitas tarifárias, indicando as premissas de modelagem, a metodologia empregada e os aspectos técnicos pertinentes</t>
  </si>
  <si>
    <t>Estudo contempla adequadamente previsão de receitas não tarifárias, indicando as premissas de modelagem, a metodologia empregada e os aspectos técnicos pertinentes</t>
  </si>
  <si>
    <t>Estudo fornece dados e realiza análise de aeroportos com características similares ao aeroporto estudado, considerando, em particular, o gerenciamento da capacidade e a necessidade de investimentos, tipos de serviços, custos eficientes e lucratividade.</t>
  </si>
  <si>
    <t>Estudo fornece dados e realiza análise da demanda anual, das variações sazonais e dos períodos de pico para diferentes tipos de tráfego</t>
  </si>
  <si>
    <t>Avaliação das instalações existentes do aeroporto, com descrição e detalhamento dos bens que constituirão a concessão, contemplando avaliação dos sistemas existentes da infraestrutura aeroportuária (terminal de passageiros e de cargas, acesso viário, sistema de pistas e pátios, etc.) com imagens, desenhos esquemáticos, croquis ou demais elementos aplicáveis.</t>
  </si>
  <si>
    <t>Apresentação de limitações físicas/operacionais existentes e/ou não conformidades no aeroporto, bem como de compromissos de investimentos e/ou regularização de pendências firmados pelo operador aeroportuário atual com órgãos federais, estaduais ou municipais</t>
  </si>
  <si>
    <t>Avaliação da capacidade instalada quanto ao(s) terminal(is) de passageiro(s) e suas estruturas associadas (vias de acesso e estacionamento de veículos)</t>
  </si>
  <si>
    <t xml:space="preserve">Avaliação da capacidade instalada quanto ao sistema de pistas. </t>
  </si>
  <si>
    <t>Avaliação da capacidade instalada quanto aos pátios de aeronaves</t>
  </si>
  <si>
    <t>Avaliação da capacidade instalada quanto ao  processamento de carga aérea (terminais de carga) e quanto à aviação geral</t>
  </si>
  <si>
    <t>Avaliação da capacidade instalada quanto à infraestrutura disponível para áreas administrativas e manutenção, quanto à infraestrutura de apoio às operações e às companhias aéreas, quanto à infraestrutura básica (utilidades) e quanto à infraestrutura aeronáutica (quando aplicável).</t>
  </si>
  <si>
    <t>O estudo analisa alternativas possíveis para o desenvolvimento do aeroporto, abrangendo o Plano Diretor do aeroporto elaborado pelo operador aeroportuário atual, bem como os estudos e projetos existentes, apresentando-se a solução considerada mais adequada para o desenvolvimento do aeroporto, sob aspectos de eficiência e maximização do retorno esperado do projeto, em fases de implantação, contemplando uma concepção modular e balanceada.</t>
  </si>
  <si>
    <t>É apresentada análise de possíveis restrições de tráfego aéreo e interferências entre as operações do aeroporto e de aeroportos próximos, para cada fase/etapa de planejamento, de acordo com a solução adotada e com as informações do DECEA.</t>
  </si>
  <si>
    <t>As fases de implantação propostas para o desenvolvimento do aeroporto estão relacionadas a gatilhos de demanda, determinando a necessidade de expansão da infraestrutura de acordo com a movimentação prevista</t>
  </si>
  <si>
    <t>É apresentado anteprojeto de engenharia, demonstrando claramente a implantação de acordo com as fases/etapas propostas, consistentes com as projeções de demanda, especificando a expansão prevista para cada fase/etapa, atendendo aos parâmetros e especificações técnicas mínimas e evidenciando o atendimento às normatizações da ANAC e, subsidiariamente, normas ABNT relativas a ruídos, ergonomia e conforto, quando existentes, bem como as demais normas técnicas aplicáveis às soluções de engenharia propostas.</t>
  </si>
  <si>
    <t>O anteprojeto contém elementos que permitam a plena caracterização das obras previstas em cada fase/etapa de implantação, como desenhos esquemáticos, croquis ou imagens, quando necessários para o perfeito entendimento dos principais componentes da obra, ou ainda outras investigações e ensaios, quando couber.</t>
  </si>
  <si>
    <t>Para fins de dimensionamento do terminal de passageiros, foram considerados os parâmetros vigentes relativos ao nível de serviço ótimo da Associação do Transporte Aéreo Internacional (IATA), apresentando anteprojeto do terminal de passageiros para cada fase/etapa de implantação da solução escolhida como mais adequada para o desenvolvimento do aeroporto, bem como são apresentados os cálculos e planilhas utilizados na elaboração do anteprojeto que evidenciam a utlilização dos parâmetros da IATA.</t>
  </si>
  <si>
    <t>Se verificada a necessidade de execução de obras de expansão de grande vulto, o estudo de engenharia apresenta investigações e ensaios geotécnicos realizados, de modo a disponibilizar informações específicas para a intervenção proposta, bem como embasar tecnicamente a solução de engenhearia escolhida.</t>
  </si>
  <si>
    <t>Se verificada a existência de obras inacabadas ou em execução no sítio aeroportuário, o estudo avalia as condições das obras (bem como as condições dos equipamentos e bens integrantes dessas obras) e quanto do executado ou em execução é possível de ser aproveitado na expansão prevista para o desenvolvimento do aeroporto.</t>
  </si>
  <si>
    <t>O estudo de engenharia indica, ainda que de forma preliminar, o cronograma de execução das obras previstas em casa fase de expansão do aeroporto, embasando tecnicamente os prazos apresentados.</t>
  </si>
  <si>
    <t>É apresentada a determinação dos qualitativos dos investimentos, referenciada em projetos-padrão compatíveis com os demais elementos do anteprojeto utilizado, em quantidades agregadas principais ou em outras metodologias aplicáveis</t>
  </si>
  <si>
    <t>Nas estimativas de CAPEX, os preços unitários estão baseados em sistemas oficiais de preço, em preços de mercado ou em valores referenciais admitidos pela Administração Pública, principalmente pelos órgãos de fiscalização e controle.</t>
  </si>
  <si>
    <t>Nas estimativas de CAPEX, as estimativas de custo global dos investimentos têm como base as quantidades, preços e demais elementos do anteprojeto apresentado, possuindo a precisão e confiabilidade compatíveis com o nível de detalhamento do elemento técnico sob análise, apresentando-se o valor de CAPEX previsto para cada fase/etapa de implantação proposta, de acordo com o anteprojeto.</t>
  </si>
  <si>
    <t>Se verificada a necessidade de utilização de áreas externas aos limites do sítio aeroportuário para viabilizar a ampliação da infraestrutura aeroportuária ou de limitações administrativas adicionais em áreas próximas ao aeroporto (art. 43 da Lei n. 7565, de 1986), o estudo apresenta os custos de desapropriação ou indenização referentes a cada caso.</t>
  </si>
  <si>
    <r>
      <t xml:space="preserve">Os custos operacionais estão baseados em referências de custos eficientes, inclusive com </t>
    </r>
    <r>
      <rPr>
        <i/>
        <sz val="12"/>
        <rFont val="Times New Roman"/>
        <family val="1"/>
      </rPr>
      <t>benchmarking</t>
    </r>
    <r>
      <rPr>
        <sz val="12"/>
        <rFont val="Times New Roman"/>
        <family val="1"/>
      </rPr>
      <t xml:space="preserve"> de outros aeroportos semelhantes, nacionais e internacionais.</t>
    </r>
  </si>
  <si>
    <t xml:space="preserve">Os custos operacionais do aeroporto contêm além dos custos de manutenção e de capital, custos de pessoal, material de consumo, serviços públicos e serviços contratados ou terceirizados, compatíveis com as soluções adotadas para o desenvolvimento do sítio aeroportuário e refletindo uma estrutura organizacional hipotética do operador. Os custos refletem possíveis ganhos de escala da gestão conjunta de aeroportos, quando aplicável. </t>
  </si>
  <si>
    <r>
      <t xml:space="preserve">Foi feita análise dos contratos vigentes entre o operador aeroportuário atual e outros agentes relacionados ao aeroporto e avaliação dos impactos jurídicos (elaboração de </t>
    </r>
    <r>
      <rPr>
        <i/>
        <sz val="12"/>
        <rFont val="Times New Roman"/>
        <family val="1"/>
      </rPr>
      <t xml:space="preserve">due dilligence </t>
    </r>
    <r>
      <rPr>
        <sz val="12"/>
        <rFont val="Times New Roman"/>
        <family val="1"/>
      </rPr>
      <t>)</t>
    </r>
  </si>
  <si>
    <t>Na avaliação da demanda consta análise de como o aeroporto vai se inserir na malha aérea doméstica e internacional brasileira após a concessão (previsão de modelo de negócio para o aeroporto).</t>
  </si>
  <si>
    <t>Os estudos ambientais contemplam uma adequada avaliação do histórico do aeroporto, análise da regularidade ambiental e conformidade perante órgãos fiscalizadores, bem como outras autorizações, outorgas e licenças.</t>
  </si>
  <si>
    <t>Os estudos ambientais apresentam os principais riscos, restrições e impactos socioambientais do plano de desenvolvimento do sítio proposto no estudo de engenharia e estratégias/medidas de mitigação específicas para cada risco identificado.</t>
  </si>
  <si>
    <t>Os estudos ambientais identificam, analisam e precificam os passivos existentes</t>
  </si>
  <si>
    <t>Os estudos ambientais avaliam a adequação dos projetos de desenvolvimento do sítio aeroportuário quanto as melhores práticas aplicáveis ao meio ambiente e seu impacto ambiental</t>
  </si>
  <si>
    <t>Há descrição dos sistemas/Planos de Gestão ambientais propostos</t>
  </si>
  <si>
    <t>Os estudos ambientais realizam adequada análise do uso e ocupação do solo, curvas de ruídos, cobertura vegetal e fauna no sítio aeroportuário e redondezas do sítio aeroportuário.</t>
  </si>
  <si>
    <t>Relatório de estudo ambientais</t>
  </si>
  <si>
    <t>Os estudos ambientais definem custo atinente ao licenciamento ambiental, incluindo passivos existentes e implantação de medidas mitigadoras soluções e stratégias para a viabilização do projeto do ponto de vista socioambiental</t>
  </si>
  <si>
    <r>
      <t xml:space="preserve">O relatório de avaliação econômico-financeira considera os resultados dos estudos de demanda, das estimativas de receitas, incluindo as acessórias, dos custos de operação, manutenção e expansão, custos ambientais,dos  investimentos, dos  impactos financeiros decorrentes, das premissas estabelecidas e da análise de risco e jurídica, </t>
    </r>
    <r>
      <rPr>
        <i/>
        <sz val="12"/>
        <rFont val="Times New Roman"/>
        <family val="1"/>
      </rPr>
      <t xml:space="preserve">due dilligence </t>
    </r>
    <r>
      <rPr>
        <sz val="12"/>
        <rFont val="Times New Roman"/>
        <family val="1"/>
      </rPr>
      <t>e outros.</t>
    </r>
  </si>
  <si>
    <t>A modelagem econômico - financeira apresenta e utiliza premissas macroeconômicas, tributárias, de amortização e depreciação, de financiamento e de estruturação do projeto coerentes com o desenvolvimento proposto, bem como de eventuais benefícios fiscais afetos ao empreendimento.</t>
  </si>
  <si>
    <t>A modelagem econômica-financeira apresenta projeção pelo período mínimo de 30(trinta) anos, com seus efeitos incorporados na planilha de avaliação econômico - financeira, para fins de determinação da viabilidade do empreendimento, com base em valores corretos.</t>
  </si>
  <si>
    <t>A modelagem econômico-financeira contempla elementos usualmente adotados no mercado para análise da viabilidade do projeto,  como o cálculo TIR, TIRM, VPL, payback, payback descontado, taxa de retorno do acionaista, entre outros</t>
  </si>
  <si>
    <t>A modelagem econômico - financeira contempla avaliação dos possíveis ganhos de escala e tributários advindos da operação conjunta dos aeroportos do bloco na modelagem econômico financeira.</t>
  </si>
  <si>
    <t>Planilha de Avaliação Econômico - Financeira Consolidada (e eventuais planilhas auxiliares) permite cálculo da outorga necessária a que o Valor Presente Líquido do projeto se torne zero</t>
  </si>
  <si>
    <t>BLOCO SUL</t>
  </si>
  <si>
    <t>BLOCO NORTE</t>
  </si>
  <si>
    <t>BLOCO CENTRAL</t>
  </si>
  <si>
    <t>Curitiba</t>
  </si>
  <si>
    <t>Foz do Iguaçú</t>
  </si>
  <si>
    <t>Navegantes</t>
  </si>
  <si>
    <t>Londrina</t>
  </si>
  <si>
    <t>Joinville</t>
  </si>
  <si>
    <t>Bacacheri</t>
  </si>
  <si>
    <t>Pelotas</t>
  </si>
  <si>
    <t>Uruguaiana</t>
  </si>
  <si>
    <t>Bagé</t>
  </si>
  <si>
    <t>Manaus</t>
  </si>
  <si>
    <t>Porto Velho</t>
  </si>
  <si>
    <t>Rio Branco</t>
  </si>
  <si>
    <t>Cruzeiro do Sul</t>
  </si>
  <si>
    <t>Tabatinga</t>
  </si>
  <si>
    <t>Tefé</t>
  </si>
  <si>
    <t>Boa Vista</t>
  </si>
  <si>
    <t>Goiânia</t>
  </si>
  <si>
    <t>São Luís</t>
  </si>
  <si>
    <t>Teresina</t>
  </si>
  <si>
    <t>Palmas</t>
  </si>
  <si>
    <t>Petrolina</t>
  </si>
  <si>
    <t>Imperatriz</t>
  </si>
  <si>
    <t>Consórcio - PLANOS - BARUFI - TETRA - ENGIMIND - GEOTEC</t>
  </si>
  <si>
    <t>Participação Relatório - PLANOS - BARUFI - TETRA - ENGIMIND - GEOTEC</t>
  </si>
  <si>
    <t>Consórcio - BACCO - CPEA - INFRAWAY - MOYSÉS &amp; PIRES - PROFICENTER - TERRAFIRMA</t>
  </si>
  <si>
    <t>Consórcio - AEROQUIP - BF CAPITAL - BORELLI E MERIGO - JGP - LOGIT - QUEIROZ MALUF</t>
  </si>
  <si>
    <t>Participação Relatório -  AEROQUIP - BF CAPITAL - BORELLI E MERIGO - JGP - LOGIT - QUEIROZ MALUF</t>
  </si>
  <si>
    <t>Consórcio - HOUER</t>
  </si>
  <si>
    <t>Participação Relatório - HOUER</t>
  </si>
  <si>
    <t>Consórcio - HEBEI - FERNANDES - WALM - WINGSPLAN - COBRAPE ...</t>
  </si>
  <si>
    <t>Participação Relatório -  HEBEI - FERNANDES - WALM - WINGSPLAN - COBRAPE ...</t>
  </si>
  <si>
    <t>Consórcio - VALLYA</t>
  </si>
  <si>
    <t>Participação Relatório - VALLYA</t>
  </si>
  <si>
    <t>Consórcio - AIR LIFT</t>
  </si>
  <si>
    <t>Participação Relatório - AIR LIFT</t>
  </si>
  <si>
    <t>Consórcio - ENGEVIX</t>
  </si>
  <si>
    <t>Participação Relatório - ENGEVIX</t>
  </si>
  <si>
    <r>
      <t xml:space="preserve">AVALIAÇÃO - </t>
    </r>
    <r>
      <rPr>
        <b/>
        <sz val="11"/>
        <color rgb="FFFF0000"/>
        <rFont val="Times New Roman"/>
        <family val="1"/>
      </rPr>
      <t>BACCO - CPEA - INFRAWAY - MOYSÉS &amp; PIRES - PROFICENTER - TERRAFIRMA</t>
    </r>
  </si>
  <si>
    <r>
      <t xml:space="preserve">AVALIAÇÃO - </t>
    </r>
    <r>
      <rPr>
        <b/>
        <sz val="11"/>
        <color rgb="FFFF0000"/>
        <rFont val="Times New Roman"/>
        <family val="1"/>
      </rPr>
      <t>AEROQUIP - BF CAPITAL - BORELLI E MERIGO - JGP - LOGIT - QUEIROZ MALUF</t>
    </r>
  </si>
  <si>
    <r>
      <t>AVALIAÇÃO -</t>
    </r>
    <r>
      <rPr>
        <b/>
        <sz val="11"/>
        <color rgb="FFFF0000"/>
        <rFont val="Times New Roman"/>
        <family val="1"/>
      </rPr>
      <t xml:space="preserve"> PLANOS - BARUFI - TETRA - ENGIMIND - GEOTEC</t>
    </r>
  </si>
  <si>
    <r>
      <t>AVALIAÇÃO -</t>
    </r>
    <r>
      <rPr>
        <b/>
        <sz val="11"/>
        <color rgb="FFFF0000"/>
        <rFont val="Times New Roman"/>
        <family val="1"/>
      </rPr>
      <t xml:space="preserve"> HOUER</t>
    </r>
  </si>
  <si>
    <r>
      <t xml:space="preserve">AVALIAÇÃO - </t>
    </r>
    <r>
      <rPr>
        <b/>
        <sz val="11"/>
        <color rgb="FFFF0000"/>
        <rFont val="Times New Roman"/>
        <family val="1"/>
      </rPr>
      <t xml:space="preserve"> HEBEI - FERNANDES - WALM - WINGSPLAN - COBRAPE ...</t>
    </r>
  </si>
  <si>
    <r>
      <t xml:space="preserve">AVALIAÇÃO -  </t>
    </r>
    <r>
      <rPr>
        <b/>
        <sz val="11"/>
        <color rgb="FFFF0000"/>
        <rFont val="Times New Roman"/>
        <family val="1"/>
      </rPr>
      <t>VALLYA</t>
    </r>
  </si>
  <si>
    <r>
      <t xml:space="preserve">AVALIAÇÃO - </t>
    </r>
    <r>
      <rPr>
        <b/>
        <sz val="11"/>
        <color rgb="FFFF0000"/>
        <rFont val="Times New Roman"/>
        <family val="1"/>
      </rPr>
      <t>AIR LIFT</t>
    </r>
  </si>
  <si>
    <r>
      <t xml:space="preserve">AVALIAÇÃO -  </t>
    </r>
    <r>
      <rPr>
        <b/>
        <sz val="11"/>
        <color rgb="FFFF0000"/>
        <rFont val="Times New Roman"/>
        <family val="1"/>
      </rPr>
      <t>ENGEVIX</t>
    </r>
  </si>
  <si>
    <t>É apresentada a inserção do aeroporto na malha de transportes local, evidenciando a sua interface com outros modais existentes e a integração desses modais aos serviços do aeroporto</t>
  </si>
  <si>
    <t>Avaliação da demanda considera dados disponíveis de movimentação de passageiros, aeronaves e carga relacionados ao aeroporto.</t>
  </si>
  <si>
    <t>Nas projeções de demanda constam os fatores que afetam a projeção por segmento, as premissas de modelagem, a metodologia empregada e os aspectos técnicos pertinentes.</t>
  </si>
  <si>
    <r>
      <t xml:space="preserve">Avaliação da situação patrimonial das áreas que compõem o atual sítio aeroportuário, contemplando a realização de </t>
    </r>
    <r>
      <rPr>
        <i/>
        <sz val="12"/>
        <rFont val="Times New Roman"/>
        <family val="1"/>
      </rPr>
      <t xml:space="preserve">due diligence </t>
    </r>
    <r>
      <rPr>
        <sz val="12"/>
        <rFont val="Times New Roman"/>
        <family val="1"/>
      </rPr>
      <t>imobiliária para levantamento da situação patrimonial do sítio. Apresenta também, por meio de desenhos esquemáticos, imagens ou outros elementos aplicáveis, as cercas operacionais e patrimoniais existentes.</t>
    </r>
  </si>
  <si>
    <t>Estudo apresenta avaliação do zoneamento civil/militar e funcional do aeroporto. Apresenta também avaliação do(s) plano(s) de proteção de obstáculos e do plano de zoneamento de ruído do aeroporto.</t>
  </si>
  <si>
    <t>Valor Autorizado</t>
  </si>
  <si>
    <t>Mercado</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</si>
  <si>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fluxo dos acessos e avalação de suas instalações. Na avaliação do TPS, lista as áreas por componente, incluindo os estacionamentos de veículos. Na avaliação do acesso viário, apresenta o fluxo de acesso ao terminal. Na avaliação do TECA, apresenta as instalações, os acessos, estacionamento, equipamentos e operador atual. Também foram apresentados e avaliados os componentes de infraestrutura aeronáutica verificados no aeroporto. Na avaliação do sistema de aviação geral apresenta a localização e situação verificada in loco para os hangares e acesso viário aos mesmos. Sistema de administração e manutenção bem como sistema de apoio às operações e às companhias aéreas e, finalmente, serviços aeroportuários 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</si>
  <si>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no Anexo 2.10. Realizou due diligence e obteve matrículas atualizadas (pasta do Anexo 2). Apresenta em planta a localização das áreas e a sua regularidade. Apresenta levantamento sobre cercas e acessos trazendo fotos e avaliação de suas condições.</t>
  </si>
  <si>
    <t>Divide em áreas civil/militar, as detalha e relaciona a metragem de cada uma delas. A única área militar é o DTCEA-CT (TWR).
Zoneamento Funcional: Dividiu em várias categorias, relacionou a área de cada uma delas em ha. A área total em ha é diferente da área total em m2 informada no mesmo relatório, o que o grupo justifica como sendo áreas a desapropriar.
Elabora PBZPAe PZPANA, avalia obstáculos e apresenta conclusão.
PZR: foi elaborado novo plano.</t>
  </si>
  <si>
    <t>Apresenta as não conformidades apontadas pela ANAC (PAC CErtOp).
Apresenta quatro outras não conformidades referentes ao 154.203(a) e ao 154.217(e); bem como à Portaria 957/GC3 do DECEA.</t>
  </si>
  <si>
    <t>Os memoriais de cálculo não são claros de modo a permitir a reprodução dos resultados pela CAE. As fórmulas apresentadas não permitem concluir quanto a metodologia adotada para cálculo da capacidade em componentes de uso simultâneo (doméstico/internacional e embarque/desembarque) ou reversível. Não apresenta divisão de equipamentos por classe, nos componentes em que essa divisão é considerada para cálculo da capacidade. A aplicação das equações apresentadas no relatório levam a resultados diferentes dos que são apresentados nas tabelas de capacidade.
Não demonstra a capacidade do componente de circulação (não apresenta a largura efetiva de tais componentes), somente apresentados os parâmetros e a fórmula para o cálculo. 
Não avalia a capacidade da sala de embarque remoto de maneira individualizada, somente apresenta o agregado da capacidade das salas.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</si>
  <si>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Na avaliação da capacidade das pistas de táxi, levou-se em conta a largura das pistas. Identifica limitações relacionadas com a utilização do sistema de pistas.</t>
  </si>
  <si>
    <t>Apresenta avaliação de capacidade estática e dinâmica dos pátios 1 e 2 conjuntamente. Nessa avaliação há incosistência entre as posições de pátio apresentadas e o conteúdo apresentado na avaliação das instalações existentes.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Nesse item, não foi identificado pátio de aeronaves de aviação geral ou demanda em número de posições, mas há a informação de que toda a operação é realizada por meio dos hangares e pátios associados.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</si>
  <si>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Não foi possível identificar o cálculo de demanda. Há inconsistência entre a avaliação apresentada no Relatório e as informações da planilha de dimensionamento. Apresenta metodologia utilizada na análise de capacidade do Sistema de Aviação Geral. O cálculo de capacidade dos Hangares desconsidera a configuração da área no aeroporto.</t>
  </si>
  <si>
    <t>Para o cálculo da capacidade do SESCINC foram consideradas normas desatualizadas.</t>
  </si>
  <si>
    <t>Atendido nos itens 2.1.2 Plano de Desenvolvimento existentes: apresenta o PDIR Infraero, elaborado em 2013; e no item 2.4 Estudo de Alternativas, apresentada 3 alternativas para desenvolvimento do sítio (bem como um possível desemembramento dessas alternativas no tema "terceira pista"), os critérios que definem a escolha da mais adequada e as vantagens da solução proposta. A definição das alternativas leva em conta análises e restrições apresentadas nos itens antecedentes do relatório.</t>
  </si>
  <si>
    <t xml:space="preserve">Evidenciados no item 2.2.7 os efeitos adversos de aerodromo na circulação (aeródromos e helipontos próximos); no espaço aéreo e na capacidade; os efeitos adversos OPEA; além de restrições causadas por alta demanda ou por meteorologia adversa.
Propõe medidas mitigadoras para os efeitos adversos elencados, bem como propõe melhorias no serviço de tráfego aéreo ao longo do período da  concessão na Tabela 2-24.
</t>
  </si>
  <si>
    <t>Evidenciado no item 2.3 Conceção para expansão; especialmente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</si>
  <si>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Há inconsistência na configuração de pátio considerada no item 2.3.3.3 e na planilha de dimensionamento quando comparados com as informações apresentadas na avaliação de capacidade.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As alterações na capacidade de pista são apresentadas apenas como resultado final,  sem detalhamento de como as alterações de infraestrutura impactam na capacidade calculada. No item 2.6 são apresentados o plano de desenvolvimento do sítio aeroportuário e as etapas de implantação. Não apresenta justificativa para a implantação de RESA nas dimensões de 240m x 150m na cabeceira 29. O dimensionamento apresentado na planilha em anexo apresenta inconsistências quando comparado com a metodologia apresentada para a análise da capacidade instalada para os componentes dos sistemas de Terminal de Cargas e Aviação Geral. Para o dimensionamento do estacionamento do Sistema Terminal de Passageiros, as vagas requeridas do Sitema Aviação Geral não são consideradas, apesar de a avaliação de capacidade mencionar que a demanda atual é atendida pelo estacionamento do TPS e da área de TAG ser considerada em conjunto com o TPS. O item 2.7 apresenta detalhes do anteprojeto de engenharia proposto para o aeroporto, segregado em 8 itens (dispostos nos subitens do item 2.7).</t>
  </si>
  <si>
    <t xml:space="preserve">No item 2.5.1 Fases de Planejamento e Cronograma Estimado de Obras são apresentados, para cada componente do sistema, as intervenções propostas, tendo em vista a alternativa sugerida e a análise de capacidade estimada para cada fase. No item 2.6, são detalhadas as intervenções propostas para cada fase de desenvolvimento, por componente de sistema. No caderno de plantas encontram-se os croquis das obras previstas para cada fase, com destaque para as áreas de ampliação. </t>
  </si>
  <si>
    <t>São apresentados laudos de geotecnia e caracterização do solo local no item 2.7.1. e no Anexo 3 ao Relatório.
No Anexo 3 ao Relatório são apresentados relatórios de: IRI, FWD, LVC, Sondagens SPT e Ensaios de caracterização do solo.</t>
  </si>
  <si>
    <t>Apresenta informações sobre obras em andamento e recentemente concluídas na tabela 2-1. Informa que as obras estavam em execução durante a visita, mas não informa a data da visita e nem apresenta avaliação do andamento. Para as obras em execução, apresenta previsão de término. Apresenta obras previstas na tabela 2-2, mas não considera que serão iniciadas antes da concessão.</t>
  </si>
  <si>
    <t xml:space="preserve">O cronograma estimado encontra-se no item 2.5.1.4 Cronograma Estimado e Fases de Operação 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(SBCT_CR-3Fases).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</si>
  <si>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Não foi identificado no relatório de engenharia a justificativa para investimento em balizamento noturno nas TWY E, F, G, H, M e N, presente na planilha de CAPEX (fase I), além de sinalização vertical na TWY E, M e N.
Não foi identificado no relatório de engenharia ainda a justificativa para investimento em sinalização vertical na TWY C, presente na planilha de CAPEX (fase II).
Não foi identificado no relatório de engenharia a justificativa para implantação de RESA na cabeceira 29 com dimensões superiores ao mínimo regulamentar, gerando a necessidade de desapropriação.
</t>
  </si>
  <si>
    <t>Os preços relativos a equipamentos (pontes de embarque, sistema de bagagem, equipamentos eletromecânicos, equipamentos de raio-x) estão dispostos em planilha fornecida por consultoria externa. No entanto não foram apresentadas as fontes dos dados ou material que justificasse a adequabilidade dos preços apresentados.</t>
  </si>
  <si>
    <t>Conforme disposto nos itens 2.6.2.1.12 e 2.6.2.4.7, estão previstas desapropriações de áreas na fase 1 e na fase Pista (4ª fase - para a alternativa de implantação da terceira PPD) do plano de desenvolvimento proposto, conforme descrito no item 2.6.3.1 Situação Patrimonial. Apresenta cotações de áreas semelhantes àquelas que se busca adquirir e calcula valor médio, conforme tabelas 2-96 e tabelas 2-101, 2-106 e 2-112 (fase pista). A descrição do CAPEX (por tipo e por fase) encontra-se nas tabelas 3-5 a 3-8, e o detalhamento dos dispêndios foi localizado na planilha "SBCT_capex_1.00" e na planilha "SBCT_CAPEX_1.00 - Fase Pista" (cenário pista). No entanto, para essa última simulação, nota-se que para duas das três áreas a serem desapropriadas na fase pista, o valor médio do m² na região foi calculado sobre a área total do imóvel (edificada + não edificada) mas na planilha (SBCT_CAPEX_1.00 - FASE PISTA) esse valor médio é multiplicado somente pela área edificada, de modo que as áreas não edificadas não foram valoradas no modelo proposto.</t>
  </si>
  <si>
    <t xml:space="preserve">Atendido nos subitens do item 3.2 Estimativa de Custos de Operação (OPEX). Para cada custo estimado foi apresentada metodologia de cálculo baseada em análises de regressões, desenvolvidas a partir de dados históricos, e de benchmarks comparáveis. No entanto, assume como premissa a hipótese de que os atuais contratos operacionais do aeroporto serão rescindidos previamente ao início da concessão e que o concessionário deverá firmar novos contratos com terceiros para a prestação de serviços, desconsiderando riscos de descontinuidade dos serviços. Os resultados apresentados consideram a evolução da infraestrutura planejada e da movimentação estimada para passageiros, aeronaves e carga, quando aplicável; e consideram ainda ganhos de eficiência associados à concessão de aeroportos. Todavia, considera para todos os aeroportos que esse ganho previsto equivale a mediana da variação verificada no 1º ano da concessão para os aeroportos já concedidos, desconsiderando especificidades como nos casos de aeroportos que se encontram com quadro de pessoal aumentado em decorrência de concessão anterior de aeroporto localizado nas proximidades (Florianópolis e Navegantes, por exemplo). Os resultados encontrados constam ainda em planilha anexa ao relatório econômico-financeiro (modelo financeiro), com planilhas avulsas para a alternativa de construção da terceira pista. O item 3.2.7 apresenta os Ganhos de Escala Potenciais da Gestão Conjunta dos Aeroportos estimados para o estudo e os resultados estão considerados no relatório econômico-financeiro consolidado do bloco sul. </t>
  </si>
  <si>
    <t xml:space="preserve">Due diligence dos contratos operacionais celebrados com a Infraero para o SBCT encontra-se reproduzido no item 3.2.8 Due Diligence dos Contratos Operacionais. Não foi localizada análise dos contratos comerciais celebrados para o aeroporto, somente planilha com a disposição de suas principais características (na pasta do relatório econômico-financeiro). Não foi identificada análise dos contratos no tocante ao que dispõe a Portaria MTPA nº 143, de 6 de abril de 2017 (substituída pela Portaria MInfra nº 577, de 8 de novembro de 2019).  </t>
  </si>
  <si>
    <t>Os documentos utilizados para a avaliação patrimonial do aeroporto são apresentados no Anexo 6. Obteve certidões atualizadas dos imóveis. Apura diferença de área entre os documentos imobiliários e o disposto no PDIR da Infraero. Apresenta de modo geral as áreas em planta mas não faz análise crítica de cada área que compõe o sítio.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Apresenta a localização em planta das cercas patrimoniais e dos acessos ao aeroporto. Na avaliação de cercas e acessos apresenta somente uma ilustração de cerca.</t>
  </si>
  <si>
    <t>Declara não haver área militar. Não relaciona TWR (DTCEA-CT).
Divide zoneamento funcional em diversas áreas e apresenta sua metragem em m2.
Atualiza PBZPA e avalia os obstáculos.
PZPANA: Avaliou os obstáculos dos auxílios. 
PZR: elaborou plano específico.</t>
  </si>
  <si>
    <t xml:space="preserve">Apresenta apenas as não conformidades apontadas pela ANAC.
</t>
  </si>
  <si>
    <t>O cálculo da capacidade de check-in não é apresentado para os fluxos doméstico e internacional, somente para o fluxo simultâneo, de forma que, sem apresentação das considerações realizadas, não é possível reproduzir os resultados do grupo com base na equação apresentada.
O cálculo da capacidade das vias de acesso leva a um número de passageiros por veículo incompatível com o utilizado para determinação da capacidade de meio fio.
Não é demonstrada a origem da demanda por vagas para o estacionamento de veículos.
Não há avaliação da capacidade em termos de equipamentos instalados. Tal avaliação, realizada por outro grupo, agregou informação ao relatório.</t>
  </si>
  <si>
    <t>Explica a metodologia utilizada na análise de capacidade da PPD. Não apresenta referência ou justificativa para algumas das considerações adotadas. Apresenta planilha em anexo com o detalhamento dos cálculos, considerações e resultados. Há inconsistência na geometria considerada.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 Identifica algumas limitações na utilização do sistema de pistas em item específico.</t>
  </si>
  <si>
    <t>Apresenta avaliação de capacidade estática dos pátios 1 e 2 conjuntamente.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Não considera todas as possibilidades de utilização do pátio. Apresenta avaliação de capacidade para pátio de equipamentos de rampa.</t>
  </si>
  <si>
    <t>Apresenta metodologias de cálculo de capacidade do sistema Terminal de Cargas. Apresenta avaliação de capacidade para Terminal e Estacionamento. Apresenta comparações com a demanda em unidade de área. A planilha de dimensionamento apresenta o detalhamento dos cálculos. Há inconsistência na definição de demanda do TECA. Apresenta metodologia utilizada na análise de capacidade do Sistema de Aviação Geral. Na avaliação dos hangares, considera a área total e compara a capacidade com a demanda em vagas.</t>
  </si>
  <si>
    <t xml:space="preserve">Não foi apresentado movimento de aeronaves utilizado para cálculo da demanda por serviços aeroportuários, de forma que não foi possível reproduzir o resultado apresentado pelo Grupo.
Não foi apresentada equação utilizada para cálculo do consumo de água nem do volume de esgoto, de forma que não foi possível reproduzir os resultados apresentados pelo Grupo.
Para o cálculo da capacidade do SESCINC foram consideradas normas desatualizadas.
</t>
  </si>
  <si>
    <t>Atendido no item 2.1.2 Plano de Desenvolvimento existente: apresenta o PDIR da Infraero elaborado em 2013 e o Estudo de Viabilidade Técnica elaborado pelo BB em 2014.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A opção apontada traz o menor impacto financeiro sem o custo de implantação de nova pista.</t>
  </si>
  <si>
    <t>Evidenciados no item 2.4 os efeitos adversos de aerodromo no espaço aéreo e na capacidade; e os efeitos adversos OPEA na capacidade e no serviço de aeródromo nas principais áreas do aerodromo.
Propõe medidas mitigadoras para os efeitos adversos elencados (Tabela 2.94), bem como propõe melhorias no serviço de tráfego aéreo ao longo do período da  concessão na Tabela 2.95.</t>
  </si>
  <si>
    <t>Evidenciado no item 3. Desenvolvimento do Sítio Aeroportuário; especialmente no 3.1 Evolução da Demanda.
Apresenta plano de desenvolvimento em 2 fases (Ciclos de investimento).</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</si>
  <si>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No item 3.4.1.1 aponta manutenção de stopway inexistente. Neste mesmo item, há inconsistência no comprimento apresentado para a PPD 11-29. O item 3.5 apresenta alguns detalhes do anteprojeto de engenharia proposto. Há inconsistência nas informações apresentadas na tabela 3.50 com relação à configuração da PPD após intervenções. Com relação às pistas de táxi, não menciona a intervenção na pista de táxi A para garantir o espaçamento mínimo entre os eixos da PPD 11-29 e desta pista de táxi. Parte da área identificada como ampliação da área para equipamentos de rampa no primeiro ciclo de intervenções (figura 3.49) já havia sido identificado como área destinada para esse fim na planta da implantação atual. Não prevê ampliação do TECA, apesar de haver identificado no item 2.3.3.1  uma capacidade atual inferior à necessidade apontada para o final da concessão na tabela 3.46. Não prevê alterações no SESCINC no primeiro ciclo de investimentos, mas a área proposta para o pátio de aeronaves cargueiras sobrepõe a área identificada identificada como SCI nas implantação atual. Com relação ao sistema de infraestrutura aeronáutica, aponta que não há necessidade de intervenções, mas não há detalhamento. Para alguns dos componentes avaliados, identifica que não há necessidade de ampliação, mas não apresenta comparação entre área requerida, conforme identificado anteriormente, e área atualmente disponibilizada. Não apresenta comparação entre áreas requeridas e áreas disponibilizadas na implantação final. </t>
  </si>
  <si>
    <t>O item 3.5 aponta as intervenções por sistemas, apresentando valores de área de expansão. As plantas apresentam as alterações propostas para os ciclos de investimentos identificado. As plantas que apresentam as intervenções propostas e a implantação final não possuem o mesmo detalhamento que a planta que identifica a situação atual, dificultando a identificação das alterações propostas. Nas plantas apresentadas para a expansão, algumas áreas apresentadas na situação inicial não aparecem. Na área identificada como pátio de aviação geral no primeiro ciclo, havia dois hangares na planta da implantação atual.</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</si>
  <si>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para os estudos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 enquanto para passageiros em pé foi utilizado o parâmetro dos ADRM 11.
O dimensionamento da Sala de Desembarque (restituição de bagagens) não observou as diretrizes de estudo, bem como não considerou o ADRM. Não foi adotada taxa de recirculação para dimensionamento de esteiras de bagagens. O nível de serviço adotado (ocupação linear por passageiros) é distindo do informado na diretriz de estudo (0,9 informado na diretriz e 0,13 adotado pelo Consórcio).</t>
  </si>
  <si>
    <t>Apresenta no item 3.5.1 Investigações e Ensaios. Resultado da geotecnia e caracterização do solo.
Apresenta relatório de sondagens a percussão no Anexo 2.
O plano de desenvolvimento apresentado não propõe obras de grande vulto, de modo que se atribui nota integral ao item.</t>
  </si>
  <si>
    <t>Identifica obra em execução, mas não avalia andamento. Apresenta levantamento das informações disponibilizadas pela SAC sobre contratações do aeroporto.</t>
  </si>
  <si>
    <t xml:space="preserve">O cronograma de obras é apresentado de maneira resumida no item 3.5.2. O item 4.1.1.1 apresenta considerações utilizadas na definição de prazos de execução das obras. As informações são apresentadas por sistema e não há detalhamento por atividades. </t>
  </si>
  <si>
    <t xml:space="preserve">Não foi apresentado anteprojeto em nível de detalhamento suficiente para levantamento dos quantitativos adotados no cálculo do CAPEX. Os quantitativos por ciclo de investimento, presentes na aba "CAPEX", não possuem referência de forma que não é possível rastrear sua origem
Os quantitativos utilizados para o cálculo dos custos unitários paramétricos, observados no arquivo "Preços unitários", não possuem rastreabilidade.
Não foram apresentados os projetos e orçamentos utilizados para a definição dos custos paramétricos utilizados pelo Consórcio.
</t>
  </si>
  <si>
    <t xml:space="preserve">Não foram apresentadas as fontes dos preços de equipamentos (pontes de embarque, sistemas de bagagens, equipamentos eletromecânicos, equipamentos de raio-x).
As composições unitárias oriundas do SICRO não estão considerando o Momento de Transporte dos materiais, bem como não está sendo considerado o custo do Fator de Influência de Tráfego. Dessa forma, as composições apresentam custos inferiores aos que deveriam ser considerados.
</t>
  </si>
  <si>
    <t xml:space="preserve">O custo global é baseado em custo paramétrico obtido a partir de obras licitadas anteriormente. A adoção de custos paramétricos não leva em consideração as especificidades das obras aqui analisadas,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(R$ 6.586,1) foi 274,96 m³, valor distoante daqueles observados em construções do mesmo porte.
Ainda, considerando o pequeno espaço amostral, não é possível concluir que o custo paramétrico adotado possui precisão compatível com o exigido.
</t>
  </si>
  <si>
    <t>Conforme afirma no item 3.3.2, não há necessidade de incorporação de áreas a serem desapropriadas para a solução proposta no plano de desenvolvimento do aeroporto.</t>
  </si>
  <si>
    <t>Apresenta formulação de funções de custos para grupos similares de despesas, de modo a estimar a tendência de cada um deles. A metodologia para estimativa de custos, em função da produção (WLU), é calculada para aeroportos de pequeno e grande porte e para cada item de custo: pessoal e serviços de terceiros, utilidades, materiais de consumo, manutenção e outros custos operacionais diretos. A metodologia apresentada parte de análise do histórico de custos do respectivo aeroporto, que inclui processo de análise de consistência dos dados e definição de valor inicial (histórico, modelado ou bottom-up); passando pelo modelo econométrico, a partir de modelo de regressão que define a elasticidade da produção sobre cada item de custo; para, finalmente, alcançar a projeção dos valores estimados para cada custo operacional ao longo da concessão. Descreve com detalhes como são alcançados os resultados e faz considerações importantes, tais como adaptações no modelo econométrico, de modo a refletir às mudanças estimadas para o modelo administrativo do concessionário que assumir o aeroporto; premissas específicas para movimentação de carga nos TECAs, de modo a evitar a contaminação de dados em aeroportos com Terminal concedido; e o impacto da ampliação da infraestrutura prevista na definição de alguns custos (serviços de terceiros e utilidades). Os ganhos de escala estimados para a operação em blocos (custos com pessoal) são apresentados no relatório consolidado do bloco. No entanto, tais dados não coincidem com os apresentados na planilha do modelo financeiro consolidado para o bloco (tabela 8.8 do relatório consolidado e aba congruência da planilha consolidada: SINERGIA BLOCO (RUBRICA PESSOAL)).</t>
  </si>
  <si>
    <t xml:space="preserve">Para o sistema TPS, apresenta os componentes internos à edificação com dados de área e quantidades. Alguns registros fotográficos foram apresentados (saguão de embarque, balcões de check-in, forros e luminárias, pontes de embarque e a junta entre as edificações do TPS antigo e o novo). Estacionamento de veículos foi apresentado com registros fotográficos. Meio-fio é suscintamente apresentado. Para o sistema de pistas, as áreas foram identificadas em mapa (caderno de plantas), as estruturas foram caracterizadas, todavia não constam legendas nas ilustrações (qual PPD?). As pistas de táxi são apresentadas sem ilustrações nem avaliação das condições observadas. Para o sistema de pátios, as instalações são apresentadas em planta (3 pátios) mas as condições verificadas são ilustradas por meio de uma única foto. Equipamentos de rampa e vias de serviço são apresentadas suscintamente. Para o sistema TECA são apresentadas as edificações e o estacionamento de veículos associado bem como o acesso viário. As edificações são localizadas em planta. Para o sistema de aviação geral os hangares e pátios associados são descritos e localizadas em planta. Sistema de administrativas e manutenção é minimamente descrito. Sobre o sistema de apoio às operações, as instalações foram apresentadas, caracterizadas e ilustradas em foto(s). Breve descrição dos sistemas de apoio às companhias aéreas. Boa descrição dos sistemas de infraestrutura básica (energia elétrica, água potável, ar condicionado, etc). Apresenta ainda as infraestruturas de aeronáutica identificadas no aeroporto, com suas características e registros fotográficos. A localização de cada componente de sistema é apresentada no caderno de plantas (Situação atual). </t>
  </si>
  <si>
    <t xml:space="preserve">Os documentos utilizados para a avaliação patrimonial do aeroporto são apresentados no Anexo 2. A análise limita-se à reprodução do disposto no PDir da Infraero. Apresenta em planta a localização das áreas, conforme Plano Diretor da Infraero. Apresenta levantamento sobre cercas e acessos, trazendo localização em croqui e registro fotográfico com algumas observações sobre as condições verificadas. </t>
  </si>
  <si>
    <t>Declara que a única área militar é o DTCEA-CT (TWR).
Zoneamento Funcional: Dividiu em várias categorias, não  relacionou a área de cada uma delas em m2.
PBZPA e PZPANA:avaliou obstáculos nos planos existentes e apresenta conclusão. 
PZR: apresenta plano existente.</t>
  </si>
  <si>
    <t xml:space="preserve">A capacidade de meio fio apresentada na tabela resumo diverge, em unidade de medida, da fórmula de capacidade apresentada.
Não é possível reproduzir os resultados para componentes de uso simultâneo, uma vez que estes apresentam parâmetros de nível de serviço distintos e a equação apresentada considera uma área única, sem apresentar como é ponderado o uso doméstico/internacional ou embarque/desembarque.
Os valores apresentados para áreas instaladas nas tabelas resumo de cada componente (tabela 1-24 em diante) divergem daqueles constantes na tabela resumo do aeroporto (tabela 1-21).
O cálculo dos componentes de circulação (conector/corredor) não levam em consideração a metodologia apontada como diretriz para o estudo.
Não é apresentada capacidade das vias de acesso.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</si>
  <si>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publicado pelo CGNA. Apresenta comparação com a demanda. Apresenta avaliação das pistas de táxi a partir da largura das pistas. Não identifica aeronaves que operam nas pistas. Utiliza como referência operação IFR de aeronaves 3C. Identifica algumas limitações na utilização do sistema de pistas.</t>
  </si>
  <si>
    <t>A avaliação de capacidade do pátio é apenas um levantamento das posições de pátio existentes. Não são consideradas as diferentes configurações possíveis. Não há cálculo para a capacidade dinâmica. Não há comparação com a demanda. Apresenta avaliação de capacidade para pátio de equipamentos de rampa.</t>
  </si>
  <si>
    <t>Apresenta metodologia de cálculo de capacidade do Terminal de Cargas. Apresenta dados de demanda e capacidade em unidade de área. Não há avaliação de capacidade de estacionamentos e pátios. Não apresenta avaliação de capacidade para o Sistema de Aviação Geral, apenas a informação de que é operado nos hangares e pátios associados.</t>
  </si>
  <si>
    <t>Para o cálculo da capacidade do SESCINC foi considerada norma bastante defasada.</t>
  </si>
  <si>
    <t>Item 2.1 apresenta PDIR Infraero de 2013. 
Não apresenta alternativas para o desenvolvimento do aeroporto.</t>
  </si>
  <si>
    <t>Avaliação evidenciada no item 2.3.4.
Restrições apresentadas no item 2.3.4.5 
Avaliação desenvolvida considerando nova pista (portanto aderante à proposta). 
Não apresenta, de forma estruturada, proposta de medidas mitigadoras ou de melhorias no serviço de tráfego aéreo.</t>
  </si>
  <si>
    <t>Apresenta as fases de implantação no item 2.3.5.
Duas fases, conforme PDIR Infraero.
No item 2.3.2.1 é apontado que as intervenções de cada fase (I e II) atenderão as demandas previstas para os anos finais de cada fase, respectivamente 2034 e 2051.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</si>
  <si>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 xml:space="preserve">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Há inconsistência entre as informações apresentadas no item 2.3.3 e aquelas apresentadas na tabela 2-2 com relação às áreas necessárias para Pátio de Aviação Geral e Hangares e Pátios Associados. O item 2.3.5 aponta as intervenções para cada fase de implantação. O item 2.4 apresenta alguns detalhes do anteprojeto de engenharia proposto.  Há inconsistências entre a configuração de pátio apresentada na planta da fase I-B e as necessidades identificadas na planilha de dimensionamento. Não menciona tratamento dado para algumas não conformidades identificadas. Mantém distância entre PPD e pista de táxi paralela em valor inferior ao requerido pelo RBAC 154 para a aeronave de projeto identificada. Não foram apresentadas justificativas para área adotada por unidade de capacidade de processamento dos sistemas de ETA e ETE. Não apresenta comparação entre áreas requeridas e áreas disponibilizadas na implantação final. </t>
  </si>
  <si>
    <t>O item 2.3.5 aponta as alterações em cada fase de implantação, mas não há destaque para as modificações. As plantas apresentam a configuração em cada uma das fases. Nas plantas do plano de desenvolvimento, apresenta antena do ILS (LLZ) na área da RESA implantada.</t>
  </si>
  <si>
    <t>Apresenta no anexo 3: medições de IRI (disponibilizadas pela Infraero), laudos de sondagens a trado e de ensaios de caracterização do solo, executados pelo próprio consórcio.</t>
  </si>
  <si>
    <t>Não identifica obras inacabadas ou em andamento. Identifica somente uma obra contratada e apresenta o detalhamento. Não apresenta avaliação do andamento, apenas considera o atendimento aos prazos contratuais vigentes.</t>
  </si>
  <si>
    <t xml:space="preserve">O arquivo contendo o cronograma projetado não foi localizado, sendo apresentado, no item 2.4.7 , apenas um cronograma simplificado. O cronograma simplificado apresentado não permite a visualização de todas as linhas planejadas, indicando apenas o cronograma de macro itens.
</t>
  </si>
  <si>
    <t>Os projetos apresentados não permitem a rastreabilidade dos quantitativos utilizados para cálculo do preço unitário de cada infraestrutura, apresentados na planilha Consolidada, presente no Anexo 4 (CAPEX), e referenciado nas planilhas de cada infraestrutura (01 Pista e Taxiway, 02 acostamento e assim por diante).</t>
  </si>
  <si>
    <t xml:space="preserve">As composições de custo obtidas do SICRO não consideraram o Momento de Transporte e o Fator de Tráfego, de forma que o preço global foi subestimado.
Não foram apresentadas justificativas para o uso de custos unitários fixos (independente da cidade ou estado). O custo da composição "base ou sub-base em rachão", por exemplo, deveria variar de forma a levar em consideração as diferenças de custo de mão de obra, aluguel e disponibilidade de equipamentos, disponibilidade de materiais e jazidas, distâncias de transporte entre outras.
Não foram apresentadas planilhas contendo as composições de custo unitário de elaboração própria.
Não foram apresentadas cotações realizadas, incluindo as cotações dos equipamentos eletromecânicos. </t>
  </si>
  <si>
    <t xml:space="preserve">Os quantitativos de investimentos por fase de ampliação, presentes na planilha Novo Resumo Capex (Anexo 4) não puderam ser verificados a partir das plantas de desenvolvimento apresentadas.
</t>
  </si>
  <si>
    <t>Adota a área a desapropriar prevista no Pdir da Infraero para as obras de construção da terceira pista mas não prevê CAPEX Desapropriação para tais obras.</t>
  </si>
  <si>
    <t>Apresenta projeção para despesas com pessoal, serviços de terceiros, utilidades e serviços públicos, material de consumo e outros custos e despesas (materiais de consumo ambientais, IPTU, despesas de transição, ressarcimento pelos EVTEA selecionados e remuneração do leiloeiro). Para projetar o custo com pessoal, assume que os atuais contratos operacionais do aeroporto serão rescindidos antes do início da concessão e que o “privado” celebrará novos contratos para a prestação de serviços de terceiros, desconsiderando riscos de descontinuidade dos serviços. Descreve a composição de cada item de custos. Considera projeção do PIB para estimar custos de terceiros, utilidades e materiais de consumo. Afirma no item 3.2.2. CUSTOS E DESPESAS COM SERVIÇOS DE TERCEIROS ter atualizado os valores de R$/WLU médio para a data base dos estudos, janeiro de 2019, mas na planilha (WLU AEROPORTOS CONCESSIONADOS) todos os valores de custos e despesas foram trazidos para 2018. Não leva em conta a evolução da infraestrutura prevista no plano de desenvolvimento proposto para o aeroporto em nenhum item de custo. Não foram localizados no relatório os possíveis ganhos de escala potenciais da gestão conjunta dos aeroportos estimados para o estudo, apesar de constar no relatório consolidado do bloco sul (econômico-financeiro) que a redução de 16,38% nos custos de pessoal foi definida nos estudos de engenharia e afins.</t>
  </si>
  <si>
    <t xml:space="preserve">Apresenta as principais características dos contratos operacionais celebrados com o aeroporto, além de suscintas observações sobre o assunto. Não foi localizada análise dos contratos comerciais celebrados para o aeroporto. Não foi identificada análise dos contratos no tocante ao que dispõe a Portaria MTPA nº 143, de 6 de abril de 2017 (substituída pela Portaria MInfra nº 577, de 8 de novembro de 2019).  </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</si>
  <si>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Equipamentos de rampa e vias de serviço também foram apresentados, localizados e ilustrados em foto. Na avaliação do TPS, lista as áreas por componente, incluindo os estacionamentos de veículos. Na avaliação do acesso viário, apresenta o fluxo de acesso ao terminal. Na avaliação do TECA, apresenta a instalações, os acessos, estacionamento e registros fotográficos. Também foram apresentados e avaliados os componentes de infraestrutura aeronáutica verificados no aeroporto. Na avaliação do sistema de aviação geral apresenta o hangar localizado no aeroporto, sua via de acesso e as condições verificadas a partir de registro fotográfico. Sistema de administração e manutenção bem como sistema de apoio às operações e às companhias aéreas e, finalmente, serviços aeroportuários e sistema de infraestrutura básica também encontram-se apresentados e avaliados.</t>
  </si>
  <si>
    <t>Divide em áreas civil/militar, as detalha e relaciona a metragem de cada uma delas. Inclui DTCEA-FI (TWR).
Zoneamento Funcional: Dividiu em várias categorias, relacionou a área de cada uma delas em ha.
Elabora PBZPAe PZPANA, avalia obstáculos e apresenta conclusão.
PZR: foi elaborado novo plano.</t>
  </si>
  <si>
    <t>Apresenta as não conformidades apontadas pela ANAC.
Apresenta outras não conformidades relativas a manutenção, bem como a ausência de RESA</t>
  </si>
  <si>
    <t>Os memoriais de cálculo não são claros de modo a permitir a reprodução dos resultados pela Comissão (CAE). As fórmulas apresentadas não permitem concluir quanto a metodologia adotada para cálculo da capacidade dos componentes reversíveis nem daqueles de uso simultâneo (doméstico/internacional e embarque/desembarque). Não foi apresentada divisão de equipamentos por classe, nos componentes em que essa divisão foi considerada para cálculo da capacidade. A aplicação das equações apresentadas no relatório levam a resultados diferentes daqueles apresentados nas tabelas de capacidade.
Não foi demonstrada a capacidade do componente de circulação (ausente determinação da largura efetiva), somente apresentados os parâmetros e a fórmula para o cálculo. 
Não avalia a capacidade da sala de embarque remoto de maneira individualizada, somente apresenta o agregado da capacidade das salas.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</si>
  <si>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Apresenta aeronave crítica incompatível com a operação do aeroporto. Na avaliação da capacidade das pistas de táxi, levou-se em conta a largura das pistas. Identifica limitações relacionadas com a utilização do sistema de pistas.</t>
  </si>
  <si>
    <t>Apresenta avaliação de capacidade estática e dinâmica do pátio.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Nesse item, não foi identificado pátio de aeronaves de aviação geral mas há demanda em número de posições.  As posições para aviação geral localizadas no pátio principal não foram consideradas para atendimento à demanda.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</si>
  <si>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</si>
  <si>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Atendido no item 2.1.2 Plano de Desenvolvimento existente: apresenta o PDIR da Infraero elaborado em 2013; o Planejamento da Infraestrutura Aeroportuária de SBFI elaborado pela UFSC em 2017 e o Estudo de Viabilidade Técnica elaborado pelo BB em 2014.
No item 2.4 Estudo de Alternativas, são apresentadas 4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</si>
  <si>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os efeitos adversos de aeródromo na circulação (aeródromos e helipontos próximos), no espaço aéreo e na capacidade, os efeitos adversos OPEA, além de restrições causadas por alta demanda ou por meteorologia adversa.
Propõe medidas mitigadoras para os efeitos adversos elencados, bem como propõe melhorias no serviço de tráfego aéreo ao longo do período da  concessão na Tabela 2-24.
</t>
  </si>
  <si>
    <t>Evidenciado no item 2.3 Conceção para expansão, especialmente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</si>
  <si>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2.5 são identificadas as necessidades e intervenções a serem realizadas em cada etapa. Quanto ao sistema de pistas, há incosistência entre as informações apresentadas no item 2.3.3.2 e 2.5.1.1 com relação aos momentos previstos para ampliação de capacidade. O detalhamento está na planilha de dimensionamento. Nessa planilha, na apresentação das evoluções de capacidade dos principais componentes, há inconsistência nos períodos de ampliações nas capacidades. As alterações na capacidade de pista são apresentadas apenas como resultado final,  sem detalhamento de como as alterações de infraestrutura impactam na capacidade calculada. Na tabela 2-87, que apresenta um resumo das necessidades das instalações, há inconsistência na informação referente à categoria contra incêndio.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Para o dimensionamento do estacionamento do Sistema Terminal de Passageiros, as vagas requeridas do Sitema Aviação Geral não são consideradas, apesar de a avaliação de capacidade mencionar que a demanda atual é atendida pelo estacionamento do TPS e da área de TAG ser considerada em conjunto com o TPS. Não apresenta motivação para a ampliação da taxiway paralela E e para a construção das taxiways  de acesso L e M, tendo em vista que a capacidade pista sem essas intervenções já seria suficiente para o atendimento da demanda projetada até o fim da concessão. O item 2.7 apresenta detalhes do anteprojeto de engenharia proposto para o aeroporto, segregado em 8 itens (dispostos nos subitens do item 2.7).</t>
  </si>
  <si>
    <t>São apresentados laudos de geotecnia e caracterização do solo local no item 2.7.1. e no Anexo 3 ao Relatório.
No Anexo 3 ao Relatório são apresentados relatórios de: IRI; FWD; LVC; Sondagens SPT e Ensaios de caracterização do solo.</t>
  </si>
  <si>
    <t>Apresenta informações sobre obras em andamento, incluindo previsão de término, na tabela 2-1. Para as obras identificadas como suspensas, não considera a conclusão antes da concessão. Apresenta informações com base na visita realizada, mas não informa data da visita. Apresenta obras previstas na tabela 2-2, mas não considera que serão iniciadas antes da concessão.</t>
  </si>
  <si>
    <t xml:space="preserve">O cronograma estimado encontra-se no item 2.5.1.4 Cronograma Estimado e Fases de Operação 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(SBFI_CR-3Fases).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</si>
  <si>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Não foram apresentadas justificativas para demolições de pavimentos não necessários nas fases de expansão da infraestrutura e cujas áreas não serão utilizadas. 
</t>
  </si>
  <si>
    <t>Conforme disposto no item 2.6.2.1.12, estão previstas desapropriações de áreas na fase 1 do plano de desenvolvimento proposto, conforme descrito no item 2.6.3.1 Situação Patrimonial. Apresenta cotações de áreas semelhantes àquelas que se busca adquirir e calcula valor médio, conforme tabela 2-93. A descrição do CAPEX (por tipo e por fase) encontra-se nas tabelas 3-5 e 3-6, e o detalhamento do dispêndio foi localizado na planilha "SBFI_capex_1.00", onde é possível notar que existe uma previsão de "GASTOS COM DESAPROPRIAÇÕES E BENFEITORIAS NA FASE - 1" cujo cálculo foi localizado na planilha "SBFI_capex_1.00" com a descrição: "APT - Implantação e avaliação de Benfeitorias (Áreas Militares)", sem maior detalhamento do item, com referência a uma área de 1.584m² (aba "preços patrimonial"). Identificada incoerência de dados de área militar e área a desapropriar na tabela 2-95 (trocados).</t>
  </si>
  <si>
    <t xml:space="preserve">Atendido nos subitens do item 3.2 Estimativa de Custos de Operação (OPEX). Para cada custo estimado foi apresentada metodologia de cálculo baseada em análises de regressões, desenvolvidas a partir de dados históricos, e de benchmarks comparáveis. No entanto, assume como premissa a hipótese de que os atuais contratos operacionais do aeroporto serão rescindidos previamente ao início da concessão e que o concessionário deverá firmar novos contratos com terceiros para a prestação de serviços, desconsiderando riscos de descontinuidade dos serviços. Os resultados apresentados consideram a evolução da infraestrutura planejada e da movimentação estimada para passageiros, aeronaves e carga, quando aplicável; e consideram ainda ganhos de eficiência associados à concessão de aeroportos. Todavia, considera para todos os aeroportos que esse ganho previsto equivale a mediana da variação verificada no 1º ano da concessão para os aeroportos já concedidos, desconsiderando especificidades como nos casos de aeroportos que se encontram com quadro de pessoal aumentado em decorrência de concessão anterior de aeroporto localizado nas proximidades (Florianópolis e Navegantes, por exemplo). Os resultados encontrados constam ainda em planilha anexa ao relatório econômico-financeiro (modelo financeiro). O item 3.2.7 apresenta os Ganhos de Escala Potenciais da Gestão Conjunta dos Aeroportos estimados para o estudo e os resultados estão considerados no relatório econômico-financeiro consolidado do bloco sul. </t>
  </si>
  <si>
    <t xml:space="preserve">Due diligence dos contratos operacionais celebrados com a Infraero para o SBFI encontra-se reproduzido no item 3.2.8 Due Diligence dos Contratos Operacionais. Não foi localizada análise dos contratos comerciais celebrados para o aeroporto, somente planilha com a disposição de suas principais características (na pasta do relatório econômico-financeiro). Não foi identificada análise dos contratos no tocante ao que dispõe a Portaria MTPA nº 143, de 6 de abril de 2017 (substituída pela Portaria MInfra nº 577, de 8 de novembro de 2019).  </t>
  </si>
  <si>
    <t xml:space="preserve">Para o sistema de pistas e vias de serviço, apresenta suas características e visão espacial, bem como avaliação de suas condições, com registro fotográfico somente das vias de serviço. Verificada incoerência no tocante à configuração de pista, já que apresenta em planta (caderno de plantas) a existência de Stopway (SWY) mas na tabela 2.13 do relatório os valores apresentados para TORA e ASDA são iguais. Não apresenta as áreas e as quantidades de equipamentos (somente número de posições de check-in e de esteiras de restituição de bagagem) verificados nos componentes do Terminal. Apresenta registro fotográfico somente para a via de acesso ao TPS. Apresenta o pátio de aeronaves com localização em mapa, principais características e condições observadas. Ilustra a localização do sistema viário de acesso ao aeroporto e avalia suas condições. Os estacionamentos de veículos são caracterizados, localizados em mapa e suas condições físicas são avaliadas. Área para equipamentos de rampa é apresentada, ilustrada e avaliada. Para o sistema terminal de cargas, são apresentados em planta as edificações, o pátio e vias de acesso viário. Não apresenta fotos das condições verificadas para o sistema TECA.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em planta da área de hangaragem. Os sistemas de administração e manutenção, de apoio às operações e de apoio às companhias aéreas, bem como serviços aerportuários e sistema de infraestrutura básica encontram-se apresentados e localizados em planta. Para alguns itens, há registro fotográfico e avaliação das condições observadas (infraestrutura básica, SESCINC). Diversos componentes de sistema, constantes na legenda da planta do aeroporto (Situação Atual), não correspondem aos itens indicados.  </t>
  </si>
  <si>
    <t>Os documentos utilizados para a avaliação patrimonial do aeroporto são apresentados no Anexo 6. Obteve certidões atualizadas dos imóveis (Anexo 6) mas não foi localizada a de número 34.498, a mais recente. Apura diferença de área entre os documentos imobiliários e o disposto no PDIR mas não esclarece como chegou naquele total. Não apresenta a representação das áreas em planta, individualmente e não faz análise crítica da situação atual do imóvel. Apresenta conclusões não condizentes com o texto anteriormente apresentado: apresenta áreas regularizadas mas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Apresenta a localização em planta das cercas patrimoniais e dos acessos ao aeroporto. Na avaliação de cercas e acessos, foi apresentada somente uma ilustração de cerca.</t>
  </si>
  <si>
    <t>Divide em áreas civil/militar, as detalha e relaciona a metragem de cada uma delas.
Zoneamento Funcional: Dividiu em várias categorias, relacionou a área de cada uma delas em m2.
Elabora PBZPAe PZPANA, avalia obstáculos e apresenta conclusão.
PZR: foi elaborado novo plano.</t>
  </si>
  <si>
    <t>Apresenta as não conformidades apontadas pela ANAC, e informa observar pátio com algumas deformações - acúmulo de água e algumas trincas.</t>
  </si>
  <si>
    <t>O cálculo da capacidade de check-in não foi apresentado para os fluxos doméstico e internacional, somente para o fluxo simultâneo, de forma que, sem apresentação das considerações realizadas, não foi possível reproduzir os resultados do grupo com base na equação apresentada.
O valor apresentado para a capacidade do saguão de embarque está incompatível com os dados apresentados.
O cálculo da capacidade das vias de acesso leva a um número de passageiros por veículo incompatível com o utilizado para determinação da capacidade de meio fio.
Não foi demonstrada a origem da demanda por vagas para o estacionamento de veículos.
Não foi realizada avaliação da capacidade em termos de equipamentos instalados. Tal avaliação, realizada por outro grupo, agregou informação ao relatório.</t>
  </si>
  <si>
    <t>Apresenta metodologias de cálculo de capacidade do sistema Terminal de Cargas. Apresenta avaliação de capacidade para Terminal e Estacionamento. Não avalia capacidade do pátio. Apresenta comparações com a demanda em unidade de área. A planilha de dimensionamento apresenta o detalhamento dos cálculos. Há inconsistência na definição de demanda do TECA. Apresenta metodologia utilizada na análise de capacidade do Sistema de Aviação Geral. Não apresenta metodologia para a avaliação do estacionamento de veículos. Na avaliação dos hangares, considera a área total e compara a capacidade com a demanda em vagas. Não apresenta as considerações para a definição da demanda utilizada na comparação.</t>
  </si>
  <si>
    <t xml:space="preserve">Não foi apresentado movimento de aeronaves utilizado para cálculo da demanda por serviços aeroportuários, de forma que não foi possível reproduzir o resultado apresentado pelo Grupo.
Não foi apresentada equação utilizada para cálculo do consumo de água bem como do volume de esgoto, de forma que não foi possível reproduzir os resultados apresentados pelo Grupo.
Para o cálculo da capacidade do SESCINC foram consideradas normas desatualizadas.
</t>
  </si>
  <si>
    <t>Evidenciados no item 2.4: os efeitos adversos de aeródromo no espaço aéreo e na capacidade, bem como os efeitos adversos OPEA na capacidade e no serviço de aeródromo nas principais áreas do aerodromo.
Propõe medidas mitigadoras para os efeitos adversos elencados (Tabela 2.94), bem como propõe melhorias no serviço de tráfego aéreo ao longo do período da  concessão na Tabela 2.95.</t>
  </si>
  <si>
    <t>Evidenciado no item 3. Desenvolvimento do Sítio Aeroportuário, especialmente no 3.1 Evolução da Demanda.
Apresenta plano de desenvolvimento em 2 fases (Ciclos de investimento).</t>
  </si>
  <si>
    <t>O item 3.5 aponta as intervenções por sistemas, apresentando valores de área de expansão. As plantas apresentam as alterações propostas para os ciclos de investimentos identificados. As plantas que apresentam as intervenções propostas e a implantação final não possuem o mesmo detalhamento que a planta que identifica a situação atual, dificultando a identificação das alterações propostas. Na planta correspondente ao primeiro ciclo de intervenções, há uma pista de táxi a mais que não foi mencionada nem está identificada como parte na expansão dessa fase. A área utilizada para o estacionamento de veículos proposto no primeiro ciclo de intervenções coincide com a área onde existem residências militares na implantação atual.</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</si>
  <si>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de estudo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enquanto para passageiros em pé foi utilizado o parâmetro dos ADRM 11.
O dimensionamento da Sala de Desembarque (restituição de bagagens) não observou as diretrizes de estudo, bem como não considerou o ADRM. Não foi adotada taxa de recirculação para dimensionamento de esteiras de bagagens. O nível de serviço adotado (ocupação linear por passageiros) é bastante distindo do informado na diretriz de estudo (0,9 informado na diretriz e 0,13 adotado pelo Consórcio).</t>
  </si>
  <si>
    <t>Apresenta no item 3.5.1 a caracterização geoambiental e geomorfológica. 
Apresenta no anexo 2: laudos de ensaios não destrutivos (FWD e georadar); disponibilizados pela SAC.
O plano de desenvolvimento apresentado não propõe obras de grande vulto, atribui-se nota integral ao item.</t>
  </si>
  <si>
    <t xml:space="preserve">Identifica obras em andamento e apresenta previsão de término. Não apresenta avaliação sobre o andamento da maioria das obras.Todas as obras identificadas são consideradas como concluídas antes da concessão. </t>
  </si>
  <si>
    <t xml:space="preserve">Não foram apresentadas as fontes dos preços de equipamentos (pontes de embarque, sistemas de bagagens, equipamentos eletromecânicos, equipamentos de raio-x).
As composições unitárias oriundas do SICRO não estão considerando o Momento de Transporte dos materiais, bem como não estão sendo considerados o custo do Fator de Influência de Tráfego. Dessa forma, as composições apresentam custos inferiores aos que deveriam ser considerados.
</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</si>
  <si>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(R$ 6.514,7) foi 274,96 m³, valor distoante daqueles observados em construções do mesmo porte.
Ainda, considerando o pequeno espaço amostral, não é possível concluir que o custo paramétrico adotado possui precisão compatível com o exigido.
</t>
  </si>
  <si>
    <t>Conforme afirma no item 3.3.2, o plano de desenvolvimento proposto para o aeroporto não ultrapassa os limites patrimoniais vigentes.</t>
  </si>
  <si>
    <t xml:space="preserve">Apresenta, com base em literatura, alguns dados históricos de custos operacionais em aeroportos norte-americanos e europeus e compara com os aeroportos concedidos enquanto eram operados pela Infraero. Afirma utilizar somente benchmarks de aeroportos brasileiros (Infraero) para projetar os custos operacionais, mas apresenta justificativa para tanto e, após os cálculos, buscando validar os resultados, compara o índice de produtividade do aeroporto com aeroportos internacionais contidos na base de dados da ACI. Para o item de custos com pessoal, apresenta ganhos de eficiência associados à administração privada e faz considerações específicas para cada área de atuação. Considera ganhos de eficiência contratuais em 10% dos custos com serviços de terceiros para todos os aeroportos, sem maior detalhamento de como alcançou tal valor. </t>
  </si>
  <si>
    <t>Apresenta formulação de funções de custos para grupos similares de despesas, de modo a estimar a tendência de cada um deles. A metodologia para estimativa de custos, em função da produção (WLU), é calculada para aeroportos de pequeno e grande porte e para cada item de custo: pessoal e serviços de terceiros, utilidades, materiais de consumo, manutenção e outros custos operacionais diretos. A metodologia apresentada parte de análise do histórico de custos do respectivo aeroporto, que inclui processo de análise de consistência dos dados e definição de valor inicial (histórico, modelado ou bottom-up); passando pelo modelo econométrico, a partir de modelo de regressão que define a elasticidade da produção sobre cada item de custo; para, finalmente, alcançar a projeção dos valores estimados para cada custo operacional ao longo da concessão. Descreve com detalhes como são alcançados os resultados e faz considerações importantes, tais como adaptações no modelo econométrico, de modo a refletir às mudanças estimadas para o modelo administrativo do concessionário que assumir o aeroporto; premissas específicas para movimentação de carga nos TECAs, de modo a evitar a contaminação de dados em aeroportos com Terminal concedido; e o impacto da ampliação da infraestrutura prevista na definição de alguns custos (serviços de terceiros e utilidades). Os ganhos de escala estimados para a operação em blocos (custos com pessoal) são apresentados no relatório consolidado do bloco. No entanto, tais dados não coincidem com os apresentados na planilha do modelo financeiro consolidado para o bloco (tabela 8.8 do relatório consolidado e aba congruência da planilha consolidada: SINERGIA BLOCO (RUBRICA PESSOAL).</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</si>
  <si>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(estacionamento de veículos) e aqueles apresentados na tabela constante no final do item (cujos dados constam ainda no Anexo 5 - Due Diligence dos Contratos Operacionais).</t>
  </si>
  <si>
    <t xml:space="preserve">Para o sistema TPS, apresenta os componentes internos à edificação com dados de área e quantidades. Alguns registros fotográficos foram apresentados (saguão de embarque, obras em andamento, forros e luminárias). Síntese das obras em andamento no TPS foi apresentada. Estacionamento de veículos foi apresentado com registros fotográficos e avaliado de modo geral. Meio-fio é suscintamente apresentado. Para o sistema de pistas, as áreas foram identificadas em mapa (caderno de plantas), as estruturas foram caracterizadas, todavia não consta avaliação das condições observadas, somente duas fotos do pavimento da PPD. Para o sistema de pátios, as instalações são apresentadas em planta mas as condições verificadas não são ilustradas nem avaliadas. Equipamentos de rampa e vias de serviço são apresentadas suscintamente. Para o sistema TECA são apresentadas as edificações e o estacionamento de veículos associado bem como o acesso viário. As edificações são localizadas em planta. Para o sistema de aviação geral a área de hangaragem foi apresentada sem localização em planta nem avaliação das condições. Sistema administrativo e de manutenção é minimamente descrito. Sobre o sistema de apoio às operações, as instalações foram apresentadas, caracterizadas e ilustradas em foto(s). Breve descrição dos sistemas de apoio às companhias aéreas. Boa descrição dos sistemas de infraestrutura básica (energia elétrica, água potável, TI, ar condicionado, etc). Apresenta ainda as infraestruturas de aeronáutica identificadas no aeroporto, com suas características e registro fotográfico da biruta. A localização de cada componente de sistema é apresentada no caderno de plantas (Situação atual). </t>
  </si>
  <si>
    <t>Aponta como área militar apenas DTCEA-FI (TWR).
Zoneamento Funcional: Dividiu em várias categorias, não  relacionou a área de cada uma delas em m2.
Elabora PBZPA e PZPANA; avaliou obstáculos e apresenta conclusão.
PZR: foi elaborado novo plano.</t>
  </si>
  <si>
    <t>Apresenta apenas as não conformidades apontadas pela ANAC.</t>
  </si>
  <si>
    <t xml:space="preserve">A capacidade de meio fio apresentada na tabela resumo diverge, em unidade de medida, da fórmula de capacidade apresentada.
Não foi possível reproduzir os resultados para componentes de uso simultâneo, uma vez que estes apresentam parâmetros de nível de serviço distintos e a equação apresentada considerou uma área única, sem apresentar como foi ponderado o uso doméstico/internacional ou embarque/desembarque.
Os valores apresentados para áreas instaladas nas tabelas resumo de cada componente (tabela 1-32 em diante) divergem daqueles constantes na tabela resumo do aeroporto (tabela 1-29).
O cálculo dos componentes de circulação (conector/corredor) não levaram em consideração a metodologia apontada como diretriz para o estudo.
Não é apresentada capacidade das vias de acesso.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</si>
  <si>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publicado pelo CGNA. Apresenta comparação com a demanda.  Apresenta avaliação das pistas de táxi a partir da largura das pistas. Não identifica aeronaves que operam nas pistas. Utiliza como referência operação IFR de aeronaves 3C.  Identifica  limitações na utilização do sistema de pistas.</t>
  </si>
  <si>
    <t>A avaliação de capacidade do pátio é apenas um levantamento das posições de pátio existentes. Há informação inconsistente na tabela que apresenta a capacidade. Menciona as diferentes configurações possíveis, mas não há detalhamento de posições bloqueadas. Não há cálculo para a capacidade dinâmica. Não há comparação com a demanda. Apresenta avaliação de capacidade para pátio de equipamentos de rampa.</t>
  </si>
  <si>
    <t>Apresenta metodologia de cálculo de capacidade do Terminal de Cargas. Apresenta dados de demanda e capacidade em unidade de área. Não há avaliação de capacidade de estacionamentos e pátios. Apresenta informações gerais sobre o Sistema de Aviação Geral, mas não apresenta avaliação de capacidade.</t>
  </si>
  <si>
    <t>Avaliação evidenciada no item 2.3.4. Restrições apresentadas no item 2.3.4.5.
Avaliação desenvolvida considerando nova pista (portanto, aderante à proposta). 
Não apresenta, de forma estruturada, proposta de medidas mitigadoras ou de melhorias no serviço de tráfego aéreo.</t>
  </si>
  <si>
    <t>Apresenta as fases de implantação no item 2.3.5.
Duas fases, conforme PDIR Infraero.
No item 2.3.2.1 é apontado que as intervenções de cada fase (I e II) atenderão as demandas previstas para seus anos finais, quais sejam: 2034 e 2051.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</si>
  <si>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O item 2.3 apresenta o plano de desenvolvimento, identificando as infraestruturas necessárias ao longo do período da concessão. A tabela 2-2 apresenta valores de capacidade instalada e projetada, levando em consideração as projeções de demanda. Nessa tabela, há inconsistência nos valores apresentados para posições de pátio de aeronaves de carga. O detalhamento é apresentado na planilha de dimensionamento. No item 2.3.3, a avaliação da adequação do comprimento de pista para atendimento das rotas do aeroporto considerou apenas as rotas já planejadas, não levando em consideração a projeção de demanda e novas rotas eventualmente criadas.  No mesmo item, no dimensionamento do pátio de aviação geral, considera apenas aeronaves de asa fixa. No item 2.3.5 aponta as intervenções para cada fase de implantação. O item 2.4 apresenta alguns detalhes do anteprojeto de engenharia proposto. Há inconsistências entre a configuração de pátio apresentada na planta da fase I-B e as necessidades identificadas na planilha de dimensionamento. Há inconsistência entre o número de pontes de embarque apresentado na planta da Fase II e a necessidade apontada na planilha de dimensionamento. Não apresenta comparação entre áreas requeridas e áreas disponibilizadas na implantação final. O anteprojeto não apresenta justificativa para a implantação da área de teste de motores.</t>
  </si>
  <si>
    <t>O item 2.3.5 aponta as alterações em cada fase de implantação. As plantas apresentam a configuração em cada uma das fases, mas não há destaque para as modificações. Nem todas as alterações mencionadas no relatório podem ser identificadas nas plantas. Nas plantas do plano de desenvolvimento, os sistemas PAPI são representados na pista de táxi paralela (antiga PPD), não há representação do ALS no novo posicionamento, há inconsistência na representação do localizer.</t>
  </si>
  <si>
    <t>Apresenta no anexo 3: relatório de IRI, disponibilizado pela Infraero; laudos de sondagens (ST) e de ensaios de caracterização do solo; executados pelo próprio consórcio. Apresenta ainda laudos de ensaios não destrutivos (FWD e georadar)  disponibilizados pela SAC.</t>
  </si>
  <si>
    <t>Apresenta relação de obras contratadas, com detalhamento dos serviços. Considera eu as obras seguirão os prazos contratuais. Não apresenta avaliação sobre o andamento das obras em execução. Aponta para a inexistência de obras inacabadas.</t>
  </si>
  <si>
    <t>Os projetos apresentados não permitem a rastreabilidade dos quantitativos utilizados para cálculo do preço unitário de cada infraestrutura, apresentados na planilha Consolidada, presente no Anexo 4 (CAPEX), e referenciado nas planilhas de cada infraestrutura (01 Pista e Taxiway, 02 acostamento, e assim por diante).</t>
  </si>
  <si>
    <t xml:space="preserve">As composições de custo obtidas do SICRO não consideraram o Momento de Transporte e o Fator de Tráfego, de forma que o preço global foi subestimado
Não foram apresentadas justificativas para o uso de custos unitários fixos (independente da cidade ou estado). O custo da composição "base ou sub-base em rachão", por exemplo, deveria variar de forma a levar em consideração as diferenças de custo de mão de obra, aluguel e disponibilidade de equipamentos, disponibilidade de materiais e jazidas, distâncias de transporte, entre outras.
Não foram apresentadas planilhas contendo as composições de custo unitário de elaboração própria.
Não foram apresentadas cotações realizadas, inclusive dos equipamentos eletromecânicos. </t>
  </si>
  <si>
    <t>Considera os processos de desapropriação como limitação para implantação da nova pista (PPD) mas não prevê CAPEX Desapropriação para tais obras.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</si>
  <si>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áreas de equipamento de rampa e vias de acesso são apresentadas, localizadas em planta, ilustradas e avaliadas. Na avaliação do TPS, apresenta as obras em andamento no terminal,  lista as áreas e quantidades por componente, incluindo os estacionamentos de veículos. Na avaliação do acesso viário, apresenta o fluxo de acesso ao terminal. Na avaliação do TECA, apresenta a instalações, os acessos, estacionamento e operador atual. Também foram apresentados e avaliados os componentes de infraestrutura aeronáutica verificados no aeroporto. Na avaliação do sistema de aviação geral apresenta a localização e situação verificada para os hangares, estacionamento associado, acesso viário e condições observadas. Sistema de administração e manutenção bem como sistema de apoio às operações e às companhias aéreas e, finalmente, serviços aeroportuários e sistema de infraestrutura básica também encontram-se apresentados e avaliados.</t>
  </si>
  <si>
    <t>O estudo avalia individualmente a situação patrimonial das (seis) áreas que compõem o sítio aeroportuário, verificando a sua regularidade jurídica/imobiliária. O resultado encontra-se consolidado em tabela apresentada no Anexo 2.18. Realizou due diligence e obteve matrículas atualizadas (pasta do Anexo 2). Apresenta em planta a localização das áreas e a sua regularidade. Apresenta levantamento sobre cercas e acessos trazendo fotos e avaliação de suas condições.</t>
  </si>
  <si>
    <t>Demonstra que não há área militar.
Apresenta áreas a desaproriar, as detalha e relaciona a metragem de cada uma delas.
Zoneamento Funcional: Dividiu em várias categorias, relacionou a área de cada uma delas em ha.
Elabora PBZPAe PZPANA, avalia obstáculos e apresenta conclusão.
PZR: apresenta plano.</t>
  </si>
  <si>
    <t>Apresenta as não conformidades apontadas pela ANAC, e outras: necessidade de reparo no pavimento das THR, necessidade de melhorias na edificaçao TPS e necessidade de correção da drenagem do patio 2.</t>
  </si>
  <si>
    <t>Os memoriais de cálculo não são claros de modo a permitir a reprodução dos resultados pela Comissão (CAE). As fórmulas apresentadas não permitem concluir quanto a metodologia adotada para cálculo da capacidade dos componentes reversíveis nem daqueles de uso simultâneo (doméstico/internacional e embarque/desembarque).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Não avalia a capacidade da sala de embarque remoto de maneira individualizada, somente apresenta o agregado da capacidade das salas.
O tópico que trata dos resultados e discussões informa que apenas a capacidade da sala de embarque encontra-se sobrecarregada, enquanto a tabela com os resultados aponta deficiência de capacidade para os componentes sala de desembarque e emigração</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</si>
  <si>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Apresenta aeronave crítica incompatível com a operação do aeroporto. Na avaliação da capacidade das pistas de táxi, levou-se em conta a largura das pistas. Identifica limitações relacionadas com a utilização do sistema de pistas. Há um pequeno equívoco na restrição apresentada.</t>
  </si>
  <si>
    <t>Apresenta avaliação de capacidade estática e dinâmica do pátio principal. Nessa avaliação, são consideradas posições dos pátios 2 e 3, em apenas uma das configurações possíveis. Não compara a capacidade instalada com a demanda. O cálculo da capacidade do pátio de aviação geral está no item 1.3.5 (Sistema de Aviação Geral) e apresenta metodologia exclusivamente proporcional à área necessária para aeronaves asa fixa e asa móvel. Nesse item, a área considerada é equivalente ao pátio 3, mas as posições desse pátio já haviam sido consideradas na avaliação do pátio principal. Foram apresentados valores de demanda e capacidade em número de posições. Há inconsistência nos valores apresentados.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</si>
  <si>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Na avaliação de capacidade do estacionamento de veículos, não considera as vagas do estacionamento do TPS para atendimento à demanda. Apresenta metodologia utilizada na análise de capacidade do Sistema de Aviação Geral. Na avaliação de capacidade do Terminal identifica uma área referente ao TAG, em contradição à informação apresentada no item de avaliação das instalações existentes. Não foi possível identificar essa área nas instalações do aeroporto. O cálculo de capacidade dos Hangares desconsidera a configuração da área no aeroporto. Há inconsistência entre a avaliação de capacidade apresentada no Relatório e a planilha de dimensionamento.</t>
  </si>
  <si>
    <t xml:space="preserve">Atendido no item 2.1.2 Plano de Desenvolvimento existente: apresenta o PDIR da Infraero elaborado em 2012, o Planejamento da Infraestrutura Aeroportuária de SBNF elaborado pela UFSC em 2017 e o Estudo de Viabilidade Técnica elaborado pelo BB em 2015.
No item 2.4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</si>
  <si>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Evidenciado no item 2.3 Concepção para expansão, especialmente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</si>
  <si>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2.5 são identificadas as necessidades e intervenções a serem realizadas em cada etapa. Quanto ao sistema de pistas, há incosistência entre as informações apresentadas no item 2.3.3.2 e 2.5.1.1 com relação aos momentos previstos para ampliação de capacidade. O detalhamento está na planilha de dimensionamento. Nessa planilha, na apresentação das evoluções de capacidade dos principais componentes, há inconsistência nos períodos de ampliações nas capacidades. As alterações na capacidade de pista são apresentadas apenas como resultado final,  sem detalhamento de como as alterações de infraestrutura impactam na capacidade calculada. Na tabela 2-87, que apresenta um resumo das necessidades das instalações, há inconsistência no comprimento de pista apresentado para a situação atual, nas informações sobre o sistema de aviação geral (terminal e estacionamento) e nas informações referentes à área total da SCI.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Apesar de haver identificado, no item 2.5 e na planilha de dimensionamento, a necessidade de ampliação da SCI, não há ampliação no plano de desenvolvimento. Na fase 3 do plano de desenvolvimento, propõe a construção de uma saída rápida de pista (taxiway M), mas, segundo os dados apresentados, não há ampliação na capacidade de pista como resultado e nem haveria a necessidade dessa ampliação. O item 2.7 apresenta detalhes do anteprojeto de engenharia proposto para o aeroporto, segregado em 8 itens (dispostos nos subitens do item 2.7).</t>
  </si>
  <si>
    <t>No item 2.5.1 Fases de Planejamento e Cronograma Estimado de Obras são apresentados, para cada componente do sistema, as intervenções propostas, tendo em vista a alternativa sugerida e a análise de capacidade estimada para cada fase. No item 2.6, são detalhadas as intervenções propostas para cada fase de desenvolvimento, por componente de sistema. No caderno de plantas encontram-se os croquis das obras previstas para cada fase, com destaque para as áreas de ampliação. Nas plantas referentes às etapas do plano de desenvolvimento e na que apresenta a implantação final, não é possível identificar com clareza as áreas referentes aos componentes dos sistemas de apoio às operações, de apoio às companhias e do sistema industrial de apoio.</t>
  </si>
  <si>
    <t>Apresenta informações sobre obras em andamento, incluindo previsão de término, na tabela 2-1. Identifica que uma das obras não será concluída e utiliza o cronograma físico-financeiro como referência para estimar o andamento na data de referência. Não apresenta avaliação com relação ao quanto do executado poderá ser aproveitado na expansão prevista. Apresenta obras previstas na tabela 2-2, mas não considera que serão iniciadas antes da concessão.</t>
  </si>
  <si>
    <t>O cronograma estimado encontra-se no item 2.5.1.4 Cronograma Estimado e Fases de Operação 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(SBNF_CR-3Fases).</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</si>
  <si>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 componente SESCINC. No entanto, não há previsão de investimento em tal componente na Fase I.
Não foram apresentadas justificativas para demolições de pavimentos não necessários nas fases de expansão da infraestrutura e cujas áreas não serão utilizadas. 
</t>
  </si>
  <si>
    <t>Os preços relativos a equipamentos (pontes de embarque, sistema de bagagem, equipamentos eletromecânicos, equipamentos de raio-x) estão dispostos em planilha fornecida por consultoria externa. No entanto, não foram apresentadas as fontes dos dados ou material que justificasse a adequabilidade dos preços apresentados.</t>
  </si>
  <si>
    <t>Conforme disposto no item 2.6.2.1.12, estão previstas desapropriações de áreas na fase 1 e na fase Pista (4ª fase - para a alternativa de implantação da terceira PPD) do plano de desenvolvimento proposto, conforme descrito no item 2.6.3.1 Situação Patrimonial. Apresenta cotações de áreas semelhantes àquelas que se busca adquirir e calcula valor médio, conforme tabela 2-97. A descrição do CAPEX (por tipo e por fase) encontra-se nas tabelas 3-5 e 3-6, e o detalhamento dos dispêndios foi localizado na planilha "SBNF_capex_1.00" (e na planilha SBNF_CAPEX_1.00 - Fase Pista). No entanto, o valor médio do m² apresentado na tabela 2-97 difere daqueles constantes na planilha.</t>
  </si>
  <si>
    <t xml:space="preserve">Para o sistema de pistas, apresenta suas características e visão espacial, vias de serviço bem como avaliação de suas condições com alguns registros fotográficos. Apresenta registros fotográficos e avaliação das condições verificadas em visita para alguns componentes do TPS (balcões de check-in, via de acesso ao TPS, sala de embarque, restituição de bagagem e visão geral do térreo). Apresenta o pátio 1 com localização em mapa, principais características, fotos ilustrativas e avaliação das condições verificadas. Ilustra as vias de acesso ao aeroporto. O estacionamento de veículos é caracterizado, localizados em mapa e suas condições físicas são ilustradas e avaliadas. Área para equipamentos de rampa é apresentada, ilustrada e avaliada. O sistema terminal de cargas é apresentado brevemente (operador, área de estacionamento associado e acesso viário). Não apresenta fotos das condições verificadas para o sistema TECA.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da área de hangaragem, características e acesso viário, desacompanhados de registros fotográficos e avaliação das condições. Breve e superficial apresentação dos sistemas de administração e manutenção, de apoio às operações bem como do sistema de infraestrutura básica. Não foi localizado no caderno de plantas a situação atual do TPS, como nos demais aeroportos do bloco. </t>
  </si>
  <si>
    <t>Os documentos utilizados para a avaliação patrimonial do aeroporto são apresentados no Anexo 6. Obteve certidões atualizadas dos imóveis. Apura diferença de área entre os documentos imobiliários e o disposto no PDIR. Apresenta de modo geral áreas em planta mas não estão relacionadas com as áreas apresentadas da tabela 2.3.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Não foi localizada a titularidade de grande parte do sítio (inclusive da área do aeroporto), segundo a planta apresentada. Não analisa detalhadamente cada área, considerando a grande quantidade de áreas e as diversas situações em que se encontram. Apresenta a localização em planta das cercas patrimoniais e dos acessos ao aeroporto. Na avaliação de cercas e acessos, foram apresentadas ilustrações com as condições observadas somente para os acessos.</t>
  </si>
  <si>
    <t>Demonstra que não há area militar.
Zoneamento Funcional: Dividiu em várias categorias, relacionou a área de cada uma delas em m2.
Elabora PBZPAe PZPANA, avalia obstáculos e apresenta conclusão.
PZR: foi elaborado novo plano.</t>
  </si>
  <si>
    <t>Apresenta as não conformidades apontadas pela ANAC, e outras: ausencia RESA, patologias pavimento TWY B, sinalização THR desgastada, patologias na edificaçao TPS e patologias pavimento patio 1.</t>
  </si>
  <si>
    <t>O cálculo da capacidade das vias de acesso leva a um número de passageiros por veículo incompatível como utilizado para determinação da capacidade de meio fio.
Não foi demonstrada a origem da demanda por vagas para o estacionamento de veículos.
Não foi realizada avaliação da capacidade em termos de equipamentos instalados. Tal avaliação, realizada por outro grupo, agregou informação ao relatório.</t>
  </si>
  <si>
    <t>Apresenta avaliação de capacidade estática dos pátios 1, 2 e 3 conjuntamente. Há inconsistência nas informações apresentadas.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Não considera todas as possibilidades de utilização do pátio. Apresenta avaliação de capacidade para pátio de equipamentos de rampa.</t>
  </si>
  <si>
    <t>Apresenta metodologias de cálculo de capacidade do sistema Terminal de Cargas. Apresenta avaliação de capacidade para Terminal e Estacionamento. Na avaliação de capacidade do estacionamento de veículos considera área anteriormente indicada como estacionamento de caminhões. Apresenta comparações com a demanda em unidade de área. A planilha de dimensionamento apresenta o detalhamento dos cálculos. Há inconsistência na definição de demanda do TECA. Apresenta metodologia utilizada na análise de capacidade do Sistema de Aviação Geral. Não apresenta metodologia para a avaliação do estacionamento de veículos. Na avaliação dos hangares, considera a área total e compara a capacidade com a demanda em vagas. Há inconsistência na avaliação apresentada.</t>
  </si>
  <si>
    <t>Atendido no item 2.5 Estudos e Projetos: apresenta o PDIR da Infraero elaborado em 2012 e revisado em 2013 bem como o Estudo de Viabilidade Técnica elaborado pelo BB em 2015.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Verifica-se inconsistência com relação à eficiência da operação face o projeto de TWY apresentado.</t>
  </si>
  <si>
    <t>Evidenciados no item 2.4 os efeitos adversos de aerodromo no espaço aéreo e na capacidade; e os efeitos adversos OPEA na capacidade e no serviço de aeródromo nas principais áreas do aerodromo.
Propõe medidas mitigadoras para os efeitos adversos elencados (Tabela 2.84), bem como propõe melhorias no serviço de tráfego aéreo ao longo do período da  concessão na Tabela 2.85.</t>
  </si>
  <si>
    <t>Evidenciado no item 3.1 Evolução da demanda, além dos itens 3.4 Plano de Desenvolvimento e 3.5 Anteprojeto de Engenharia.</t>
  </si>
  <si>
    <t xml:space="preserve">O item 3.5 aponta as intervenções por sistemas, apresentando valores de área de expansão. As plantas apresentam as alterações propostas para os ciclos de investimentos identificados. As plantas que apresentam as intervenções propostas e a implantação final não possuem o mesmo detalhamento que a planta que identifica a situação atual, dificultando a identificação das alterações propostas. Nas plantas do plano de desenvolvimento, as áreas atualmente existentes (pistas de táxi, pátio e TPS atual) são representadas com diferenças com relação à situação atual. Nas plantas que representam os ciclos de intervenções, há erros na legenda, dificultando a identificação de algumas áreas. </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</si>
  <si>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para os estudos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enquanto para passageiros em pé foi utilizado o parâmetro dos ADRM 11.
O dimensionamento da Sala de Desembarque (restituição de bagagens) não observou as diretrizes de estudo, bem como não considerou o ADRM. Não foi adotada taxa de recirculação para dimensionamento de esteiras de bagagens. O nível de serviço adotado (ocupação linear por passageiros) é bastante distindo do informado na diretriz de estudo (0,9 informado na diretriz e 0,13 adotado pelo Consórcio).</t>
  </si>
  <si>
    <t xml:space="preserve">Apresenta no item 3.5.1 Investigações e Ensaios: resultado da geotecnia e caracterização do solo.
Apresenta no Anexo 2: relatório de sondagens (SPT) a percussão, com localização dos furos aderente ao plano de desenvolvimento proposto.
</t>
  </si>
  <si>
    <t xml:space="preserve">Não foi apresentado anteprojeto em nível de detalhamento suficiente para levantamento dos quantitativos adotados no cálculo do CAPEX. Os quantitativos por ciclo de investimento, presentes na aba "CAPEX", não possuem referência, de forma que não é possível rastrear sua origem
Os quantitativos utilizados para o cálculo dos custos unitários paramétricos, observados no arquivo "Preços unitários", não possuem rastreabilidade.
Não foram apresentados os projetos e orçamentos utilizados para a definição dos custos paramétricos utilizados pelo Consórcio.
</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</si>
  <si>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(R$ 6.255,60) foi 274,96 m³, valor distoante daqueles observados em construções do mesmo porte.
Ainda, considerando o pequeno espaço amostral, não é possível concluir que o custo paramétrico adotado possui precisão compatível com o exigido.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</si>
  <si>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t>
  </si>
  <si>
    <t xml:space="preserve">Para o sistema TPS, apresenta os componentes internos à edificação com dados de área, quantidades, registros fotográficos e avaliação das instalações. Estacionamento de veículos foi apresentado com registros fotográficos e avaliação das condições observadas. Sistema viário de acesso ao aeroporto é suscintamente apresentado. Para o sistema de pistas, as áreas foram identificadas em mapa (caderno de plantas, com divergências na nomenclatura das pistas de táxi apresentadas no relatório de engenharia), as estruturas foram caracterizadas e ilustradas. As pistas de táxi são apresentadas sem ilustrações nem avaliação das condições observadas. Para o sistema de pátios, as instalações são apresentadas em planta  e ilustradas em fotos. Áreas para equipamentos de rampa e vias de serviço são apresentadas suscintamente. Para o sistema TECA são apresentadas as edificações e o estacionamento de veículos associado bem como o acesso viário. Para o sistema de aviação geral os hangares e pátios associados são descritos suscintamente. Apresenta dois registros fotográficos para os hangares. Sistema de administrativas e manutenção é minimamente descrito. Sobre o sistema de apoio às operações, as instalações foram apresentadas, caracterizadas e ilustradas em foto(s).  Os sistemas de infraestrutura básica  foram apresentados e caracterizados com algumas ilustrações. Apresenta ainda as infraestruturas de aeronáutica identificadas no aeroporto, com suas características e registros fotográficos. A localização de cada componente de sistema é apresentada no caderno de plantas (Situação atual). </t>
  </si>
  <si>
    <t xml:space="preserve">Os documentos utilizados para a avaliação patrimonial do aeroporto são apresentados no Anexo 2. O texto limita-se à reprodução do disposto no PDir da Infraero. Não analisa individualmente cada área, considerando a grande quantidade de áreas e as diversas situações em que se encontram. Apresenta levantamento sobre cercas e acessos, trazendo localização em croqui e registro fotográfico com algumas observações sobre as condições verificadas. </t>
  </si>
  <si>
    <t>Demonstra que não há área militar.
Zoneamento Funcional: Dividiu em várias categorias, não relacionou a área de cada uma delas em m2.
Elabora PBZPA e PZPANA. Avaliou obstáculos e apresenta conclusão.
PZR: foi elaborado novo plano.</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</si>
  <si>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um equívoco no comprimento de pista considerado. Há inconsistência no cálculo de TOPD para a categoria de aeronave mais representativa do Mix do aeroporto. Utiliza hora pico para definição do Mix de aeronaves do aeroporto. Apresenta comparação com o valor de capacidade publicado pelo CGNA. Apresenta comparação com a demanda. Apresenta avaliação das pistas de táxi a partir da largura das pistas. Não identifica aeronaves que operam nas pistas. Utiliza como referência operação IFR de aeronaves 3C. Identifica limitações na utilização do sistema de pistas. Há um pequeno equívoco na restrição apresentada.</t>
  </si>
  <si>
    <t>A avaliação de capacidade dos pátios é apenas um levantamento das posições de pátio existentes. Apresenta diferentes configurações possíveis. Não há cálculo para a capacidade dinâmica. Não há comparação com a demanda. Apresenta avaliação de capacidade para pátio de equipamentos de rampa.</t>
  </si>
  <si>
    <t>Item 2.1 apresenta PDIR Infraero de 2013. 
Não apresenta alternativas para o desenvolvimento do aeroporto além do PDIR.</t>
  </si>
  <si>
    <t>Apresenta as fases de implantação no item 2.3.5: duas fases, conforme PDIR Infraero.
Para cada fase de desenvolvimento são apresentadas apenas as capacidades (em termos de unidade de construção) requeridas, não apresentando comparação entre a capacidade atual e a necessária. Ainda, não são apresentados dados da capacidade dos sistemas de pista e pátio, de forma que não foi possível analisar a adequação das datas de expansão da infraestrutura com os gatilhos de demanda.</t>
  </si>
  <si>
    <t>O item 2.3 apresenta o plano de desenvolvimento, identificando as infraestruturas necessárias ao longo do período da concessão. A tabela 2-3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Com relação ao sistema de infraestrutura aeronáutica, apresenta a necessidade de instalação de sistema de pouso por instrumentos ILS, mas não há motivação.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na implantação final. O anteprojeto não apresenta justificativa para a implantação da área de teste de motores. Apresenta necessidade de ampliação de área de hangares e pátios associados, apesar de ter apontado no item 2.3.3 que a disponibilização para aviação geral da atual área destinada a aviação comercial seria suficiente para o atendimento às previsões. Além disso, conforme informações da planilha de dimensionamento, a capacidade instalada atual  para hangares e pátios associados é superior à capacidade projetada para a fase 2.</t>
  </si>
  <si>
    <t xml:space="preserve">O item 2.3.5 aponta as alterações em cada fase de implantação. As plantas apresentam a configuração em cada uma das fases, mas não há destaque para as modificações. Nem todas as alterações mencionadas no relatório podem ser identificadas nas plantas. Nas plantas do plano de desenvolvimento, os sistemas PAPI são representados apenas na PPD 07/25, não há representação do sistema ILS que foi identificado como necessidade. </t>
  </si>
  <si>
    <t>Apresenta no anexo 3: relatório de IRI, disponibilizado pela Infraero, laudos de sondagens (ST) e de ensaios de caracterização do solo executados pelo próprio consórcio. Apresenta ainda laudos de ensaios não destrutivos (FWD e georadar) disponibilizados pela SAC.</t>
  </si>
  <si>
    <t xml:space="preserve">Apresenta informações sobre obras contratadas. Não apresenta avaliação sobe o andamento de obras em execução. Apesar de indicar contrato com previsão de término somente no final de 2020, considera que as obras serão concluídas. No item 2.4.6, apresenta a informação de que o término é previsto para novembro de 2021. </t>
  </si>
  <si>
    <t xml:space="preserve">Não apresenta as áreas necessárias para cada fase de planejamento proposto para o aeroporto nem calcula eventual custo / indenização.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</si>
  <si>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Considera que o concessionário somente passará a arcar com os custos e despesas operacionais após 95 dias (40 + 40 + 15), quando na verdade a diretriz estabelecida prevê para aeroportos com movimentação de passageiros igual ou superior a 1 MM/pax/ano prazo de 45 dias para o estágio II da Fase I-A (40 + 40 + 45).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acentuada com relação ao histórico verificado (de 24MM em 2018 para 18MM em 2022), entre outros. Não esclarece porque aplica o benchmarking na projeção de custos com pessoal somente no início da concessão e para os anos de 2026, 2031, 2036, 2041 e 2046, sendo que as fases de planejamento propostas divergem dessas datas, e não há previsão de tratamento dos dados quando da transição de classe III para Classe IV.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</si>
  <si>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Área para equipamentos de rampa e vias de acesso também são apresentados, localizados em planta e avaliados. Na avaliação do TPS, lista as áreas por componente, incluindo os estacionamentos de veículos. Na avaliação do acesso viário, apresenta o fluxo de acesso ao terminal. Na avaliação do TECA, apresenta as instalações, pátios associados, acessos e operador atual. Também foram apresentados e avaliados os componentes de infraestrutura aeronáutica verificados no aeroporto. Na avaliação do sistema de aviação geral, apresenta a localização e características dos hangares, além do acesso viário. Sistema de administração e manutenção bem como sistema de apoio às operações e às companhias aéreas e, finalmente, serviços aeroportuários 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</si>
  <si>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ao final do Anexo 2 (tabela 2.21). Realizou due diligence e obteve matrículas atualizadas (Anexo 2). Apresenta em planta a localização das áreas e a sua regularidade. Apresenta levantamento sobre cercas e acessos trazendo fotos e avaliação de suas condições.</t>
  </si>
  <si>
    <t>Divide em áreas civil/militar, as detalha e relaciona a metragem de cada uma delas.
Apresenta áeas a desaproriar, as detalha e relaciona a metragem de cada uma delas.
Zoneamento Funcional: Dividiu em várias categorias, relacionou a área de cada uma delas em ha. A área total em ha é diferente da área total em m2 informada no mesmo relatório, o que o grupo justifica como sendo áreas a desapropriar.
Elabora PBZPAe PZPANA, avalia obstáculos e apresenta conclusão.
PZR: foi elaborado novo plano.</t>
  </si>
  <si>
    <t>Apresenta as não conformidades apontadas pela ANAC, e outras: largura das TWY inferior ao requisito para aeronave crítica que opera no aeroporto; necessidade de melhoria do TPS.</t>
  </si>
  <si>
    <t xml:space="preserve">A planta da situação atual dos componentes operacionais não está de acordo com as características físicas atuais do terminal de passageiros.
Os memoriais de cálculo não são claros de modo a permitir a reprodução dos resultados pela Comissão (CAE). As fórmulas apresentadas não permitem concluir quanto a metodologia adotada para cálculo da capacidade dos componentes reversíveis nem daqueles de uso simultâneo (doméstico/internacional e embarque/desembarque).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t>
  </si>
  <si>
    <t xml:space="preserve">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Apresenta aeronave crítica incompatível com a operação do aeroporto. Na avaliação da capacidade das pistas de táxi, levou-se em conta a largura das pistas. Identifica limitações relacionadas com a utilização do sistema de pistas. </t>
  </si>
  <si>
    <t>Apresenta avaliação de capacidade estática e dinâmica do pátio principal. Nessa avaliação, são consideradas as posições de aviação geral em apenas uma das configurações possíveis. Não compara a capacidade instalada com a demanda. A avaliação da capacidade do pátio de aviação geral está no item 1.3.5 (Sistema de Aviação Geral) e apresenta metodologia exclusivamente proporcional à área necessária para aeronaves asa fixa e asa móvel.  Nesse item, não foi identificado pátio de aeronaves de aviação geral. Foram apresentados valores de demanda em número de posições, mas as posições do pátio voltadas à aviação geral não foram consideradas nessa avaliação de capacidade.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</si>
  <si>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Na avaliação de capacidade do estacionamento de veículos, não considera as vagas do estacionamento do TPS para atendimento à demanda.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</si>
  <si>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 xml:space="preserve">Para o cálculo da capacidade do SESCINC foram consideradas normas desatualizadas. </t>
  </si>
  <si>
    <t>Atendido no item 2.1.2 Plano de Desenvolvimento existente: apresenta o PDIR da Infraero elaborado em 2013 e o Estudo de Viabilidade Técnica elaborado pelo BB em 2014.
No item 2.4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</si>
  <si>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Evidenciados no item 2.2.7 os efeitos adversos de aerodromo na circulação (aeródromos e helipontos próximos), no espaço aéreo e na capacidade, os efeitos adversos OPEA, além de restrições causadas por alta demanda ou por meteorologia adversa.
Propõe medidas mitigadoras para os efeitos adversos elencados (Tabela 2-20), bem como propõe melhorias no serviço de tráfego aéreo ao longo do período da concessão na Tabela 2-22.</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</si>
  <si>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2.5 são identificadas as necessidades e intervenções a serem realizadas em cada etapa. Quanto ao sistema de pistas, há incosistência entre as informações apresentadas no item 2.3.3.2 e 2.5.1.1 com relação aos momentos previstos para ampliação de capacidade. O detalhamento está na planilha de dimensionamento. Nessa planilha, na apresentação das evoluções de capacidade dos principais componentes, há inconsistência nos períodos de ampliações nas capacidades. As alterações na capacidade de pista são apresentadas apenas como resultado final, sem detalhamento de como as alterações de infraestrutura impactam na capacidade calculada. Na tabela 2-82, que apresenta um resumo das necessidades das instalações, há inconsistência no comprimento de pista apresentado para a situação atual e na informação referente ao número de posições no pátio de aviação geral na situação atual.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Há inconsistência entre o número de posições de pátio consideradas no plano de desenvolvimento e a premissa que havia sido apresentada no item 2.4.1. Na fase 1 do plano de desenvolvimento, é proposta a demolição de uma área de hangar e pátio associado, mas a planilha de dimensionamento não considera essa redução na área de hangares do aeroporto. Na fase 2, é proposta a construção de uma saída rápida de pista (taxiway J), mas, segundo os dados apresentados, não há ampliação na capacidade na cabeceira menor, que deveria ter sua capacidade aumentada em função da redução do tempo de ocupação nas operações de pouso. O item 2.7 apresenta detalhes do anteprojeto de engenharia proposto para o aeroporto, segregado em 8 itens (dispostos nos subitens do item 2.7).</t>
  </si>
  <si>
    <t>Apresenta informações sobre obra em execução na tabela 2-1. Apresenta previsão de término, mas não avalia andamento da obra. Apresenta obras previstas na tabela 2-2, mas não considera que serão iniciadas antes da concessão.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</si>
  <si>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(SBLO_CR-2Fases). </t>
  </si>
  <si>
    <t>Os preços relativos a equipamentos (pontes de embarque, sistema de bagagem, equipamentos eletromecânicos, equipamentos de raio-x) estão dispostos em planilha fornecida por consultoria externa. No entanto, não foram apresentadas as fontes dos dados ou material que justifique a adequabilidade dos preços apresentados.</t>
  </si>
  <si>
    <t>Conforme disposto nos itens 2.6.2.1.12 e 2.6.2.2.12, estão previstas desapropriações de áreas nas fases 1 e 2 do plano de desenvolvimento proposto, conforme descrito no item 2.6.3.1 Situação Patrimonial. Apresenta cotações de áreas semelhantes àquelas que se busca adquirir e calcula valor médio, conforme tabelas 2-88 e 2-92. No entanto, as áreas propostas para serem desapropriadas na descrição dos itens 2.6.2.1.12 e 2.6.2.2.12 divergem daquelas apresentadas no item 2.6.3.1 Situação Patrimonial e também dos números apresentados na planilha "SBLO_capex_1.00". A descrição do CAPEX (por tipo e por fase) encontra-se nas tabelas 3-4 e 3-5, cujos resultados coincidem com os da planilha. Da análise da planilha (SBLO_capex_1.00) nota-se ainda que existe uma previsão de "GASTOS COM DESAPROPRIAÇÕES E BENFEITORIAS NA FASE - 1" com a descrição: "APT - Implantação e avaliação de Benfeitorias (Áreas Militares)", sem maior detalhamento do item, com referência a uma área de 1.887m² (aba "preços patrimonial").</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</si>
  <si>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que processaram mais de 1 Milhão de passageiros em 2018 e não propõe tratamento dos dados de modo a excluir outliers. Não foram considerados aeroportos internacionais em qualquer dos benchmarks apresentados.</t>
  </si>
  <si>
    <t xml:space="preserve">Due diligence dos contratos operacionais celebrados com a Infraero para o SBLO encontram-se reproduzidos no item 3.2.8 Due Diligence dos Contratos Operacionais. Não foi localizada análise dos contratos comerciais celebrados para o aeroporto, somente planilha com a disposição de suas principais características (na pasta do relatório econômico-financeiro). Não foi identificada análise dos contratos no tocante ao que dispõe a Portaria MTPA nº 143, de 6 de abril de 2017 (substituída pela Portaria MInfra nº 577, de 8 de novembro de 2019).  </t>
  </si>
  <si>
    <t xml:space="preserve">Para o sistema de pistas, apresenta suas características e visão espacial, bem como avaliação de suas condições com registro fotográfico das pistas e das vias de serviço. Apresenta registros fotográficos e avaliação das condições verificadas em visita para alguns componentes do TPS. Apresenta o pátio de aeronaves com localização em mapa, principais características e avaliação das condições observadas. Ilustra a localização das vias de serviço do sistema. Seus acessos e estacionamentos de veículos são caracterizados, localizados em mapa e suas condições físicas são avaliadas. Área para equipamentos de rampa foi apresentada, ilustrada e avaliada. Para o sistema terminal de cargas, são apresentados edificação, operador, estacionamento de veículos e vias de acesso viário, com localização em planta. Não apresenta fotos das condições verificadas para o sistema TECA, somente uma suscinta avaliação.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da área de hangaragem, características e acesso viário, desacompanhados de registros fotográficos e avaliação das condições. Os sistemas de administração e manutenção, de apoio às operações e de apoio às companhias aéreas, bem como o sistema de infraestrutura básica encontram-se apresentados e localizados em planta. Para alguns itens, há registro fotográfico e avaliação das condições obervadas (infraestrutura básica e SESCINC). A localização de cada componente de sistema é apresentada no caderno de plantas (Implantação atual), alguns sem legenda. </t>
  </si>
  <si>
    <t>Os documentos utilizados para a avaliação patrimonial do aeroporto são apresentados no Anexo 6. Obteve certidões atualizadas dos imóveis. Apura diferença de área entre os documentos imobiliários e o disposto no PDIR mas não localiza todas as matrículas. As informações das colunas da Tabela 2.3 divergem de seu título. Apresenta conclusões quanto à sua regularidade patrimonial com recomendações para solução das questões apresentadas. Apresenta de modo geral as áreas em planta mas algumas delas aparecem na figura 2.2 como de título não identificado. Apresenta a localização em planta das cercas patrimoniais e dos acessos ao aeroporto. Na avaliação de cercas e acessos, foi apresentada somente uma ilustração de um dos acessos.</t>
  </si>
  <si>
    <t>Apresenta as não conformidades apontadas pela ANAC, e outras: patologias diversas nas TWY E e A.</t>
  </si>
  <si>
    <t>O cálculo da capacidade das vias de acesso leva a um número de passageiros por veículo incompatível como utilizado para determinação da capacidade de meio-fio.
Não foi demonstrada a origem da demanda por vagas para o estacionamento de veículos.
Não foi realizada avaliação da capacidade em termos de equipamentos instalados. Tal avaliação, realizada por outro grupo, agregou informação ao relatório.</t>
  </si>
  <si>
    <t>Apresenta avaliação de capacidade estática dos pátios de aviação regular e aviação geral conjuntamente. Há inconsistência nas informações apresentadas.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Não considera as diferentes possibilidades de utilização do pátio. Apresenta avaliação de capacidade para pátio de equipamentos de rampa.</t>
  </si>
  <si>
    <t>Apresenta metodologias de cálculo de capacidade do sistema Terminal de Cargas. Apresenta avaliação de capacidade para Terminal e Estacionamento. Na avaliação de capacidade do estacionamento de veículos considera área anteriormente indicada como estacionamento de caminhões. Apresenta comparações com a demanda em unidade de área. A planilha de dimensionamento apresenta o detalhamento dos cálculos. Há inconsistência na definição de demanda do TECA. Apresenta metodologia utilizada na análise de capacidade do Sistema de Aviação Geral. Na avaliação dos hangares, considera a área total e compara a capacidade com a demanda em vagas. Há inconsistência no valor de área apresentado.</t>
  </si>
  <si>
    <t xml:space="preserve">Não foi seguida a diretriz para determinação da hora pico.
Não foi apresentado movimento de aeronaves utilizado para cálculo da demanda por serviços aeroportuários, de forma que não foi possível reproduzir o resultado apresentado pelo Grupo.
Não foi apresentada equação utilizada para cálculo do consumo de água bem como do volume de esgoto, de forma que não foi possível reproduzir os resultados apresentados pelo Grupo.
Para o cálculo da capacidade do SESCINC foram consideradas normas desatualizadas.
</t>
  </si>
  <si>
    <t>Atendido ao apresentar no item 2.5.1 o PDIR da Infraero, elaborado em 2013 e revisado em 2014; e no item 2.5.2, com o Estudo de Viabilidade Técnica elaborado pelo BB em 2014.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</si>
  <si>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Evidenciados no item 2.4 os efeitos adversos de aerodromo no espaço aéreo e na capacidade; e os efeitos adversos OPEA na capacidade e no serviço de aeródromo nas principais áreas do aerodromo.
Propõe medidas mitigadoras para os efeitos adversos elencados (Tabela 2.97), bem como propõe melhorias no serviço de tráfego aéreo ao longo do período da concessão na Tabela 2.98.</t>
  </si>
  <si>
    <t>Evidenciado no item "3.1 Evolução da demanda" e nos itens "3.4 Plano de Desenvolvimento" e "3.5 Anteprojeto de Engenharia".</t>
  </si>
  <si>
    <t>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No item 3.4.1.1, identifica a necessidade de implantação de acostamentos compatíveis com a largura total requerida para operação de aeronaves código D, apesar de utilizar uma aeronave 4C como aeronave crítica. Propõe a implantação de RESA em ambas as cabeceiras, mas não menciona a solução de não conformidades identificadas previamente, como a presença de muro patrimonial e valeta de drenagem na área. O item 3.5 apresenta alguns detalhes do anteprojeto de engenharia proposto. Há inconsistência nas informações apresentadas na tabela 3.50 e na planilha de capacidade de pista com relação à configuração da PPD após intervenções. Com relação ao sistema de infraestrutura aeronáutica, aponta a necessidade de calibração de auxílios em função do deslocamento de cabeceira e que adições não serão necessárias, mas não há detalhamento. Não apresenta comparação entre áeas requeridas e áreas disponibilizadas na implantação final. Para algumas das expansões propostas, não são mencionadas as infraestruturas que atualmente ocupam o espaço utilizado.</t>
  </si>
  <si>
    <t xml:space="preserve">O item 3.5 aponta as intervenções por sistemas, apresentando valores de área de expansão. As plantas apresentam as alterações propostas para os ciclos de investimentos identificados. As plantas que apresentam as intervenções propostas e a implantação final não possuem o mesmo detalhamento que a planta que identifica a situação atual, dificultando a identificação das alterações propostas. </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</si>
  <si>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de estudo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 enquanto para passageiros em pé foi utilizado o parâmetro dos ADRM 11.
O dimensionamento da Sala de Desembarque (restituição de bagagens) não observou as diretrizes para os estudos, bem como não considerou o ADRM. Não foi adotada taxa de recirculação para dimensionamento de esteiras de bagagens. O nível de serviço adotado (ocupação linear por passageiros) é bastante distindo do informado na diretriz de estudo (0,9 informado na diretriz e 0,13 adotado pelo Consórcio).</t>
  </si>
  <si>
    <t>Apresenta no item 3.5.1  caracterização do solo e o resultado de sondagens (sondagens ST e SPT) e ensaios geotécnicos realizados no âmbito do PIL Aeroportos. 
Apresenta no Anexo 2: laudos de ensaios não destrutivos (FWD e georadar) disponibilizados pela SAC.
O plano de desenvolvimento apresentado não propõe obras de grande vulto, atribui-se nota integral ao item.</t>
  </si>
  <si>
    <t>Apresenta informação de que não foram identificadas obras em andamento em maio/2019.Apresenta informação sobre obra contratada, incluindo previsão de término.</t>
  </si>
  <si>
    <t xml:space="preserve">Não foram apresentadas as fontes dos preços de equipamentos (pontes de embarque, sistemas de bagagens, equipamentos eletromecânicos, equipamentos de raio-x).
As composições unitárias oriundas do SICRO não estão considerando o Momento de Transporte dos materiais, bem como não estão sendo considerados o custo do Fator de Influência de Tráfego. Dessa forma, as composiões apresentam custos inferiores aos que deveriam ser considerados.
</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</si>
  <si>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(R$ 6.444,9) foi 274,96 m³, valor distoante daqueles observados em construções do mesmo porte.
Ainda, considerando o pequeno espaço amostral, não é possível concluir que o custo paramétrico adotado possui precisão compatível com o exigido.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</si>
  <si>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(valor global de serviços de vigia) e aqueles apresentados na tabela constante no final do item (cujos dados constam ainda no Anexo 5 (Due Diligence dos Contratos Operacionais).</t>
  </si>
  <si>
    <t xml:space="preserve">Para o sistema TPS, apresenta os componentes internos à edificação com dados de área e quantidades. Foram apresentados registros fotográficos de cada componente com breve avaliação das condições verificadas. Estacionamento de veículos foi apresentado, caracterizado, ilustrado e avaliado. Meio-fio e acesso ao aeroporto são suscintamente apresentados. Para o sistema de pistas, as áreas foram identificadas em mapa (caderno de plantas, com divergência de nomenclatura das pistas de táxi entre o relatório de engenharia e a planta de situação atual do aeroporto), as estruturas foram caracterizadas e ilustradas. As pistas de táxi são apresentadas sem ilustrações nem avaliação das condições observadas. O pátio é apresentado, locaizado em planta e suas condições observadas foram ilstradas. Áreas para equipamentos de rampa e vias de serviço são apresentados e ilustrados. Para o sistema TECA são apresentadas a localização das edificações e informações sobre estacionamento de veículos e acesso viário. Para o sistema de aviação geral a área de hangaragem bem como seu acesso é descrita, localizada em planta e ilustrada. Sistema de administrativas e manutenção é minimamente descrito. Sobre o sistema de apoio às operações, as instalações foram apresentadas, caracterizadas e ilustradas em foto(s). Breve descrição dos sistemas de apoio às companhias aéreas. Boa descrição dos sistemas de infraestrutura básica (energia elétrica, água potável, ar condicionado, etc). Apresenta ainda as infraestruturas de aeronáutica identificadas no aeroporto, com suas características e localização em planta da biruta. A localização de cada componente de sistema é apresentada no caderno de plantas (Situação atual). </t>
  </si>
  <si>
    <t xml:space="preserve">Os documentos utilizados para a avaliação patrimonial do aeroporto são apresentados no Anexo 2. O texto limita-se à reprodução do disposto no PDir da Infraero. Com relação a processos de desaproprição já finalizados, considera informações desatualizadas. Apresenta em planta a localização das áreas. Apresenta levantamento sobre cercas e acessos, trazendo registros fotográficos dos acessos com algumas observações sobre as condições verificadas. </t>
  </si>
  <si>
    <t>Demonstra que não há área militar.
Zoneamento Funcional: Dividiu em várias categorias, não relacionou a área de cada uma delas em m2.
Elabora PBZPA e PZPANA; avaliou obstáculos e apresenta conclusão.
PZR: foi elaborado novo plano.</t>
  </si>
  <si>
    <t xml:space="preserve">A capacidade de meio fio apresentada na tabela resumo diverge, em unidade de medida, da fórmula de capacidade apresentada.
Não foi possível reproduzir os resultados para componentes de uso simultâneo, uma vez que estes apresentam parâmetros de nível de serviço distintos e a equação apresentada considerou uma área única, sem apresentar como foi ponderado o uso doméstico/internacional ou embarque/desembarque.
Os valores apresentados para áreas instaladas nas tabelas resumo de cada componente (tabela 1-22 em diante) divergem daqueles constantes na tabela resumo do aeroporto (tabela 1-19).
O cálculo dos componentes de circulação (conector/corredor) não levaram em consideração a metodologia apontada como diretriz para o estudo.
Não é apresentada capacidade das vias de acesso.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</si>
  <si>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publicado pelo CGNA. Apresenta comparação com a demanda.  Apresenta avaliação das pistas de táxi a partir da largura das pistas. Não identifica aeronaves que operam nas pistas. Utiliza como referência operação IFR de aeronaves 3C. Identifica  limitações na utilização do sistema de pistas.</t>
  </si>
  <si>
    <t>A avaliação de capacidade dos pátios é apenas um levantamento das posições de pátio existentes. Há inconsistência nas informações apresentadas. Menciona a existência de diferentes configurações possíveis, mas não há detalhamento. Não há cálculo para a capacidade dinâmica. Não há comparação com a demanda. Apresenta avaliação de capacidade para pátio de equipamentos de rampa.</t>
  </si>
  <si>
    <t>Item 2.1 apresenta PDIR Infraero de 2013. 
Não apresenta alternativas para o desenvolvimento do aeroporto além daquelas constantes no PDIR da Infraero.</t>
  </si>
  <si>
    <t>Avaliação evidenciada no item 2.3.4.
Possíveis restrições apresentadas sem aprofundamento.
Não apresenta, de forma estruturada, proposta de medidas mitigadoras ou de melhorias no serviço de tráfego aéreo.</t>
  </si>
  <si>
    <t>Apresenta as fases de implantação no item 2.3.5: duas fases, conforme PDIR Infraero. Propõe a construção de novo terminal (fase I).
No item 2.3.2.1 é apontado que as intervenções de vada fase (I e II) atenderão as demandas previstas para os anos finais de cada fase, quais sejam: 2034 e 2051.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</si>
  <si>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Há inconsistência nas distâncias declaradas para a PPD proposta apresentadas na tabela 2-4. No mesmo item, há inconsistência nas informações apresentadas com relação às áreas necessárias para Pátio de Aviação Geral e Hangares e Pátios Associados.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na implantação final.  Não menciona tratamento dado para algumas não conformidades identificadas. Há inconsistência entre a configuração do pátio de aeronaves de passageiros apresentada na planta da fase 2 do plano de desenvolvimento e o levantamento de necessidades apresentado na tabela 2-2. Prevê operação de aeronaves código D, mas não há implantação de pista de táxi de acesso à cabeceira ou de área de giro, contrariando previsão regulamentar.</t>
  </si>
  <si>
    <t>O item 2.3.5 aponta as alterações em cada fase de implantação. As plantas apresentam a configuração em cada uma das fases, mas não há destaque para as modificações. Nem todas as alterações mencionadas no relatório podem ser identificadas nas plantas. Há inconsistência na representação da faixa preparada e na representação da faixa de pista.</t>
  </si>
  <si>
    <t>Apresenta no anexo 3: laudos de sondagens (ST) e de ensaios de caracterização do solo; executados pelo próprio consórcio. Apresenta ainda laudos de ensaios não destrutivos (FWD e georadar) e de sondagens e ensaios geotécnicos; disponibilizados pela SAC.</t>
  </si>
  <si>
    <t>Apresenta informação de obra contratada com previsão de término e detalhamento das intervenções previstas. Não há detalhamento sobre o andamento da obra. Considera prazo contratual para conclusão.</t>
  </si>
  <si>
    <t xml:space="preserve">As composições de custo obtidas do SICRO não consideraram o Momento de Transporte e o Fator de Tráfego, de forma que o preço global foi subestimado
Não foram apresentadas justificativas para o uso de custos unitários fixos (independente da cidade ou estado). O custo da composição "base ou sub-base em rachão", por exemplo, deveria variar de forma a levar em consideração as diferenças de custo de mão de obra, aluguel e disponibilidade de equipamentos, disponibilidade de materiais e jazidas, distâncias de transporte entre outras.
Não foram apresentadas planilhas contendo as composições de custo unitário de elaboração própria.
Não foram apresentadas cotações realizadas, incluindo as cotações dos equipamentos eletromecânicos. </t>
  </si>
  <si>
    <t xml:space="preserve">Os quantitativos de investimentos por fase de ampliação, presentes na planilha Novo Resumo Capex (Anexo 4), não puderam ser verificados a partir das plantas de desenvolvimento apresentadas.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</si>
  <si>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Considera que o concessionário somente passará a arcar com os custos e despesas operacionais após 95 dias (40 + 40 + 15), quando na verdade a diretriz estabelecida prevê para aeroportos com movimentação de passageiros igual ou superior a 1 MM/pax/ano prazo de 45 dias para o estágio II da Fase I-A (40 + 40 + 45).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acentuada com relação ao histórico verificado (de 16MM em 2018 para 9,4MM em 2022). Não esclarece porque aplica o benchmarking na projeção de custos com pessoal somente no início da concessão e para os anos de 2026, 2031, 2036,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</si>
  <si>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Área para equipamentos de rampa e vias de acesso também são apresentadas, localizadas em planta, ilustradas e avaliadas. Na avaliação do TPS, lista as áreas por componente, incluindo os estacionamentos de veículos. Na avaliação do acesso viário, apresenta o fluxo de acesso ao terminal. Na avaliação do TECA, apresenta as instalações, pátios associados, estacionamento, acesso, operador atual e condições apresentadas. Também foram apresentados, ilustrados e avaliados os componentes de infraestrutura aeronáutica verificados no aeroporto. Na avaliação do sistema de aviação geral, apresenta a localização e descrição dos hangares, além do acesso viário e localização em planta. Sistema de administração e manutenção bem como sistema de apoio às operações e às companhias aéreas e, finalmente, serviços aeroportuários e sistema de infraestrutura básica também encontram-se apresentados e avaliados detalhadamente.</t>
  </si>
  <si>
    <t>O estudo avalia individualmente a situação patrimonial das áreas que compõem o sítio aeroportuário, verificando a sua regularidade jurídica/imobiliária. O resultado encontra-se consolidado em tabela apresentada no Anexo 2. Realizou due diligence e obteve matrículas atualizadas (pasta do Anexo 2). Apresenta em planta a localização das áreas e a sua regularidade. Apresenta levantamento sobre cercas e acessos trazendo fotos e avaliação de suas condições.</t>
  </si>
  <si>
    <t xml:space="preserve">Demonstra que não há área militar.
Demonstra que não há áeas a desaproriar.
Zoneamento Funcional: Dividiu em várias categorias, relacionou a área de cada uma delas em ha.
Elabora PBZPAe PZPANA, avalia obstáculos e apresenta conclusão.PZR: apresenta plano.
</t>
  </si>
  <si>
    <t>Apresenta as não conformidades apontadas pela ANAC, e outras: necessidade de correção no sistema de drenagem, ausência de RESA, distâncias abaixo do requisito (eixo da RWY e eixo da TWY paralela; largura das TWY; patio 1 e TWY paralela dentro da faixa de pista; hangares de AG contituem obstáculo À superfície de transição).</t>
  </si>
  <si>
    <t>Os memoriais de cálculo não são claros de modo a permitir a reprodução dos resultados pela Comissão (CAE). As fórmulas apresentadas não permitem concluir quanto a metodologia adotada para cálculo da capacidade dos componentes reversíveis nem daqueles de uso simultâneo (doméstico/internacional e embarque/desembarque).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apresentam a análise da capacidade instalada dos processadores utilizam a demanda da 30ª hora mais movimentada e não o critério de 1,3 vezes a aeronave com maior número de assentos.</t>
  </si>
  <si>
    <t>Apresenta avaliação de capacidade estática e dinâmica do pátio principal. Nessa avaliação, são consideradas as posições de aviação geral, em apenas uma das configurações possíveis. Não compara a capacidade instalada com a demanda. A avaliação da capacidade do pátio de aviação geral está no item 1.3.5 (Sistema de Aviação Geral) e apresenta metodologia exclusivamente proporcional à área necessária para aeronaves asa fixa e asa móvel.  Nesse item, a área considerada é equivalente ao pátio de aviação geral, mas as posições desse pátio já haviam sido consideradas na avaliação do pátio principal. Foram apresentados valores de demanda e capacidade em número de posições. Há inconsistência nos valores apresentados.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</si>
  <si>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</si>
  <si>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 xml:space="preserve">Para o cálculo da capacidade do SESCINC foram consideradas normas desatualizadas.
</t>
  </si>
  <si>
    <t>Atendido no item 2.1.2 Plano de Desenvolvimento existente: apresenta o PDIR da Infraero elaborado em 2012; o Planejamento da Infraestrutura Aeroportuária de SBJV elaborado pela UFSC em 2017 e o Estudo de Viabilidade Técnica elaborado pelo BB em 2014.
No item 2.4 Estudo de Alternativas, são apresentadas 4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</si>
  <si>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os efeitos adversos de aerodromo na circulação (aeródromos e helipontos próximos); no espaço aéreo e na capacidade; os efeitos adversos OPEA; além de restrições causadas por alta demanda ou por meteorologia adversa.
Propõe medidas mitigadoras para os efeitos adversos elencados, bem como propõe melhorias no serviço de tráfego aéreo ao longo do período da  concessão na Tabela 2-23.
</t>
  </si>
  <si>
    <t>Evidenciado no item 2.3 Concepção para expansão; especialmente no item 2.3.1 Análise da Demanda.
Apresenta as necessidades de infraestrutura previstas para atender às expectativas de demanda alinhadas com o previsto no relatório de estudo de mercado.
Foi identificada uma incoerência nas equações 2-6; 2-8 e 2-10:  levam a resultados sobredimensionados, uma vez que não consideram o tempo de ocupação por passageiro.</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</si>
  <si>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 alteração na capacidade de pista é apresentada apenas como resultado final,  sem detalhamento de como as alterações de infraestrutura impactam na capacidade calculada. Na tabela 2-84, que apresenta um resumo das necessidades das instalações, há inconsistência no comprimento de pista apresentado para a situação atual e na informação referente ao número de posições no pátio de aviação geral na situação atual.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Na fase 1 do plano de desenvolvimento, é prevista a utilização do TPS existente como TAG, mas a planilha de dimensionamento não considera essa áera. Não avalia no plano de desenvolvimento a possibilidade de instalação de sistema de luzes de aproximação ou o impacto operacional resultante da sua inexistência numa pista de aproximação de precisão. O item 2.7 apresenta detalhes do anteprojeto de engenharia proposto para o aeroporto, segregado em 8 itens (dispostos nos subitens do item 2.7).</t>
  </si>
  <si>
    <t>Apresenta informações sobre obra em andamento. A obra foi identificada como suspensa e seu andamento estimado foi apresentado na tabela 2-1. Menciona que a informação sobre o andameno foi obtida na visita, mas não apresenta data da visita. Identifica que a obra será aproveitada no plano de desenvolvimento proposto. Não identifica outras obras previstas.</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</si>
  <si>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(SBJV_CR-2Fases). </t>
  </si>
  <si>
    <t>Conforme disposto no item 2.6.2.1.12, estão previstas desapropriações de áreas na fase 1 do plano de desenvolvimento proposto, conforme descrito no item 2.6.3.1 Situação Patrimonial. Apresenta cotações de áreas semelhantes àquelas que se busca adquirir e calcula valor médio, conforme tabela 2-90. A descrição do CAPEX (por tipo e por fase) encontra-se nas tabelas 3-5 e 3-6, e o detalhamento do dispêndio foi localizado na planilha "SBJV_capex_1.00". Identificada incoerência na soma das áreas de expansão 2 e 3 (áreas a desapropriar) da tabela 2-85 com os dados apresentados na planilha disposta na sequência.</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</si>
  <si>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operados pela INFRAERO em 2018 de mesma classe (classe II) e não propõe tratamento dos dados de modo a excluir outliers. Não foram considerados aeroportos internacionais em qualquer dos benchmarks apresentados.</t>
  </si>
  <si>
    <t xml:space="preserve">Due diligence dos contratos operacionais celebrados com a Infraero para o SBJV encontram-se reproduzidos no item 3.2.8 Due Diligence dos Contratos Operacionais. Não foi localizada análise dos contratos comerciais celebrados para o aeroporto, somente planilha com a disposição de suas principais características (na pasta do relatório econômico-financeiro). Não foi identificada análise dos contratos no tocante ao que dispõe a Portaria MTPA nº 143, de 6 de abril de 2017 (substituída pela Portaria MInfra nº 577, de 8 de novembro de 2019).  </t>
  </si>
  <si>
    <t>Para o sistema de pistas e vias de serviço, apresenta suas características e visão espacial, bem como avaliação de suas condições com registro fotográfico. Ilustra a faixa de pista na planta (Implantação Atual) divergente do considerado no relatório, em ambas as cabeceiras. Apresenta registros fotográficos e avaliação das condições verificadas em visita para os componentes do TPS. Apresenta o pátio de aeronaves com localização em mapa, principais características e ilustrações apontando fragilidades. Seus acessos e estacionamentos de veículos são caracterizados, localizados em mapa e suas condições físicas são avaliadas e ilustradas. Áreas para equipamentos de rampa foram apresentadas, ilustradas e avaliadas. Para o sistema terminal de cargas, são apresentados pátio, estacionamento de veículos e vias de acesso viário, com localização em planta e breve avaliação das condições.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da área de hangaragem, características e acesso viário, desacompanhados de registros fotográficos e avaliação das condições. Os sistemas de administração e manutenção, de apoio às operações e de apoio às companhias aéreas, bem como o sistema de infraestrutura básica encontram-se apresentados e localizados em planta. Para alguns itens, há registro fotográfico e avaliação das condições obervadas (infraestrutura básica, SESCINC, administrativo). Para energia elétrica e climatização a descrição é bastante simplificada A localização de cada componente de sistema é apresentada no caderno de plantas (Implantação atual). A planta da situação atual do TPS (caderno de plantas) não tem legenda para os componentes do terminal.</t>
  </si>
  <si>
    <t>Os documentos utilizados para a avaliação patrimonial do aeroporto são apresentados no Anexo 6. Obteve certidões atualizadas dos imóveis. Apura diferença de área entre os documentos imobiliários e o disposto no PDIR da Infraero. Apresenta de modo geral as áreas em planta, sem indicação em legenda das áreas constantes na tabela 2.5. Apresenta a localização em planta das cercas patrimoniais e dos acessos ao aeroporto. Na avaliação de cercas e acessos, foi apresentada somente uma ilustração de cerca.</t>
  </si>
  <si>
    <t>Apresenta as não conformidades apontadas pela ANAC, e outras: patologias pavimento TWY A e THR 15: fim vida util; patologias no patio 1; no patio de aviaçao geral. Obras nova SCI paralisadas desde 2015. Sistema de tratamento de efluentes deve ser revisto.</t>
  </si>
  <si>
    <t>O cálculo da capacidade das vias de aceso leva a um número de passageiros por veículo incompatível como utilizado para determinação da capacidade de meio fio.
O valor apresentado para a capacidade do saguão de embarque está incompatível com os dados apresentados.
Não foi demonstrada a origem da demanda por vagas para o estacionamento de veículos.
Não foi realizada avaliação da capacidade em termos de equipamentos instalados. Tal avaliação, realizada por outro grupo, agregou informação ao relatório.</t>
  </si>
  <si>
    <t>Apresenta avaliação de capacidade estática dos pátios de aviação regular e aviação geral conjuntamente. Considera diferentes possibilidades de utilização do pátio. Há inconsistência nas informações apresentadas.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Apresenta avaliação de capacidade para pátio de equipamentos de rampa.</t>
  </si>
  <si>
    <t>Apresenta metodologias de cálculo de capacidade do sistema Terminal de Cargas. Apresenta avaliação de capacidade para Terminal e Estacionamento. Na avaliação de capacidade do estacionamento de veículos considera área anteriormente indicada como estacionamento de caminhões. Apresenta comparações com a demanda em unidade de área. A planilha de dimensionamento apresenta o detalhamento dos cálculos. Há inconsistência na definição de demanda do TECA. Apresenta metodologia utilizada na análise de capacidade do Sistema de Aviação Geral. Na avaliação dos hangares, considera a área total e compara a capacidade com a demanda em vagas.</t>
  </si>
  <si>
    <t xml:space="preserve">Atendido no item 2.5 Estudos e Projetos: apresenta o PDIR da Infraero elaborado em 2012 e revisado em 2013; e o Estudo de Viabilidade Técnica elaborado no âmbito do PIL em 2014.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</si>
  <si>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2.99), bem como propõe melhorias no serviço de tráfego aéreo ao longo do período da  concessão na Tabela 2.100.</t>
  </si>
  <si>
    <t>Evidenciado no item 3.1 Evolução da demanda., além dos itens 3.4 Plano de Desenvolvimento e 3.5 Anteprojeto de Engenharia.</t>
  </si>
  <si>
    <t>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No item 3.3.1, menciona como premissa a manutenção das operações IFR não precisão, apesar do aeroporto possuir operação precisão CAT I na cabeceira 33.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O item 3.5 apresenta alguns detalhes do anteprojeto de engenharia proposto. Há inconsistência nas informações apresentadas na tabela 3.50 com relação à configuração da PPD após intervenções. Considera no plano de desenvolvimento uma realocação do TECA incompatível com o contrato de concessão já existente. Com relação ao sistema de infraestrutura aeronáutica, aponta a necessidade de calibração de auxílios em função do deslocamento de cabeceira e que adições não serão necessárias, mas não há detalhamento. Não apresenta comparação entre áeas requeridas e áreas disponibilizadas na implantação final. Para algumas das expansões propostas, não são mencionadas as infraestruturas que atualmente ocupam o espaço utilizado.</t>
  </si>
  <si>
    <t xml:space="preserve">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</si>
  <si>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de estudo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 enquanto para passageiros em pé foi utilizado o parâmetro dos ADRM 11.
O dimensionamento da Sala de Desembarque (restituição de bagagens) não observou as diretrizes de estudo, bem como não considerou o ADRM. Não foi adotada taxa de recirculação para dimensionamento de esteiras de bagagens. O nível de serviço adotado (ocupação linear por passageiros) é bastante distindo do informado na diretriz de estudo (0,9 informado na diretriz e 0,13 adotado pelo Consórcio).</t>
  </si>
  <si>
    <t>Apresenta no item 3.5.1  caracterização do solo e o resultado de sondagens (sondagens ST, SPT e PI/SPP) e ensaios geotécnicos realizados no âmbito do PIL Aeroportos. 
Apresenta no anexo 2: laudos de ensaios não destrutivos (FWD e georadar); disponibilizados pela SAC.
O plano de desenvolvimento apresentado não propõe obras de grande vulto, atribui-se nota integral ao item.</t>
  </si>
  <si>
    <t>Identifica obra parada desde 2015, mas não avalia andamento da obra ou utilização no plano de desenvolvimento. Identifica serviços previstos.</t>
  </si>
  <si>
    <t xml:space="preserve">Não foi apresentado anteprojeto em nível de detalhamento suficiente para levantamento dos quantitativos adotados no cálculo do CAPEX. Os quantitativos por ciclo de investimento, presentes na aba "CAPEX", não possuem referência, de forma que não é possível rastrear sua origem.
Os quantitativos utilizados para o cálculo dos custos unitários paramétricos, observados no arquivo "Preços unitários", não possuem rastreabilidade.
Não foram apresentados os projetos e orçamentos utilizados para a definição dos custos paramétricos utilizados pelo Consórcio.
</t>
  </si>
  <si>
    <t xml:space="preserve">Não foram apresentadas as fontes dos preços de equipamentos (pontes de embarque, sistemas de bagagens, equipamentos eletromecânicos, equipamentos de raio-x).
As composições unitárias oriundas do SICRO não estão considerando o Momento de Transporte dos materiais, bem como não consideram o custo do Fator de Influência de Tráfego. Dessa forma, as composiões apresentam custos inferiores aos que deveriam ser considerados.
</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</si>
  <si>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(R$ 6.255,6) foi 274,96 m³, valor distoante daqueles observados em construções do mesmo porte.
Ainda, considerando o pequeno espaço amostral, não é possível concluir que o custo paramétrico adotado possui precisão compatível com o exigido.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</si>
  <si>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(Movida) e aqueles apresentados na tabela constante no final do item (cujos dados constam ainda no Anexo 5 - Due Diligence dos Contratos Operacionais).</t>
  </si>
  <si>
    <t xml:space="preserve">Para o sistema TPS, apresenta os componentes internos à edificação com dados de área e quantidade, registros fotográficos e avaliação das condições observadas. Estacionamento de veículos foi apresentado, descrito e ilustrado. Meio-fio é suscintamente apresentado. Para o sistema de pistas, as áreas foram identificadas em mapa (caderno de plantas), as estruturas foram caracterizadas, e as condições do pavimento da PPD foram apresentadas. As pistas de táxi são apresentadas sem ilustrações nem avaliação das condições observadas. Para o sistema de pátios, as instalações são apresentadas em planta e as condições ilustradas por meio de foto. Área para equipamentos de rampa e vias de serviço são apresentadas e ilustradas. Boa descrição do sistema TECA, com apresentação das instalações, do estacionamento de veículos associado bem como do acesso viário. As áreas são localizadas em planta. Para o sistema de aviação geral o hangar e pátio associado são descritos e ilustrados. Sistema de administrativas e manutenção é minimamente descrito. Sobre o sistema de apoio às operações, as instalações foram apresentadas, caracterizadas e ilustradas em foto(s). Boa descrição dos sistemas de infraestrutura básica (energia elétrica, água potável, ar condicionado, etc). Apresenta ainda as infraestruturas de aeronáutica identificadas no aeroporto, com suas características e registros fotográficos. A localização de cada componente de sistema é apresentada no caderno de plantas (Situação atual). </t>
  </si>
  <si>
    <t xml:space="preserve">Os documentos utilizados para a avaliação patrimonial do aeroporto são apresentados no Anexo 2. A análise limita-se a uma pequena parcela das áreas que compõem o sítio. Divide o sítio em duas áreas e apresenta em planta a localização. Apresenta levantamento sobre cercas e acessos, trazendo localização em croqui e registro fotográfico com algumas observações sobre as condições verificadas. </t>
  </si>
  <si>
    <t xml:space="preserve">Não foi seguida a diretriz para determinação da hora pico.
A capacidade de meio fio apresentada na tabela resumo diverge, em unidade de medida, da fórmula de capacidade apresentada.
Não foi possível reproduzir os resultados para componentes de uso simultâneo, uma vez que estes apresentam parâmetros de nível de serviço distintos e a equação apresentada considerou uma área única, sem apresentar como foi ponderado o uso doméstico/internacional ou embarque/desembarque.
Os valores apresentados para áreas instaladas nas tabelas resumo de cada componente (tabela 1-35 em diante) divergem daqueles constantes na tabela resumo do aeroporto (tabela 1-32).
O cálculo dos componentes de circulação (conector/corredor) não levaram em consideração a metodologia apontada como diretriz para o estudo.
Não é apresentada capacidade das vias de acesso.
</t>
  </si>
  <si>
    <t>Item 2.1 apresenta PDIR Infraero de 2013. 
Item 2.2 apresenta o plano do Novo Complexo Logístico, ora em desenvolvimento no sítio.
Não apresenta alternativas para o desenvolvimento do aeroporto além do PDIR.</t>
  </si>
  <si>
    <t>Avaliação evidenciada no item 2.3.4.
Não apresenta possíveis restrições além da meteorologia.
Não apresenta, de forma estruturada, proposta de medidas mitigadoras ou de melhorias no serviço de tráfego aéreo.</t>
  </si>
  <si>
    <t>Apresenta as fases de implantação no item 2.3.5.
Duas fases, conforme PDIR Infraero.
No item 2.3.2.1 é apontado que as intervenções de vada fase (I e II) atenderão as demandas previstas para os anos finais de cada fase, respectivamente 2034 e 2051.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</si>
  <si>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 xml:space="preserve">O item 2.3 apresenta o plano de desenvolvimento, identificando as infraestruturas necessárias ao longo do período da concessão. A tabela 2-2 apresenta valores de capacidade instalada e projetada, levando em consideração as projeções de demanda. Menciona necessidade de redução de comprimento de pista para inserção de ILS, o que está incoerente com as plantas do plano de desenvolvimento.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Com relação ao sistema de infraestrutura aeronáutica, apresenta a necessidade de realocação do PAPI na cabeceira 15 e inserção do ILS, em função de redução da PPD com deslocamento da cabeceira 15 em 100m. Entretanto, a cabeceira deslocada já é considerada na situação atual, eliminando a necessidade das alterações mencionadas.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na implantação final. O anteprojeto não apresenta justificativa para a implantação da área de teste de motores. </t>
  </si>
  <si>
    <t>O item 2.3.5 aponta as alterações em cada fase de implantação. As plantas apresentam a configuração em cada uma das fases, mas não há destaque para as modificações. Nem todas as alterações mencionadas no relatório podem ser identificadas nas plantas. Nas plantas do plano de desenvolvimento, há inconsistência na representação de áreas de stopway.</t>
  </si>
  <si>
    <t>Apresenta no anexo 3: medições de IRI (disponibilizadas pela Infraero); laudos de sondagens (ST) e de ensaios de caracterização do solo; executados pelo próprio consórcio. Apresenta ainda laudos de sondagens (SPT, ST, PI/SPP) e de ensaios geotécnicos; disponibilizados pela SAC.</t>
  </si>
  <si>
    <t>Somente identifica a licitação para concessão, incuindo ampliação, do  novo complexo logístico de cargas. Não identifica obras inacabadas no aeroporto. No item refente à avaliação das condições existentes, menciona a obra de construção da nova SCI, paralisada desde 2015. Apesar de informar que a obra está aparentemente em condiçoes de aproveitamento, não apresenta avaliação do quanto pode ser aproveitado.</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</si>
  <si>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Não esclarece porque aplica o benchmarking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</si>
  <si>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Divide em áreas civil/militar, as detalha e relaciona a metragem de cada uma delas.
Zoneamento Funcional: Dividiu em várias categorias, relacionou a área de cada uma delas em ha. A área total em ha é diferente da área total em m2 informada no mesmo relatório, o que o grupo justifica como sendo uma parte da área militar área de manobras.
Elabora PBZPAe PZPANA, avalia obstáculos e apresenta conclusão.
PZR: foi elaborado novo plano.</t>
  </si>
  <si>
    <t>Apresenta as não conformidades apontadas pela ANAC, e outras: ausência de RESA, distâncias abaixo do recomendado (eixo da RWY e eixo da TWY paralela; largura das TWY A e B; faixa de pista com áreas fora do limite patrimonial próximo à THR 36; esta não possui blastpad adequado)</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</si>
  <si>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 comparação de capacidade instalada com demanda é apresentada em planilha em anexo. Avalia as capacidades das pistas de táxi para as respectivas aeronaves críticas consideradas. Na avaliação da capacidade das pistas de táxi, levou-se em conta a largura das pistas.</t>
  </si>
  <si>
    <t>Apresenta avaliação de capacidade do pátio utilizando metodologia exclusivamente proporcional à área necessária para aeronaves asa fixa e asa móvel.  Não foram consideradas as posições existentes e as diferentes configurações do pátio. Foram apresentados valores de demanda e capacidade em número de posições. Há inconsistência entre a demanda em posições apresentada no Relatório e o valor calculado na planilha de dimensionamento. Identifica a inexistência de demanda e de capacidade instalada de pátio de equipamento de rampa.</t>
  </si>
  <si>
    <t>Identifica inexistência de capacidade e demanda para o Sistema Terminal de Cargas.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</si>
  <si>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Atendido no item 2.1.2 Plano de Desenvolvimento existente: apresenta o PDIR da Infraero elaborado em 2014.
No item 2.4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</si>
  <si>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as possíveis restrições compostas pelos efeitos adversos de aerodromo na circulação (aeródromos e helipontos próximos); no espaço aéreo e na capacidade; os efeitos adversos OPEA; além de restrições causadas por alta demanda ou por meteorologia adversa.
Propõe medidas mitigadoras (Tabela 2-14) para os efeitos adversos elencados, bem como propõe melhorias no serviço de tráfego aéreo ao longo do período da  concessão na Tabela 2-16.
</t>
  </si>
  <si>
    <t xml:space="preserve">Evidenciado no item 2.3 Concepção para expansão; especialmente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</si>
  <si>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Na tabela 2-20, que identifica as necessidades futuras dos principais sistemas do aeroporto, a necessidade de posições de pátio apontada na situação atual difere da demanda apresentada na avaliação de capacidade do sistema de aviação geral.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 alteração na capacidade de pista é apresentada apenas como resultado final,  sem detalhamento de como as alterações de infraestrutura impactam na capacidade calculada. Na tabela 2-70, que apresenta um resumo das necessidades das instalações, há inconsistência no comprimento de pista apresentado para a situação atual e na informação referente ao número de posições no pátio de aviação geral na situação atual, com relação às informações apresentadas nos itens anteriores.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hangares e pátios associados. O item 2.7 apresenta detalhes do anteprojeto de engenharia proposto para o aeroporto.</t>
  </si>
  <si>
    <t xml:space="preserve">Aponta que não há obras em andamento no aeroporto e informa sobre a inexistência de obras futuras previstas. </t>
  </si>
  <si>
    <t>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(SBBI_CR-2Fases). Nesse cronograma, são consideradas intervenções na edificação do Terminal de Passageiros, apesar de não haver essa edificação no aeroporto.</t>
  </si>
  <si>
    <t xml:space="preserve">Não foi possível rastrear, a partir dos projetos apresentados, os quantitativos utilizados nas composições de custo unitário inseridas dentro das "Planilhas Referenciais".  
Não foi identificado no relatório de engenharia a justificativa para investimento em extensão, construção e ampliação da TWY B, presente na planilha de CAPEX (Fase I)
Não foram apresentadas justificativas para demolições de pavimentos não necessários nas fases de expansão da infraestrutura e cujas áreas não serão utilizadas. </t>
  </si>
  <si>
    <t xml:space="preserve">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3-5 e 3-6. </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</si>
  <si>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operados pela INFRAERO em 2018 com movimentação predominante de operações de aviação geral e não propõe tratamento dos dados de modo a excluir outliers. Não foram considerados aeroportos internacionais em qualquer dos benchmarks apresentados.</t>
  </si>
  <si>
    <t xml:space="preserve">Due diligence dos contratos operacionais celebrados com a Infraero para o SBBI encontram-se reproduzidos no item 3.2.8 Due Diligence dos Contratos Operacionais. Não foi localizada análise dos contratos comerciais celebrados para o aeroporto, somente planilha com a disposição de suas principais características (na pasta do relatório econômico-financeiro). Não foi identificada análise dos contratos no tocante ao que dispõe a Portaria MTPA nº 143, de 6 de abril de 2017 (substituída pela Portaria MInfra nº 577, de 8 de novembro de 2019).  </t>
  </si>
  <si>
    <t xml:space="preserve">Para o sistema de pistas, apresenta suas características e visão espacial, bem como avaliação de suas condições com registro fotográfico do pavimento da PPD. Vias de serviço são apresentadas, ilustradas e avaliadas. São apresentadas de forma suscinta as infraestruturas aeronáuticas e suas funcionalidades, sem registro fotográfico ou avaliação das condições observadas. Apresenta o a localização em planta do TAG e pátio associado com breve descrição das condições observadas para o TAG e registros fotográficos do pavimento do pátio. O estacionamento de veículos (principal) é caracterizado, localizado em mapa e suas condições físicas são avaliadas e ilustradas. Apresenta de modo geral a localização da área de hangaragem (em planta) e sua via de acesso, com breve avaliação das condições observadas e registro fotográfico de um dos hangares e pátio associado. Os sistemas de administração, de apoio às operações bem como o sistema de infraestrutura básica encontram-se apresentados e localizados em planta. Para alguns itens, há registro fotográfico e avaliação das condições obervadas (infraestrutura básica). A localização de cada componente de sistema é apresentada satisfatoriamente no caderno de plantas (Implantação atual). </t>
  </si>
  <si>
    <t>Os documentos utilizados para a avaliação patrimonial do aeroporto são apresentados no Anexo 6. Obteve certidões atualizadas dos imóveis. Apresenta conclusões quanto à sua regularidade patrimonial com recomendações para solução das questões apresentadas. Apresenta de modo geral quatro áreas em planta mas não identifica quais delas estão na tabela 2.3 e apresenta áreas conhecidas como sendo de título não identificado. Apresenta a localização em planta das cercas patrimoniais e dos acessos ao aeroporto. Na avaliação de cercas e acessos, avalia e ilustra as condições observadas.</t>
  </si>
  <si>
    <t>Divide em áreas civil/militar e relaciona a metragem de cada uma delas.
Zoneamento Funcional: Dividiu em várias categorias, relacionou a área de cada uma delas em m2.
Elabora PBZPA e PZPANA; avaliou obstáculos e apresenta conclusão.
PZR: foi elaborado novo plano.</t>
  </si>
  <si>
    <t xml:space="preserve">Apresenta as não conformidades apontadas pela ANAC e apresenta patologias generalizadas no pavimento da RWY e dos patios (fim da vida util do pavimento). Item também constante das não conformidades apontadas pela ANAC.
</t>
  </si>
  <si>
    <t>Apresenta informações gerais para o pátio no item referente a avaliação das instalações  existentes. No item correspondente à capacidade do pátio de aviação regular, informa a inexistência de posições, mas apresenta valores de demanda.  Menciona a utilização dos tempos médios de permanência das aeronaves e do Mix de aeronaves que operam no pátio para comparação  da demanda com as posições existentes, mas os parâmetros considerados não foram apresentados. Menciona a necessidade de implantação de pátio para equipamentos de rampa, mas sem parâmetros considerados.</t>
  </si>
  <si>
    <t>Informa sobre a inexistência de Sistema Terminal de Cargas. Apresenta metodologia utilizada na análise de capacidade do Sistema de Aviação Geral. Há inconsistência na capacidade identificada para o estacionamento de veículos. Na avaliação dos hangares, considera a área total e compara a capacidade com a demanda em vagas.</t>
  </si>
  <si>
    <t>Atendido ao apresentar no item 2.5.1 . o PDIR da Infraero elaborado em 2014 e revisado em 2018.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</si>
  <si>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2.62), bem como propõe melhorias no serviço de tráfego aéreo ao longo do período da  concessão na Tabela 2.63.</t>
  </si>
  <si>
    <t xml:space="preserve">O item 3.2 apresenta a metodologia utilizada no dimensionamento e as necessidades futuras do aeroporto, estimadas a partir da projeção de demanda. Apresenta a configuração da PPD (distâncias declaradas) para a configuração final e menciona que algumas aeronaves continuarão a ter restrições, mas não apresenta detalhamento, a tabela 3.19 resume as necessidades futuras identificadas. Nessa tabela, não há informação para a necessidade de pista. Além disso, há indicaçào de necessidade de área de TPS e estacionamento de veículos associado, mas não há previsão de demanda de aviação comercial para o aeroporto.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Apresenta elevação na capacidade de pista como consequência das intervenções, mas as alteracões geométricas apresentadas na planilha de cálculo da capacidade de pista não condizem com as alterações mencionadas no relatório.  O item 3.5 apresenta alguns detalhes do anteprojeto de engenharia proposto.  Há inconsistência nas informações apresentadas na tabela 3.23 com relação à configuração da PPD após intervenções. Havia informado no item 3.3.2, como desvantagem da alternativa escolhida, a necessidade de realocação do PAA, mas essa alteração não é  mencionada no plano de desenvolvimento. Além disso, menciona no item 3.5.3.7 que não há necessidade de adequação em nenhum componente do sistema de apoio às operações. Não apresenta comparação entre áeas requeridas, considerando a demanda, e áreas disponibilizadas na implantação final.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</si>
  <si>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Além disso, há diversas áreas não identificadas.</t>
  </si>
  <si>
    <t>Apresenta no item 3.5.1 a caracterização geoambiental e geomorfológica.
Apresenta relatório de sondagem (SPT) no Anexo 2.
O plano de desenvolvimento apresentado não propõe obras de grande vulto, atribui-se nota integral ao item.</t>
  </si>
  <si>
    <t>Aponta a inexistência de obras em andamento ou previstas.</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</si>
  <si>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(R$ 6.255,6) foi 274,96 m³, valor distoante daqueles observados em construções do mesmo porte.
Ainda, considerando o pequeno espaço amostral, não é possível concluir que o custo paramétrico adotado possui precisão compatível com o exigido.
O relatório de engenharia trata a edificação presente no sítio ora trata como TPS, ora como TAG. No plano de desenvolvimento, é tratado da ampliação exclusivamente do TAG, equanto a planilha de CAPEX apresenta custos para ampliação tanto do TAG quanto do TPS.
</t>
  </si>
  <si>
    <t xml:space="preserve">Para o terminal de passageiros, apresenta planta com a localização dos componentes bem como suas áreas, ilustradas em fotos. Estacionamento de veículos é apresentado com registros fotográficos e avaliação das condições observadas. Meio-fio é suscintamente apresentado. Para o sistema de pistas, as áreas foram identificadas em mapa (caderno de plantas), as estruturas foram caracterizadas, todavia não constam avaliação das condições observadas nem registro fotográfico. Para o sistema de pátios, as instalações são apresentadas em planta e as condições verificadas são ilustradas por meio de duas fotos. Apresenta comprimento total das vias de serviço, ilustrada na figura 1-13. Afirma não haver terminal dedicado à aviação geral e considera o TAG como TPS. Por outro lado, afirma que o pátio de aviação geral é o que se encontra em frente ao "TPS", com área distinta da apresentada no item 1.1.3.1 (pátios de aeronaves). As áreas de cada hangar foram apresentadas com breve descrição do estado de conservação do pavimento dos pátios associados. Há registros fotográficos da área de hangaragem com identificação de cada um na planta do aeroporto (caderno de plantas). Sistema de administrativas e manutenção é minimamente descrito. Sobre o sistema de apoio às operações, as instalações foram apresentadas, caracterizadas e ilustradas em foto(s). Boa descrição dos sistemas de infraestrutura básica (energia elétrica, água potável, ar condicionado, etc). Apresenta ainda as infraestruturas de aeronáutica identificadas no aeroporto com suas características e registro fotográfico da estação meteorológica. A localização de cada componente de sistema é apresentada satisfatoriamente no caderno de plantas (Situação atual). </t>
  </si>
  <si>
    <t xml:space="preserve">Os documentos utilizados para a avaliação patrimonial do aeroporto são apresentados no Anexo 2. Afirma que os documentos disponibilizados no Data Room totalizam área superior à área total do aeroporto, "não sendo possível identificar a localização de cada imóvel." Apresenta uma planta com discriminação de área civil e militar, sem maiores conclusões. Apresenta levantamento sobre cercas e acessos, trazendo desenho das cercas com registros fotográficos dos acessos e algumas observações sobre as condições verificadas. </t>
  </si>
  <si>
    <t>Aponta áreas militares.
Zoneamento Funcional: Dividiu em várias categorias, não relacionou a área de cada uma delas em m2.
PBZPA e PZPANA:avaliou obstáculos nos planos existentes e apresenta conclusão
PZR: foi avaliado.</t>
  </si>
  <si>
    <t xml:space="preserve">Os dados de capacidade requerida apresentados no relatório estão divergentes daqueles apresentados na planilha de dimensionamento. 
Há divergência entre a área requerida apresentada no relatório em relação à diretriz enviada para a elaboração do estudo, uma vez que esta apontou que para aeroportos Clase I-A não deveriam ser avaliados com base nos Parâmetros Mínimos de Dimensionamento. Não há justificativa no relatório para a aplicação de tais parâmetro, bem como para a utilização dos parâmetros encontrados no ADRM 10ª edição.
A capacidade de meio fio apresentada na tabela resumo diverge, em unidade de medida, da fórmula de capacidade apresentada.
Os valores apresentados para áreas instaladas nas tabelas resumo de cada componente (tabela 1-17 em diante) divergem daqueles constantes na tabela resumo do aeroporto (tabela 1-14).
O cálculo dos componentes de circulação (conector/corredor) não levaram em consideração a metodologia apontada como diretriz para o estudo.
Não é apresentada capacidade das vias de acesso.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</si>
  <si>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das pistas de táxi a partir da largura das pistas. Não identifica aeronaves que operam nas pistas. Utiliza como referência operação IFR de aeronaves 2B. Identifica  limitações relacionadas com a utilização do sistema de pistas.</t>
  </si>
  <si>
    <t>A avaliação de capacidade do pátio é apenas um levantamento das posições de pátio existentes. Apresenta diferentes configurações possíveis. Não há cálculo para a capacidade dinâmica. Não há comparação com a demanda. Apresenta avaliação de capacidade para pátio de equipamentos de rampa.</t>
  </si>
  <si>
    <t>Informa sobre a inexistência de Sistema Terminal de Cargas. Apresenta informações gerais sobre o Sistema de Aviação Geral, mas não apresenta avaliação de capacidade.</t>
  </si>
  <si>
    <t>Item 2.1 apresenta PDIR Infraero, revisado em 2018. 
Não apresenta alternativas para o desenvolvimento do aeroporto além do PDIR.</t>
  </si>
  <si>
    <t>Avaliação evidenciada no item 2.3.4: o desenvolvimento proposto não trará impacto na circulação aérea existente.
Não apresenta, de forma estruturada, proposta de medidas mitigadoras ou de melhorias no serviço de tráfego aéreo.</t>
  </si>
  <si>
    <t>Apresenta as fases de implantação no item 2.3.5.
Duas fases, conforme PDIR Infraero.
No item 2.3.2.1 é apontado que as intervenções de cada fase (I e II) atenderão as demandas previstas para os anos finais de cada fase, respectivamente 2034 e 2051.</t>
  </si>
  <si>
    <t>O item 2.3.5 aponta as alterações em cada fase de implantação. As plantas apresentam a configuração em cada uma das fases, mas não há destaque para as modificações. Nem todas as alterações mencionadas no relatório podem ser identificadas nas plantas. Não há representação dos sistemas PAPI. Não apresenta identificação das novas pistas de táxi.</t>
  </si>
  <si>
    <t>Apresenta no item 2.4.5.2.2 resultados de ensaio de caracterização do solo.
Apresenta no anexo 3: laudos de sondagens (ST e PI); executados pelo próprio consórcio.
O plano de desenvolvimento apresentado não propõe obras de grande vulto, atribui-se nota integral ao item.</t>
  </si>
  <si>
    <t>Afirma não haver obras e serviços em execução, contratados ou em licitação.</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</si>
  <si>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brusca com relação ao histórico verificado (de 4,3MM em 2018 para 2,2MM em 2022) e crescimento nos custos relacionados a Materiais de Consumo (59M em 2018 para 113,9M em 2022). Não esclarece porque aplica o benchmarking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</si>
  <si>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projeção para despesas com pessoal, serviços de terceiros, utilidades e serviços públicos, material de consumo e outros custos e despesas (materiais de consumo ambientais, IPTU, despesas de transição, ressarcimento pelos EVTEA selecionados e remuneração do leiloeiro). Para projetar o custo com pessoal, assume que os atuais contratos operacionais do aeroporto serão rescindidos antes do início da concessão e que o “privado” celebrará novos contratos para a prestação de serviços de terceiros, desconsiderando riscos de descontinuidade dos serviços. Descreve a composição de cada item de custos. Considera projeção do PIB para estimar custos de terceiros, utilidades e materiais de consumo. Utiliza dados de outro aeroporto (Bagé) para calcular custos e despesas com Utilidades (a partir de 2023) para o SBBI. Afirma no item 3.2.2. CUSTOS E DESPESAS COM SERVIÇOS DE TERCEIROS ter atualizado os valores de R$/WLU médio para a data base dos estudos, janeiro de 2019, mas na planilha (WLU AEROPORTOS CONCESSIONADOS) todos os valores de custos e despesas foram trazidos para 2018. Não leva em conta a evolução da infraestrutura prevista no plano de desenvolvimento proposto para o aeroporto em nenhum item de custo. Não foram localizados no relatório os possíveis ganhos de escala potenciais da gestão conjunta dos aeroportos estimados para o estudo, apesar de constar no relatório consolidado do bloco sul (econômico-financeiro) que a redução de 16,38% nos custos de pessoal foi definida nos estudos de engenharia e afins.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</si>
  <si>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ilustrações e avalação de suas condições. Área para equipamentos de rampa e vias de serviço também são apresentadas, ilustradas e avaliadas. Na avaliação do TPS, lista e avalia as áreas por componente, incluindo os estacionamentos de veículos. Na avaliação do acesso viário, apresenta o fluxo de acesso ao terminal, ilustrando o meio fio. Também foram apresentados, ilustrados e avaliados os componentes de infraestrutura aeronáutica verificados no aeroporto. Na avaliação do sistema de aviação geral apresenta a localização e situação verificada para os hangares e acesso viário aos mesmos. Sistema de administração e manutenção bem como sistema de apoio às operações e às companhias aéreas e, finalmente, serviços aeroportuários 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</si>
  <si>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ao final do Anexo 2. Realizou due diligence e obteve matrícula atualizada (Anexo 2). Apresenta em planta a localização das áreas e a sua regularidade. Apresenta levantamento sobre cercas e acessos trazendo fotos e avaliação de suas condições.</t>
  </si>
  <si>
    <t>Demonstra que não há área militar.
Zoneamento Funcional: Dividiu em várias categorias, relacionou a área de cada uma delas em ha.
Demonstra que há áreas da faixa de pista fora do limite patrimonial.
Elabora PBZPAe PZPANA, avalia obstáculos e apresenta conclusão.
PZR: apresenta plano elementar.</t>
  </si>
  <si>
    <t>Apresenta as não conformidades apontadas pela ANAC, e mais: não há provimento de RESA nem blastpad nas 2 THR; há uma edificação que é obstáculo à superficie de transição; a TWY tem largura inferior ao requisito para a aeronave crítica que opera no aeroporto.</t>
  </si>
  <si>
    <t>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que realizam a análise da capacidade instalada dos processadores utiliza a demanda da 30ª hora mais movimentada e não o critério de 1,3 vezes a aeronave com maior número de assentos.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</si>
  <si>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 comparação de capacidade instalada com demanda é apresentada em planilha em anexo. Avalia a capacidade da pista de táxi para a aeronave crítica considerada. Na avaliação da capacidade das pistas de táxi, levou-se em conta a largura das pistas.</t>
  </si>
  <si>
    <t>Apresenta avaliação de capacidade estática e dinâmica do pátio. Nessa avaliação, são consideradas as posições de aviação geral em apenas uma configuração. Não compara a capacidade instalada com a demanda. A avaliação da capacidade do pátio de aviação geral está no item 1.3.5 (Sistema de Aviação Geral) e apresenta metodologia exclusivamente proporcional à área necessária para aeronaves asa fixa e asa móvel.  Nesse item, foi apresentada uma área relativa a um pátio de aviação geral. Não foi possível identificar essa área nas instalações do aeroporto. Foram apresentados valores de demanda e capacidade em número de posições. Há inconsistência entre a demanda em posições apresentada no Relatório e o valor calculado na planilha de dimensionamento. Foi apresentada avaliação de capacidade para os pátios de equipamentos de rampa.</t>
  </si>
  <si>
    <t xml:space="preserve">Identifica inexistência de Sistema Terminal de Cargas. Apresenta valores de demanda de movimentação de carga. Apresenta metodologia utilizada na análise de capacidade do Sistema de Aviação Geral. Não identifica capacidade instalada com relação a hangares e pátios associados, apesar de ter identificado área de um hangar em condições de funcionamento no item referente à avaliação das instalações existentes. </t>
  </si>
  <si>
    <t>Atendido no item 2.1.2 Plano de Desenvolvimento existente: apresenta o PDIR da Infraero elaborado em 2014 e o Estudo de Viabilidade Técnica elaborado pelo BB também em 2014, no âmbito do PIL.
No item 2.4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</si>
  <si>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as possíveis restrições compostas pelos efeitos adversos de aerodromo na circulação (aeródromos próximos); no espaço aéreo e na capacidade (não há); os efeitos adversos OPEA; além de restrições causadas por alta demanda ou por meteorologia adversa.
Propõe medidas mitigadoras (Tabela 2-18) para os efeitos adversos elencados, bem como propõe melhorias no serviço de tráfego aéreo ao longo do período da  concessão na Tabela 2-20.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</si>
  <si>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2.3.2, afirma equivocadamente que o aeroporto passa a ser Classe II em 2030. Na tabela 2-29, que identifica as necessidades futuras dos principais sistemas do aeroporto, a necessidade de posições de pátio de aviação geral apontada na situação atual difere da demanda apresentada na avaliação de capacidade do sistema de aviação geral.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 alteração na capacidade de pista é apresentada apenas como resultado final,  sem detalhamento de como as alterações de infraestrutura impactam na capacidade calculada. Na tabela 2-80, que apresenta um resumo das necessidades das instalações, há inconsistência na informação referente ao número de posições no pátio de aviação geral na situação atual. No item 2.6 são apresentados o plano de desenvolvimento do sítio aeroportuário e as etapas de implantação. No plano de desenvolvimento proposto, não avalia o reposicionamento da pista de táxi de acesso ao hangar considerando a configuração proposta para o pátio de aviação comercial. Na fase 1 do plano de desenvolvimento, propõe adequação do acostamento da PPD 06/24, que não existe e nem é requerido, conforme informações apresentadas anteriormente. O dimensionamento apresentado na planilha em anexo apresenta inconsistências quando comparado com a metodologia apresentada para a análise da capacidade instalada para os hangares e pátios associados do sistema de aviação geral. O item 2.7 apresenta detalhes do anteprojeto de engenharia proposto para o aeroporto.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</si>
  <si>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(SBPK_CR-2Fases). </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</si>
  <si>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operados pela INFRAERO em 2018 com movimentação de até 200.000 passageiros (classe I) e não propõe tratamento dos dados de modo a excluir outliers. Não foram considerados aeroportos internacionais em qualquer dos benchmarks apresentados.</t>
  </si>
  <si>
    <t xml:space="preserve">Due diligence dos contratos operacionais celebrados com a Infraero para o SBPK encontram-se reproduzidos no item 3.2.8 Due Diligence dos Contratos Operacionais. Não foi localizada análise dos contratos comerciais celebrados para o aeroporto, somente planilha com a disposição de suas principais características (na pasta do relatório econômico-financeiro). Não foi identificada análise dos contratos no tocante ao que dispõe a Portaria MTPA nº 143, de 6 de abril de 2017 (substituída pela Portaria MInfra nº 577, de 8 de novembro de 2019).  </t>
  </si>
  <si>
    <t xml:space="preserve">Para o sistema de pistas, apresenta suas características e visão espacial, bem como avaliação de suas condições com registro fotográfico das inconformidades observadas. Vias de serviço são apresentadas, ilustradas e avaliadas. Apresenta registros fotográficos e avaliação das condições verificadas em visita para os componentes do TPS. Apresenta o pátio de aeronaves com localização em mapa, principais características e condições do pavimento. Ilustra a localização das vias de acesso ao aeroporto. O estacionamento de veículos é caracterizado, localizados em mapa, ilustrado e suas condições físicas são avaliadas. São apresentadas de forma suscinta as infraestruturas aeronáuticas e suas funcionalidades, sem registro fotográfico ou avaliação das condições. Para o sistema de aviação geral são apresentadas as posições no pátio. As condições são as mesmas apresentadas anteriormente, já que o pátio é compartilhado. Apresenta a localização das áreas de hangaragem, descrição e acesso viário, desacompanhados de avaliação das condições. Os sistemas de administração e manutenção, de apoio às operações, bem como o sistema de infraestrutura básica encontram-se apresentados, localizados em planta, ilustrados e avaliados. A localização de cada componente de sistema é apresentada satisfatoriamente no caderno de plantas (Implantação atual). </t>
  </si>
  <si>
    <t>Os documentos utilizados para a avaliação patrimonial do aeroporto são apresentados no Anexo 6. Obteve certidões atualizadas dos imóveis. Afirma apurar diferença de área entre os documentos imobiliários e o disposto no PDIR mas as informações apresentadas coincidem com as dispostas no Plano Diretor.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Apresenta a localização em planta das cercas patrimoniais e dos acessos ao aeroporto. Na avaliação de cercas e acessos, apresenta localização em planta da cerca patrimonial e dos acessos com ilustração de um dos acessos.</t>
  </si>
  <si>
    <t>Demonstra que não há area militar.
Zoneamento Funcional: Dividiu em várias categorias, relacionou a área de cada uma delas em m2.
Elabora PBZPA e PZPANA; avaliou obstáculos e apresenta conclusão.
PZR: foi elaborado novo plano.</t>
  </si>
  <si>
    <t>Apresenta as não conformidades apontadas pela ANAC. Menciona patologias no pavimento.
Menciona algumas NC ambientais e sistema viário (acesso) ruim.</t>
  </si>
  <si>
    <t>Informa sobre a inexistência de Sistema Terminal de Cargas. Apresenta metodologia utilizada na análise de capacidade do Sistema de Aviação Geral. Na avaliação dos hangares, considera a área total e compara a capacidade com a demanda em vagas.</t>
  </si>
  <si>
    <t xml:space="preserve">Atendido ao apresentar no item 2.5.1 o PDIR da Infraero elaborado e revisado em 2014; bem como o Estudo de Viabilidade Técnica elaborado em 2014 pelo BB no âmbito do PIL.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Em que pese o PDIR Infraero propor que a pista seja 4C, o item 3.2.1.1.1 declara que a aeronave de projeto é o AT72. Ainda, em que pese os ábacos constantes das figura 3.13 e 3.14 terem como legenda B767, entende-se serem do ATR pelas informações apresentadas. As alternativas apresentadas no item 3.3.1 preveem como aeronave crítica de projeto geométrico o B737-800. Finalmente, o item 3.4.1 menciona o "ATR72 - Airplane Characteristics for Airport Planning".
</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</si>
  <si>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2.82), bem como propõe melhorias no serviço de tráfego aéreo ao longo do período da  concessão na Tabela 2.83.</t>
  </si>
  <si>
    <t>Evidenciado no item 3.1 Evolução da demanda., além dos itens 3.4 Plano de Desenvolvimento e 3.5 Anteprojeto de Engenharia.
Prevê um ciclo único de investimento no terminal de passageiros.</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</si>
  <si>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Apresenta redução na capacidade de pista como consequência das intervenções, mas as alteracões geométricas apresentadas na planilha de cálculo da capacidade de pista não condizem com as alterações mencionadas no relatório. No item 3.4.1.2, há inconsistência entre as informações apresentadas no texto, as informações da figura 3.25 e a configuração do pátio apresentada nas plantas.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calibração de auxílios em função do deslocamento de cabeceira e que adições não serão necessárias, mas não há detalhamento. No item 3.5.3.5, informa que não há demanda para pátio dedicado à aviação geral, apesar de haver identificado área requerida no levantamento de necessidades. Não apresenta justificativa para a utilização de uma nova área destinada a PAA, ao invés de fazer uma expansão adjacente à área existente, mesmo tendo considerado o aproveitamento do PAA existente como vantagem à alternativa escolhida para o plano de desenvolvimento. Não apresenta comparação entre áeas requeridas, considerando a demanda, e áreas disponibilizadas na implantação final.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</si>
  <si>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Nas plantas apresentadas para a expansão, a área de hangaragem não possui ligação com o pátio de aeronaves, a não ser por uma via de serviço. Além disso, não é possível identificar a área destinada a pátio de estadia da aviação geral. A área identificada na situação atual como PAA não pode ser identificada nas plantas de situação futura, o que também acontece para a área identificada como hangar na situação atual.</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</si>
  <si>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de estudo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 enquanto para passageiros em pé foi utilizado o parâmetro dos ADRM 11.
O dimensionamento da Sala de Desembarque (restituição de bagagens) não observou as diretrizes de estudo, bem como não considerou o ADRM. Não foi adotada taxa de recirculação para dimensionamento de esteiras de bagagens. O nível de serviço adotado (ocupação linear por passageiros) é radicalmente distindo do informado na diretriz de estudo (0,9 informado na diretriz e 0,13 adotado pelo Consórcio).</t>
  </si>
  <si>
    <t>O cronograma de obras é apresentado de maneira resumida no item 3.5.2. O item 4.1.1.1 apresenta considerações utilizadas na definição de prazos de execução das obras. As informações são apresentadas por sistema e não há detalhamento por atividades.</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</si>
  <si>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e aqueles apresentados na tabela constante no final do item (cujos dados constam ainda no Anexo 5 - Due Diligence dos Contratos Operacionais).</t>
  </si>
  <si>
    <t xml:space="preserve">Para o sistema TPS, apresenta os componentes internos à edificação com localização em planta, dados de área e quantidades. Ilustrações apresentam as condiçõees verificadas no local. Estacionamento de veículos é apresentado com registros fotográficos e avaliação das condições. Meio-fio é suscintamente apresentado. Para o sistema de pistas, as áreas foram identificadas em mapa (caderno de plantas), as estruturas foram caracterizadas, todavia não constam ilustrações nem avaliação das condições observadas. Para o sistema de pátios, as instalações são apresentadas em planta mas as condições verificadas são ilustradas por meio de foto que não permite verificar suas condições. Vias de serviço são apresentadas e ilustradas suscintamente. Os hangares são descritos, localizadas em planta e ilustrados. Sistema de administrativas e manutenção é minimamente descrito. Sobre o sistema de apoio às operações, as instalações foram apresentadas e ilustradas em foto. Boa descrição dos sistemas de infraestrutura básica (energia elétrica, água potável, etc). Apresenta ainda as infraestruturas de aeronáutica identificadas no aeroporto, com suas características e registros fotográficos. A localização de cada componente de sistema é apresentada satisfatoriamente no caderno de plantas (Situação atual). </t>
  </si>
  <si>
    <t xml:space="preserve">Os documentos utilizados para a avaliação patrimonial do aeroporto são apresentados no Anexo 2. A análise limita-se à reprodução parcial do disposto no PDir da Infraero, verificada a ausência da área a regularizar. Apresenta em planta a localização da área regularizada. Apresenta levantamento sobre cercas e acessos, trazendo localização em croqui e registro fotográfico com algumas observações sobre as condições verificadas. </t>
  </si>
  <si>
    <t>Demonstra que não há área militar.
Zoneamento Funcional: Dividiu em várias categorias, não relacionou a área de cada uma delas em m2.
Elabora PBZPA e PZPANA; avaliou obstáculos e apresenta conclusão.
PZR: apresenta plano elementar.</t>
  </si>
  <si>
    <t xml:space="preserve">Não foi seguida a diretriz para determinação da hora pico.
A capacidade de meio fio apresentada na tabela resumo diverge, em unidade de medida, da fórmula de capacidade apresentada.
Não foi possível reproduzir os resultados para componentes de uso simultâneo, uma vez que estes apresentam parâmetros de nível de serviço distintos e a equação apresentada considerou uma área única, sem apresentar como foi ponderado o uso doméstico/internacional ou embarque/desembarque.
Os valores apresentados para áreas instaladas nas tabelas resumo de cada componente (tabela 1-30 em diante) divergem daqueles constantes na tabela resumo do aeroporto (tabela 1-27).
O cálculo dos componentes de circulação (conector/corredor) não levaram em consideração a metodologia apontada como diretriz para o estudo.
Não é apresentada capacidade das vias de acesso.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</si>
  <si>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 pista de táxi a partir da largura da pistas. Não identifica aeronaves que operam nas pistas. Utiliza como referência operação IFR de aeronaves 3C. Identifica  limitações relacionadas com a utilização do sistema de pistas.</t>
  </si>
  <si>
    <t>Informa sobre a inexistência de Sistema Terminal de Cargas. Apresenta dados de movimentação de carga no item referente à avaliação das condições existentes. Apresenta informações gerais sobre o Sistema de Aviação Geral, mas não apresenta avaliação de capacidade.</t>
  </si>
  <si>
    <t>Item 2.1 apresenta PDIR Infraero, elaborado em 2014. 
Não apresenta alternativas para o desenvolvimento do aeroporto além do PDIR.</t>
  </si>
  <si>
    <t>Apresenta as fases de implantação no item 2.3.5.
Duas fases, conforme PDIR Infraero.
Prevê novo terminal e nova TWR na fase II.
No item 2.3.2.1 é apontado que as intervenções de cada fase (I e II) atenderão as demandas previstas para os anos finais de cada fase, respectivamente 2034 e 2051.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</si>
  <si>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 xml:space="preserve">O item 2.3 apresenta o plano de desenvolvimento, identificando as infraestruturas necessárias ao longo do período da concessão. A tabela 2-2 apresenta valores de capacidade instalada e projetada, levando em consideração as projeções de demanda. Nessa tabela, há inconsistência no comprimento da PPD na capacidade projetada. Apresenta necessidade para TAG, apesar de a demanda prevista ser inferior ao parâmetro estabelecido para a necessidade da infraestrutura.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Apresenta dimensionamento de pátio de aviação geral, apesar de haver identificado as aeronaves de aviação geral juntamente com a análise de pátio de aeronaves de passageiros.  Identifica necessidade de Seção Contraincêndio, apesar do aeroporto permanecer como Classe I. Na avaliação do sistema de infraestrutura de aeronáutica, menciona o deslocamento da cabeceira 06 em 300m, o que não condiz com a alteração proposta anteriormente no relatório e com as plantas apresentadas para o plano de desenvolvimento.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em cada etapa de implantação. O anteprojeto não apresenta justificativa para a implantação da área de teste de motores. </t>
  </si>
  <si>
    <t xml:space="preserve">O item 2.3.5 aponta as alterações em cada fase de implantação. As plantas apresentam a configuração em cada uma das fases, mas não há destaque para as modificações. Nem todas as alterações mencionadas no relatório podem ser identificadas nas plantas. Nas plantas do plano de desenvolvimento, há inconsistência na representação das áreas de stopway e na representação da faixa preparada. As plantas não apresentam representação do PAPI. </t>
  </si>
  <si>
    <t>Apresenta no anexo 3: laudos de sondagens (ST) e de ensaios de caracterização do solo; executados pelo próprio consórcio. Apresenta também laudos de sondagens (SPT, ST, PI/SPI) e ensaios geotécnicos disponibilizados pela SAC.</t>
  </si>
  <si>
    <t>Aponta a inexistência de obras em execução, previstas ou inacabadas.</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</si>
  <si>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Utilidades prevê já para o primeiro ano completo de operação pelo concessionário redução brusca com relação ao histórico verificado (de 230,5M em 2018 para 79M em 2022). Para estimar custos com Utilidades e materiais de consumo, utiliza benchmark calculado para aeroportos classe II. Não esclarece porque aplica o benchmarking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</si>
  <si>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Apresenta as áreas para equipamentos de rampa e as vias de serviço com localização em planta, ilustrações e descrição das condições observadas. Na avaliação do TPS, lista as áreas por componente, incluindo os estacionamentos de veículos, com ilustrações e avaliação das condições. Na avaliação do acesso viário, apresenta o fluxo de acesso ao terminal. Também foram apresentados, ilustrados e avaliados os componentes de infraestrutura aeronáutica verificados no aeroporto. Área de hangaragem e acesso viário são apresentados, localizados em planta e avaliados. Sistema de administração e manutenção bem como sistema de apoio às operações e, finalmente, serviços aeroportuários 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</si>
  <si>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no Anexo 2. Realizou due diligence e obteve matrículas atualizadas (Anexo 2). Apresenta em planta a localização das áreas e a sua regularidade. Apresenta levantamento sobre cercas e acessos trazendo fotos e avaliação de suas condições.</t>
  </si>
  <si>
    <t>Divide em áreas civil/militar, as detalha e relaciona a metragem de cada uma delas.
Zoneamento Funcional: Dividiu em várias categorias, relacionou a área de cada uma delas em ha. A área total em ha é diferente da área total em m2 informada no mesmo relatório, o que o grupo justifica como sendo áreas da faixa de pista fora do limite patrimonial.
Elabora PBZPAe PZPANA, avalia obstáculos e apresenta conclusão.
PZR: apresenta plano elementar.</t>
  </si>
  <si>
    <t>Apresenta as não conformidades apontadas pela ANAC. Apresenta também as não conformidadades: não há RESA nas 2 THR; há uma série de obstáculos dentro da faixa de pista e/ou faixa preparada; há um hangar que constitui obstáculo à superfície de transição; há areas da faixa de pista fora dos limites patrimoniais.
Declara que SESCINC está ativo e há 3 voluntários da BECA que fazem toda a operação/manutenção.</t>
  </si>
  <si>
    <t>Os memoriais de cálculo não são claros de modo a permitir a reprodução dos resultados pela comissão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que realizam a análise da capacidade instalada dos processadores utiliza a demanda da 30ª hora mais movimentada e não o critério de 1,3 vezes a aeronave com maior número de assentos.</t>
  </si>
  <si>
    <t>Apresenta avaliação de capacidade estática e dinâmica do pátio. Nessa avaliação, são consideradas as posições de aviação geral. Não compara a capacidade instalada com a demanda. A avaliação da capacidade do pátio de aviação geral está no item 1.3.5 (Sistema de Aviação Geral) e apresenta metodologia exclusivamente proporcional à área necessária para aeronaves asa fixa e asa móvel.  Nesse item, foi apresentada uma área relativa a um pátio de aviação geral. Não foi possível identificar essa área nas instalações do aeroporto. Foram apresentados valores de demanda e capacidade em número de posições. Há inconsistência entre a demanda em posições apresentada no Relatório e o valor calculado na planilha de dimensionamento. Foi apresentada avaliação de capacidade para os pátios de equipamentos de rampa.</t>
  </si>
  <si>
    <t>Identifica inexistência de Sistema Terminal de Cargas. Apresenta valores de demanda de movimentação de carga. Apresenta metodologia utilizada na análise de capacidade do Sistema de Aviação Geral. Apresenta demanda e informa sobre a inexistência de capacidade instalada.</t>
  </si>
  <si>
    <t>Atendido no item 2.1.2 Plano de Desenvolvimento existente: apresenta o PDIR da Infraero elaborado em 2014 e o Estudo de Viabilidade Técnica elaborado pelo BB também em 2014.
No item 2.4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</si>
  <si>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as possíveis restrições compostas pelos efeitos adversos de aerodromo na circulação (aeródromos próximos); no espaço aéreo e na capacidade (não há); os efeitos adversos OPEA; além de restrições causadas por alta demanda ou por meteorologia adversa.
Propõe medidas mitigadoras (Tabela 2-19) para os efeitos adversos elencados, bem como propõe melhorias no serviço de tráfego aéreo ao longo do período da  concessão na Tabela 2-21.
</t>
  </si>
  <si>
    <t>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Na tabela 2-30, que identifica as necessidades futuras dos principais sistemas do aeroporto, a necessidade de posições de pátio de aviação geral apontada na situação atual difere da demanda apresentada na avaliação de capacidade do sistema de aviação geral.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 alteração na capacidade de pista é apresentada apenas como resultado final,  sem detalhamento de como as alterações de infraestrutura impactam na capacidade calculada. Na tabela 2-81, que apresenta um resumo das necessidades das instalações, há inconsistência nas informações referentes ao número de vagas no estacionamento e ao número de posições no pátio de aviação geral na situação atual.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hangares e pátios associados do sistema de aviação geral. O item 2.7 apresenta detalhes do anteprojeto de engenharia proposto para o aeroporto.</t>
  </si>
  <si>
    <t xml:space="preserve">Fases de Planejamento e Cronograma Estimado de Obras são apresentados, para cada componente do sistema, as intervenções propostas, tendo em vista a alternativa sugerida e a análise de capacidade estimada para cada fase. No item 2.6, são detalhadas as intervenções propostas para cada fase de desenvolvimento, por componente de sistema. No caderno de plantas encontram-se os croquis das obras previstas para cada fase, com destaque para as áreas de ampliação. </t>
  </si>
  <si>
    <t>Apresenta obra recentemente concluída e informa sobre a inexistência de obras futuras previstas. ,</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</si>
  <si>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(SBUG_CR-2Fases). </t>
  </si>
  <si>
    <t>Conforme disposto no item 2.6.2.1.12, estão previstas desapropriações de áreas na fase 1 do plano de desenvolvimento proposto, conforme descrito no item 2.6.3.1 Situação Patrimonial. Apresenta cotações de áreas semelhantes àquelas que se busca adquirir e calcula valor médio, conforme tabela 2-87. A descrição do CAPEX (por tipo e por fase) encontra-se nas tabelas 3-5 e 3-6, e o detalhamento do dispêndio foi localizado na planilha "SBUG_capex_1.00", onde é possível notar que existe uma previsão de "GASTOS COM DESAPROPRIAÇÕES E BENFEITORIAS NA FASE - 1" cujo cálculo foi localizado na planilha com a descrição: "APT - Implantação e avaliação de Benfeitorias (Áreas Militares)", sem maior detalhamento do item, com referência a uma área adicional de 198m² (aba "preços patrimonial").</t>
  </si>
  <si>
    <t xml:space="preserve">Due diligence dos contratos operacionais celebrados com a Infraero para o SBUG encontram-se reproduzidos no item 3.2.8 Due Diligence dos Contratos Operacionais. Não foi localizada análise dos contratos comerciais celebrados para o aeroporto, somente planilha com a disposição de suas principais características (na pasta do relatório econômico-financeiro). Não foi identificada análise dos contratos no tocante ao que dispõe a Portaria MTPA nº 143, de 6 de abril de 2017 (substituída pela Portaria MInfra nº 577, de 8 de novembro de 2019).  </t>
  </si>
  <si>
    <t xml:space="preserve">Para o sistema de pistas, apresenta suas características e visão espacial, com avaliação de suas condições e com registro fotográfico somente para sinalização das vias de serviço. Não representa faixa de pista. Apresenta registros fotográficos e avaliação das condições verificadas em visita para alguns componentes do TPS (balcões de check-in, saguão de embarque/desembarque, sala de embarque, depósito de materiais e meio fio). Apresenta o pátio de aeronaves com localização em mapa, principais características e condições verificadas. Ilustra a localização das vias de acesso ao aeroporto. O estacionamento de veículos é caracterizado, localizado em planta, ilustrado e avaliado pelas condições apresentadas. São apresentadas de forma suscinta as infraestruturas aeronáuticas e suas funcionalidades, sem registro fotográfico. Apresenta a localização da área de hangaragem com localização em planta e acesso viário, desacompanhados de registros fotográficos e avaliação das condições. Os sistemas de administração e manutenção, de apoio às operações bem como o sistema de infraestrutura básica encontram-se apresentados e localizados em planta. Para alguns itens, há registro fotográfico e avaliação das condições obervadas (infraestrutura básica, área de manutenção). A localização de cada componente de sistema é apresentada no caderno de plantas (Implantação atual), com algumas ausências, tais como faixa de pista, edificação de manutenção Infraero e EMS. </t>
  </si>
  <si>
    <t>Para realização de due diligence imobiliária do aeroporto, o estudo afirma utilizar referências disponibilizadas no data room além de consulta a registros dos imóveis que compõem o sítio. Obteve certidão atualizada dos imóveis (Anexo 6). Afirma apurar diferença de área entre os documentos imobiliários e o disposto no PDIR mas as informações apresentadas coincidem com as dispostas no Plano Diretor. Não apresenta desenho esquemático delimitando as áreas individualmente (figura 2.2) e apresenta limite patrimonial (tracejado cor de rosa) mais extenso, incorporando áreas ainda não adquiridas.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Apresenta a localização em planta das cercas patrimoniais e dos acessos ao aeroporto. Na avaliação de cercas e acessos, apresenta localização em planta da cerca patrimonial e dos acessos com ilustração de um dos acessos.</t>
  </si>
  <si>
    <t>Divide em áreas civil/militar (classificada como especial).
Zoneamento Funcional: Dividiu em várias categorias, relacionou a área de cada uma delas em m2.
Elabora PBZPA e PZPANA; avaliou obstáculos e apresenta conclusão.
PZR: foi elaborado novo plano.</t>
  </si>
  <si>
    <t>Apresenta as não conformidades apontadas pela ANAC.
Menciona algumas NC ambientais.
Declara que SESCINC está desativado, o que não corresponde à realidade: o SESCINC é ativo nos dias em que há voo regular, de acordo com NOTAM Z1059/19 .</t>
  </si>
  <si>
    <t>Os documentos utilizados para a avaliação patrimonial do aeroporto são apresentados no Anexo 6. Obteve certidões atualizadas dos imóveis. Afirma apurar diferença de área entre os documentos imobiliários e o disposto no PDIR mas as informações apresentadas coincidem com as dispostas no Plano Diretor. Não apresenta desenho esquemático delimitando as áreas individualmente (figura 2.2) e apresenta limite patrimonial (tracejado cor de rosa) mais extenso, incorporando áreas ainda não adquiridas.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Apresenta a localização em planta das cercas patrimoniais e dos acessos ao aeroporto. Na avaliação de cercas e acessos, apresenta localização em planta da cerca patrimonial e dos acessos com ilustração de um dos acessos.</t>
  </si>
  <si>
    <t xml:space="preserve">Apresenta avaliação de capacidade estática do pátio. Há inconsistência nas posições de pátio apresentadas.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t>
  </si>
  <si>
    <t>Informa sobre a inexistência de Sistema Terminal de Cargas. Não apresenta valores de demanda. Apresenta metodologia utilizada na análise de capacidade do Sistema de Aviação Geral. Na avaliação dos hangares, considera a área total e compara a capacidade com a demanda em vagas.</t>
  </si>
  <si>
    <t>Atendido ao apresentar no item 2.5.1 o PDIR da Infraero elaborado em 2014; bem como o Estudo de Viabilidade Técnica elaborado em 2014 pelo BB no âmbito do PIL.
No item 3.3 Estudo de Alternativas,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</si>
  <si>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2.74), bem como propõe melhorias no serviço de tráfego aéreo ao longo do período da  concessão na Tabela 2.75.</t>
  </si>
  <si>
    <t>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Apresenta redução na capacidade de pista como consequência das intervenções, mas as alteracões geométricas apresentadas na planilha de cálculo da capacidade de pista não condizem com as alterações mencionadas no relatório. No item 3.4.1.1, menciona a ampliação da capacidade do pátio para duas posições , mas a planta relativa ao ciclo de intervenções representa quatro posições. O item 3.5 apresenta alguns detalhes do anteprojeto de engenharia proposto.  Há inconsistência nas informações apresentadas na tabela 3.50 com relação à configuração da PPD após intervenções.  Não apresenta comparação entre áeas requeridas, considerando a demanda, e áreas disponibilizadas na implantação final. O detalhamento apresentado no relatório e nas plantas não permite identificar com clareza o sequenciamento da expansão prevista. Considerando a expansão proposta para o TPS, por exemplo, analisando a situação atual, é possível identificar que o PAA está na área da ampliação e precisa ser realocado para infraestrutura que ainda não existe, mas todas as intervenções acontecem simultaneamente no ciclo único apontado.</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</si>
  <si>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t>
  </si>
  <si>
    <t>Apresenta no item 3.5.1 a caracterização geoambiental e geomorfológica.
Apresenta no Anexo 2 laudos de ensaios  (FWD e georadar) disponibilizados pela SAC.
O plano de desenvolvimento apresentado não propõe obras de grande vulto, atribui-se nota integral ao item.</t>
  </si>
  <si>
    <t>Identifica obras em andamento no TPS em abril de 2019, mas não apresenta avaliação sobre o andamento.</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</si>
  <si>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(R$ 6.298,56) foi 274,96 m³, valor distoante daqueles observados em construções do mesmo porte.
Ainda, considerando o pequeno espaço amostral, não é possível concluir que o custo paramétrico adotado possui precisão compatível com o exigido.
</t>
  </si>
  <si>
    <t xml:space="preserve">Para o sistema TPS, apresenta os componentes internos à edificação com localização em planta, dados de área e quantidades. Condições verificadas no local são apresentadas e ilustradas. Estacionamento de veículos é apresentado com registros fotográficos e avaliação das condições. Meio-fio é suscintamente apresentado. Para o sistema de pistas, as áreas foram identificadas em mapa (caderno de plantas), as estruturas foram caracterizadas, todavia não constam ilustrações nem avaliação das condições observadas para a pista de táxi. Para o sistema de pátios, as instalações são apresentadas em planta e as condições verificadas são ilustradas e expostas no texto. Vias de serviço e área para equipamentos de rampa são apresentadas e ilustradas suscintamente. Área de hangaragem é apresentada suscintamente, assim como sistema de administração e manutenção. Sobre o sistema de apoio às operações, as instalações foram apresentadas e ilustradas em foto. Boa descrição dos sistemas de infraestrutura básica (energia elétrica, água potável, etc). Apresenta ainda as infraestruturas de aeronáutica identificadas no aeroporto, com suas características e registros fotográficos. A localização de cada componente de sistema é apresentada satisfatoriamente no caderno de plantas (Situação atual). </t>
  </si>
  <si>
    <t xml:space="preserve">Os documentos utilizados para a avaliação patrimonial do aeroporto são apresentados no Anexo 2. Apresenta em planta a localização das áreas (legalizada / em legalização). Descreve suscintamente processo de desapropriação anterior. Não faz análise crítica da situação atual do imóvel. Apresenta levantamento sobre cercas e acessos, trazendo localização em croqui e registro fotográfico com algumas observações sobre as condições verificadas. </t>
  </si>
  <si>
    <t>Apresenta divisão áreas civil e militar.
Zoneamento Funcional: Dividiu em várias categorias, não relacionou a área de cada uma delas em m2.
Elabora PBZPA e PZPANA; avaliou obstáculos e apresenta conclusão.
PZR: apresenta plano elementar.</t>
  </si>
  <si>
    <t xml:space="preserve">Os documentos utilizados para a avaliação patrimonial do aeroporto são apresentados no Anexo 2. Apresenta em planta a localização das áreas (legalizada / em legalização). Descreve suscintamente processo de desapropriação já consolidado. Não faz análise crítica da situação atual do imóvel. Apresenta levantamento sobre cercas e acessos, trazendo localização em croqui e registro fotográfico com algumas observações sobre as condições verificadas.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</si>
  <si>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 pista de táxi a partir da largura da pista. Não identifica aeronaves que operam nas pistas. Utiliza como referência operação IFR de aeronaves 3C. Identifica  limitações relacionadas com a utilização do sistema de pistas.</t>
  </si>
  <si>
    <t>A avaliação de capacidade dos pátios é apenas um levantamento das posições de pátio existentes. Não há cálculo para a capacidade dinâmica. Não há comparação com a demanda. Apresenta avaliação de capacidade para pátio de equipamentos de rampa.</t>
  </si>
  <si>
    <t>Item 2.1 apresenta PDIR Infraero, elaborado em 2014. 
Item 2.2 apresenta o plano do Novo Complexo Logístico, ora em desenvolvimento no sítio.
Não apresenta alternativas para o desenvolvimento do aeroporto além do PDIR.</t>
  </si>
  <si>
    <t xml:space="preserve">O item 2.3 apresenta o plano de desenvolvimento, identificando as infraestruturas necessárias ao longo do período da concessão. A tabela 2-2 apresenta valores de capacidade instalada e projetada, levando em consideração as projeções de demanda. Apresenta necessidade para TAG na fase 2, apesar de a demanda prevista ser inferior ao parâmetro estabelecido para a necessidade da infraestrutura.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Identifica necessidade de Seção Contraincêndio, apesar do aeroporto permanecer como Classe I. Na avaliação do sistema de infraestrutura de aeronáutica, menciona o deslocamento da cabeceira 09 em 150m e da cabeceira 27 em 30m, o que não condiz com as plantas apresentadas no plano de dimensionamento.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em cada etapa de implantação. Prevê na primeira fase de intervenções a implantação de novo complexo logístico de cargas, mesmo não havendo identificado demanda. Prevê ampliação da área de hangares e pátios associados na segunda fase de intervenções, mesmo tendo identificado a mesma necessidade de área para as duas fases consideradas. O anteprojeto não apresenta justificativa para a implantação da área de teste de motores. </t>
  </si>
  <si>
    <t>O item 2.3.5 aponta as alterações em cada fase de implantação. As plantas apresentam a configuração em cada uma das fases, mas não há destaque para as modificações. Nem todas as alterações mencionadas no relatório podem ser identificadas nas plantas. Nas plantas do plano de desenvolvimento, há inconsistência na representação das áreas de stopway e na representação da faixa preparada. As plantas não apresentam representação do PAPI, que foi mencionado como "em homologação" na situação atual e cuja realocação foi prevista no plano de desenvolvimento. ,</t>
  </si>
  <si>
    <t>Apresenta no anexo 3: laudos de sondagens (ST) e de ensaios de caracterização do solo; executados pelo próprio consórcio. Apresenta também laudos de sondagens (ST, SPT, PI/SPP) e ensaios geotécnicos disponibilizados pela SAC.</t>
  </si>
  <si>
    <t>Somente identifica a licitação para concessão, incuindo ampliação, do  novo complexo logístico de cargas. Não identifica obras inacabadas ou em andamento no aeroporto.</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</si>
  <si>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Utilidades prevê já para o primeiro ano completo de operação pelo concessionário redução brusca com relação ao histórico verificado (de 230,5M em 2018 para 79M em 2022) e para o item custos com Materiais de Consumo (de 104M em 2018 para 29,9M em 2022). Não esclarece porque aplica o benchmarking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</si>
  <si>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as estruturas existentes, apresenta em planta a sua localização e ilustra pontos levantados com fotos. Apresenta o sistema de pistas e pátios com suas dimensões, croqui de localização, características do pavimento e avalação de suas instalações. Apresenta as vias de serviço com localização em planta, ilustrações e descrição das condições observadas. Na avaliação do TPS, lista algumas áreas por componente, incluindo os estacionamentos de veículos, com ilustrações e avaliação das condições (com algumas ausências: salas de embarque e de desembarque). Na avaliação do acesso viário, apresenta o fluxo de acesso ao terminal bem como meio fio. Também foram apresentados, ilustrados e avaliados os componentes de infraestrutura aeronáutica verificados no aeroporto. Sistema de administração e manutenção bem como sistema de apoio às operações e, finalmente, serviços aeroportuários 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</si>
  <si>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ao final do Anexo 2. Realizou due diligence e obteve matrículas atualizadas (Anexo 2). Apresenta em planta a localização das áreas e a sua regularidade. Não foram localiozadas informações acerca de ocupações verificadas no sítio. Apresenta levantamento sobre cercas e acessos trazendo fotos e avaliação de suas condições.</t>
  </si>
  <si>
    <t>Demonstra que não há área militar.
Zoneamento Funcional: Dividiu em várias categorias, relacionou a área de cada uma delas em ha.
Demonstra que há áreas da faixa de pista fora do limite patrimonial.
Elabora PBZPA e PZPANA; avaliou obstáculos e apresenta conclusão.
PZR: apresenta plano elementar.</t>
  </si>
  <si>
    <t>Apresenta as não conformidades apontadas pela ANAC. Apresenta também ausência de RESA nas 2 THR; há vias de serviço e patio dentro da faixa de pista; TWY A tem largura inferior ao requisito; há diversos obstáculos - bem como um açude - na faixa de pista.</t>
  </si>
  <si>
    <t>As áreas levantadas na planta da situação atual do TPS não correspondem àquelas apresentadas no relatório de engenharia.
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que realizam a análise da capacidade instalada dos processadores utiliza a demanda da 30ª hora mais movimentada e não o critério de 1,3 vezes a aeronave com maior número de assentos.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</si>
  <si>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Há informações inconsistentes na apresentação dos resultados. Não apresenta geometria e percentual de utilização de cada saída de pista. Há inconsistência entre as premissas consideradas e os resultados apresentados para TOPD. A comparação de capacidade instalada com demanda é apresentada em planilha em anexo. Avalia a capacidade da pista de táxi para a aeronave crítica considerada. Na avaliação da capacidade das pistas de táxi, levou-se em conta a largura das pistas. Há inconsistência na apresentação do fluxo de aeronaves.</t>
  </si>
  <si>
    <t>Apresenta avaliação de capacidade estática e dinâmica do pátio.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Nesse item, foi apresentada uma área relativa a um pátio de aviação geral. Não foi possível identificar essa área nas instalações do aeroporto. Foram apresentados valores de demanda e capacidade em número de posições. Há inconsistência entre a demanda em posições apresentada no Relatório e o valor calculado na planilha de dimensionamento.  Identifica a inexistência de demanda e de capacidade instalada de pátio de equipamento de rampa.</t>
  </si>
  <si>
    <t>Identifica inexistência de capacidade e demanda para o Sistema Terminal de Cargas. Apresenta metodologia utilizada na análise de capacidade do Sistema de Aviação Geral.  Apresenta demanda e informa sobre a inexistência de capacidade instalada.</t>
  </si>
  <si>
    <t>Atendido no item 2.1.2 Plano de Desenvolvimento existente: apresenta o PDIR da Infraero elaborado em 2014; o Planejamento da Infraestrutura Aeroportuária de SBBG elaborado pela UFSC em 2017 e o Estudo de Viabilidade Técnica elaborado pelo BB em 2014.
No item 2.4 Estudo de Alternativas,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</si>
  <si>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as possíveis restrições compostas pelos efeitos adversos de aerodromo na circulação (aeródromo próximo); no espaço aéreo (não há) e na capacidade (não há); os efeitos adversos OPEA; além de restrições causadas por alta demanda ou por meteorologia adversa.
Propõe medidas mitigadoras (Tabela 2-20) para os efeitos adversos elencados, bem como propõe melhorias no serviço de tráfego aéreo ao longo do período da  concessão na Tabela 2-22.
</t>
  </si>
  <si>
    <t>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2.3.2, afirma equivocadamente que o aeroporto passa a ser Classe II em 2030. Na tabela 2-31, que identifica as necessidades futuras dos principais sistemas do aeroporto, a necessidade de posições de pátio de aviação geral apontada na situação atual difere da demanda apresentada na avaliação de capacidade do sistema de aviação geral.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 alteração na capacidade de pista é apresentada apenas como resultado final,  sem detalhamento de como as alterações de infraestrutura impactam na capacidade calculada. Na tabela 2-82, que apresenta um resumo das necessidades das instalações, há inconsistência nas informações referentes ao número de pistas na configuração futura  e ao número de posições no pátio de aviação geral na situação atual. No item 2.6 são apresentados o plano de desenvolvimento do sítio aeroportuário e as etapas de implantação. Na fase 1 do plano de desenvolvimento, propõe adequação do acostamento da PPD 06/24, que não existe e nem é requerido, conforme informações apresentadas anteriormente. Não menciona a remoção da EMS no plano de desenvolvimento, apesar de haver identificado como não conformidade e de ter considerado apresentado essa alteração nas plantas. O dimensionamento apresentado na planilha em anexo apresenta inconsistências quando comparado com a metodologia apresentada para a análise da capacidade instalada para os hangares e pátios associados do sistema de aviação geral.   O item 2.7 apresenta detalhes do anteprojeto de engenharia proposto para o aeroporto.</t>
  </si>
  <si>
    <t>São apresentados laudos de geotecnia e caracterização do solo local no item 2.7.1.
No Anexo 3 ao Relatório são apresentados relatórios de: IRI; FWD; LVC; Sondagens SPT e Ensaios de caracterização do solo.</t>
  </si>
  <si>
    <t>Aponta que não há obras em andamento no aeroporto. Apresenta obra prevista na tabela 2-1, mas não considera que será iniciada antes da concessão.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</si>
  <si>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(SBBG_CR-2Fases). </t>
  </si>
  <si>
    <t xml:space="preserve">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3-5 e 3-6. </t>
  </si>
  <si>
    <t xml:space="preserve">Due diligence dos contratos operacionais celebrados com a Infraero para o SBBG encontram-se reproduzidos no item 3.2.8 Due Diligence dos Contratos Operacionais. Não foi localizada análise dos contratos comerciais celebrados para o aeroporto, somente planilha com a disposição de suas principais características (na pasta do relatório econômico-financeiro). Não foi identificada análise dos contratos no tocante ao que dispõe a Portaria MTPA nº 143, de 6 de abril de 2017 (substituída pela Portaria MInfra nº 577, de 8 de novembro de 2019).  </t>
  </si>
  <si>
    <t xml:space="preserve">Para o sistema de pistas, apresenta suas características, visão espacial e vias de serviço, com avaliação de suas condições e com registro fotográfico de inconformidades observadas. Considera que o aeroporto não tem TPS, somente TAG, com ilustrações dos componentes observados. São apresentadas de forma suscinta as infraestruturas aeronáuticas e suas funcionalidades, sem registro fotográfico nem avaliação das condições observadas. Apresenta o pátio de aeronaves com localização em mapa, principais características e condições verificadas. O estacionamento de veículos é caracterizado, localizado em planta, ilustrado e avaliado pelas condições apresentadas. Apresenta o acesso ao aeroporto bem como meio-fio. Os sistemas de administração e manutenção, de apoio às operações bem como o sistema de infraestrutura básica encontram-se apresentados e localizados em planta. Para alguns itens, há registro fotográfico e avaliação das condições obervadas (infraestrutura básica, área administrativa). A localização de cada componente de sistema é apresentada no caderno de plantas (Implantação atual), ausente a faixa de pista. </t>
  </si>
  <si>
    <t>Os documentos utilizados para a avaliação patrimonial do aeroporto são apresentados no Anexo 6. Obteve certidões atualizadas dos imóveis. Afirma apurar diferença de área entre os documentos imobiliários e o disposto no PDIR mas as informações apresentadas coincidem com as dispostas no Plano Diretor. Não apresenta desenho esquemático descrevendo as áreas individualmente, mas somente uma área em azul, de título não identificado na figura 2.2.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Na avaliação de cercas e acessos, apresenta localização em planta da cerca patrimonial e dos acessos com ilustração de dois acessos.</t>
  </si>
  <si>
    <t>Apresenta as não conformidades apontadas pela ANAC.
Menciona presença de corpo d'água com influência na vida util da pista.
Menciona algumas não conformidades ambientais.</t>
  </si>
  <si>
    <t>O cálculo da capacidade das vias de aceso leva a um número de passageiros por veículo incompatível como utilizado para determinação da capacidade de meio fio
Não foi demonstrada a origem da demanda por vagas para o estacionamento de veículos.
Não foi realizada avaliação da capacidade em termos de equipamentos instalados. Tal avaliação, realizada por outro grupo, agregou informação ao relatório.</t>
  </si>
  <si>
    <t xml:space="preserve">Apresenta avaliação de capacidade estática do pátio. Considera as diferentes possibilidades de utilização do pátio.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t>
  </si>
  <si>
    <t>Informa sobre a inexistência de Sistema Terminal de Cargas. Apresenta metodologia utilizada na análise de capacidade do Sistema de Aviação Geral. Informa sobre a necessidade de implantação de área de hangares, mas não apresenta a metodologia considerada ou área requerida no Relatório.</t>
  </si>
  <si>
    <t>Atendido ao apresentar no item 2.5.1 o PDIR da Infraero revisado em 2015; bem como o Estudo de Viabilidade Técnica elaborado em 2014 pelo BB no âmbito do PIL.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</si>
  <si>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2.76), bem como propõe melhorias no serviço de tráfego aéreo ao longo do período da  concessão na Tabela 2.77.</t>
  </si>
  <si>
    <t xml:space="preserve">O item 3.2 apresenta a metodologia utilizada no dimensionamento e as necessidades futuras do aeroporto, estimadas a partir da projeção de demanda. A tabela 3.46 resume as necessidades futuras identificadas. Nessa tabela, não identifica necessidade de posições em pátio de aeronaves de passageiros, apesar de haver apontado uma demanda na tabela 3.15 e de apontar a previsão de voos comerciais no aeroporto. A planilha de dimensionamento também apresenta a informação de inexistência de demanda de posições.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O item 3.5 apresenta alguns detalhes do anteprojeto de engenharia proposto. Não identifica necessidade de intervenção em pistas de táxi, mesmo tendo identificado não conformidade na avaliação de capaciade e havendo a necessidade de implantação de pista de táxi de acesso ao estacionamento em virtude das novas áreas de pátio propostas. Há inconsistência nas informações apresentadas no relatório com relação à expansão do pátio. Não apresenta comparação entre áeas requeridas, considerando a demanda, e áreas disponibilizadas na implantação final.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</si>
  <si>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A área proposta para os hangares de aviação geral aparece conectada a via de serviço ao invés do pátio de aviação geral.</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</si>
  <si>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(R$ 6.265,00) foi 274,96 m³, valor distoante daqueles observados em construções do mesmo porte.
Ainda, considerando o pequeno espaço amostral, não é possível concluir que o custo paramétrico adotado possui precisão compatível com o exigido.
</t>
  </si>
  <si>
    <t xml:space="preserve">Para o sistema TPS, apresenta os componentes internos à edificação com localização em planta, dados de área e quantidades. Condições verificadas no local são ilustradas em fotos. Estacionamento de veículos é apresentado com registros fotográficos e avaliação das condições. Sistema viário de acesso ao aeroporto e meio-fio são suscintamente apresentados. Para o sistema de pistas, as áreas foram identificadas em mapa (caderno de plantas), as estruturas foram caracterizadas, todavia as condições observadas para o sistema foram ilustradas em uma única foto do pavimento da PPD. Para o sistema de pátios, as instalações são apresentadas em planta e as condições verificadas são ilustradas e expostas no texto. Identifica área para equipamentos de rampa não mencionada pelos demais grupos. Sistema de administração e manutenção bem como sistema de apoio às operações têm suas instalações apresentadas e ilustradas. Boa descrição dos sistemas de infraestrutura básica (energia elétrica, água potável, ar condicionado, etc). Apresenta ainda as infraestruturas de aeronáutica identificadas no aeroporto, com suas características e registros fotográficos. A localização de cada componente de sistema é apresentada no caderno de plantas (Situação atual). </t>
  </si>
  <si>
    <t xml:space="preserve">Os documentos utilizados para a avaliação patrimonial do aeroporto são apresentados no Anexo 2. Apresenta em planta a localização das áreas (legalizada / em legalização). Apresenta algumas observações quanto à regularidade jurídica das áreas que compõem o sítio. Apresenta levantamento sobre cercas e acessos, trazendo registro fotográfico dos acessos com algumas observações sobre as condições verificadas. </t>
  </si>
  <si>
    <t xml:space="preserve">Não foi seguida a diretriz para determinação da hora pico.
A capacidade de meio fio apresentada na tabela resumo diverge, em unidade de medida, da fórmula de capacidade apresentada.
Não foi possível reproduzir os resultados para componentes de uso simultâneo, uma vez que estes apresentam parâmetros de nível de serviço distintos e a equação apresentada considerou uma área única, sem apresentar como foi ponderado o uso doméstico/internacional ou embarque/desembarque.
Os valores apresentados para áreas instaladas nas tabelas resumo de cada componente (tabela 1-27 em diante) divergem daqueles constantes na tabela resumo do aeroporto (tabela 1-26).
O cálculo dos componentes de circulação (conector/corredor) não levaram em consideração a metodologia apontada como diretriz para o estudo.
Não é apresentada capacidade das vias de acesso.
</t>
  </si>
  <si>
    <t>A avaliação de capacidade dos pátios é apenas um levantamento das posições de pátio existentes. Há inconsistência nas informações apresentadas. Não há cálculo para a capacidade dinâmica. Não há comparação com a demanda. Apresenta avaliação de capacidade para pátio de equipamentos de rampa.</t>
  </si>
  <si>
    <t>Informa sobre a inexistência de Sistema Terminal de Cargas e Sistema de Aviação Geral. Não há apresentação de demanda e avaliação de capacidade.</t>
  </si>
  <si>
    <t>Item 2.1 apresenta PDIR Infraero, elaborado em 2015 
Não apresenta alternativas para o desenvolvimento do aeroporto além do PDIR.</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</si>
  <si>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Apresenta dimensionamento de pátio de aviação geral, apesar de haver identificado as aeronaves de aviação geral juntamente com a análise de pátio de aeronaves de passageiros. Identifica necessidade de Seção Contraincêndio, apesar do aeroporto permanecer como Classe I. No item 2.3.3, há inconsistência nas informações apresentadas com relação às áreas necessárias para Hangares e Pátios Associados.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em cada etapa de implantação. O anteprojeto não apresenta justificativa para a implantação da área de teste de motores. Nas plantas do plano de desenvolvimento, há a implantação de torre de controle na primeira fase de intervenções, mas essa implantação não foi justificada.</t>
  </si>
  <si>
    <t xml:space="preserve">O item 2.3.5 aponta as alterações em cada fase de implantação. As plantas apresentam a configuração em cada uma das fases, mas não há destaque para as modificações. Nem todas as alterações mencionadas no relatório podem ser identificadas nas plantas. Algumas alterações percebidas nas plantas não apresentam justificativa no relatório. Nas plantas do plano de desenvolvimento, há inconsistência na representação das áreas de stopway e na representação da faixa preparada. </t>
  </si>
  <si>
    <t>Apresenta no anexo 3: laudos de sondagens (ST) e de ensaios de caracterização do solo; executados pelo próprio consórcio. Apresenta ainda laudos de sondagens (SPT, ST, PI/SPP) e de ensaios geotécnicos; disponibilizados pela SAC.</t>
  </si>
  <si>
    <t>O arquivo contendo o cronograma projetado não foi localizado, sendo apresentado, no item 2.4.7 , apenas um cronograma simplificado. O cronograma simplificado apresentado não permite a visualização de todas as linhas planejadas, indicando apenas o cronograma de macro itens.</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</si>
  <si>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brusca com relação ao histórico verificado (de 2,4MM em 2018 para 215M em 2022). O mesmo acontece para os demais custos estimados. Não esclarece porque aplica o benchmarking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</si>
  <si>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fluxo dos acessos e avalação de suas instalações. Na avaliação do TPS principal, lista as áreas por componente. Número de balcões de check-in aparece desatualizado na tabala 1-45 e divergente da tabela 1-110. Estruturas secundárias tais como o Aquaterrário e obra de arte existentes no TPS não foram mencionados. Apresenta algumas fotos e breve descrição do antigo TPS que se encontra desativado (Eduardinho). Na avaliação do acesso viário, apresenta o fluxo de acesso aos terminais e aos demais componentes. Na avaliação do TECA, apresenta a instalações, os acessos, as áreas de carga e descarga, estacionamento, equipamentos e operador atual. Também foram apresentados e avaliados os componentes de infraestrutura aeronáutica verificados no aeroporto. Na avaliação do sistema de aviação geral apresenta a localização e situação verificada in loco para os hangares e pátios associados, além das condições do acesso viário. Sistema de administração e manutenção bem como sistema de apoio às operações e às companhias aéreas e, finalmente, sistema de infraestrutura básica também encontram-se apresentados e avaliados.</t>
  </si>
  <si>
    <t>O estudo avalia individualmente a situação patrimonial das áreas que compõem o sítio aeroportuário, verificando a sua regularidade jurídica/imobiliária. Realizou due diligence e obteve matrículas atualizadas (Anexo 2). Apresenta em planta a localização das áreas e a sua regularidade. Apresenta levantamento sobre cercas e acessos trazendo fotos e avaliação de suas condições.</t>
  </si>
  <si>
    <t xml:space="preserve">Divide em áreas civil/militar, as detalha e relaciona a metragem de cada uma delas.
Zoneamento Funcional: Dividiu em várias categorias, relacionou a área de cada uma delas em ha. A área total em ha está desconexa com a área total em m2 informada no mesmo relatório.
Elabora PBZPAe PZPANA, avalia obstáculos e apresenta conclusão.
PZR: avaliou o plano existente e elaborou um novo. </t>
  </si>
  <si>
    <t>Apresenta as não conformidades apontadas pela ANAC (PAC CErtOp).
Apresenta quatro outras não conformidades. 
Ainda, recomenda melhoria nas vias de serviço e nas adaptações para acessibilidade de PNE no TPS,</t>
  </si>
  <si>
    <t>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Não avalia a capacidade da sala de embarque remoto de maneira individualizada, somente apresenta o agregado da capacidade das salas.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</si>
  <si>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Apresenta aeronave crítica incompatível com a operação do aeroporto. Na avaliação da capacidade das pistas de táxi, levou-se em conta a largura das pistas.</t>
  </si>
  <si>
    <t>Apresenta avaliação de capacidade estática e dinâmica dos pátios 1 e 2 conjuntamente. Não há justificativa para a análise desses pátios de maneira conjunta e para a desconsideração dos demais pátios nessa primeira análise. Nessa avaliação há incosistência entre as posições de pátio apresentadas e o conteúdo apresentado na avaliação das instalações existentes. Não compara a capacidade instalada com a demanda. O cálculo da capacidade do pátio de aviação geral está no item 1.3.5 (Sistema de Aviação Geral) e apresenta metodologia exclusivamente proporcional à área necessária para aeronaves asa fixa e asa móvel. Há inconsistência no resultado apresentado. Os Pátios 3 e 5 não são mencionados na avaliação de capacidade.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</si>
  <si>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Nessa avaliação, há inconsistência no valor calculado para a demanda.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</si>
  <si>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Atendido nos itens 2.1.2 Plano de Desenvolvimento existentes e no item 2.4 Estudo de Alternativas, onde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</si>
  <si>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Atendido no item 2.2 Análise de Tráfego Aéreo e Possíveis Restrições. É feita análise de possíveis restrições considerando a operação atual e a futura planejada, bem como os aerodromos SBMN e SWFN. O relatório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2-20 Melhorias de Tráfego Aéreo por Fase. </t>
  </si>
  <si>
    <t>Atendido no item 2.3 Concepção para Expansão, em especial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</si>
  <si>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Na tabela 2-28, que resume as necessidades futuras dos principais sistemas, são consideradas apenas as posições código C no levantamento de necessidades do Pátio Comercial e do Pátio de Cargas. No item 2.5 são identificadas as necessidades e intervenções a serem realizadas em cada etapa. Quanto ao sistema de pistas, há incosistência entre as informações apresentadas no item 2.3.3.2 e 2.5.1.1 com relação ao momento previsto para a ampliação de capacidade. O detalhamento está na planilha de dimensionamento. Nessa planilha, na apresentação das evoluções de capacidade dos principais componentes, há inconsistência nos períodos de ampliações nas capacidades. Para a alteração na capacidade horária do sistema de pistas, não há detalhamento de como as alterações de infraestrutura impactam na capacidade calculada.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</si>
  <si>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No item 2.5.1 Fases de Planejamento e Cronograma Estimado de Obras são apresentados, para cada componente do sistema, as intervenções propostas, tendo em vista a alternativa sugerida e a análise de capacidade estimada para cada fase. No item 2.6, são detalhadas as intervenções propostas para cada fase de desenvolvimento, por componente de sistema. No caderno de plantas encontram-se os croquis das obras previstas para cada fase, por tipo (plano de desenvolvimento, implantação de pavimentos, cercas e acessos, sistema de bagagem, layout do TPS), com destaque para as áreas de ampliação.</t>
  </si>
  <si>
    <t>São apresentados laudos de geotecnia e caracterização do solo local no item 2.7.1.1
No Anexo 3 ao Relatório são apresentados relatórios de: IRI; LVC; Sondagens SPT e Ensaios de caracterização do solo.</t>
  </si>
  <si>
    <t>Aponta obras em andamento no aeroporto no item 2.1.1 . Apresenta a informação de que a obra está suspensa, mas considera sua conclusão no período previsto. Apresenta informações sobre a obra no período da visita realizada, mas não menciona a data. Apresenta inforações sobre obras previstas, mas não considera que serão iniciadas antes da concessão.</t>
  </si>
  <si>
    <t xml:space="preserve">O cronograma estimado encontra-se no item 2.5.1.4 Cronograma Estimado e Fases de Operação 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(SBEG_CR-3Fases).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</si>
  <si>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 componente Terminal de Aviação Geral. No entanto, não há previsão de investimento em tal componente.
</t>
  </si>
  <si>
    <t xml:space="preserve">Conforme disposto nos itens 2.6.2.1.12, 2.6.2.2.12 e 2.6.2.3.12, não são previstas desapropriações de áreas em qualquer das 3 fases de desenvolvimento propostas, conforme reiterado na conclusão do item 2.6.3.1 Situação Patrimonial. A descrição do CAPEX (por tipo e por fase) encontra-se nas tabelas 3-3 e 3-4. </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</si>
  <si>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que processaram mais de 1 milhão de passageiros em 2018 e não propõe tratamento dos dados de modo a excluir outliers. Não foram considerados aeroportos internacionais em qualquer dos benchmarks apresentados.</t>
  </si>
  <si>
    <t xml:space="preserve">Atendido nos subitens do item 3.2 Estimativa de Custos de Operação (OPEX): custos com pessoal e serviços contratados, consolidado no item "3.2.1.7 Estrutura Organizacional e Custos Anuais"; despesas gerais; material de consumo; utilidades e serviços públicos bem como outros custos associados à concessão. Para cada custo estimado foi apresentada metodologia de cálculo baseada em análises de regressões, desenvolvidas a partir de dados históricos, e de benchmarks comparáveis. No entanto, assume como premissa a hipótese de que os atuais contratos operacionais do aeroporto serão rescindidos previamente ao início da concessão e que o concessionário deverá firmar novos contratos com terceiros para a prestação de serviços, desconsiderando riscos de descontinuidade dos serviços. Os resultados apresentados consideram a evolução da infraestrutura planejada e da movimentação estimada para passageiros, aeronaves e carga, quando aplicável, e consideram ainda ganhos de eficiência associados à concessão de aeroportos. Todavia, considera para todos os aeroportos que esse ganho previsto equivale a mediana da variação verificada no 1º ano da concessão para os aeroportos já concedidos, desconsiderando casos específicos como os de aeroportos que se encontram com quadro de pessoal aumentado tendo em vista a concessão anterior de aeroporto próximo, como nos aeroportos de Florianópolis e Navegantes. Os resultados encontrados constam ainda em planilha anexa ao relatório econômico-financeiro (modelo financeiro). O item 3.2.7 apresenta os Ganhos de Escala Potenciais da Gestão Conjunta dos Aeroportos estimados para o estudo e os resultados estão considerados no relatório econômico-financeiro consolidado do bloco norte. </t>
  </si>
  <si>
    <t xml:space="preserve">Due diligence dos contratos operacionais celebrados com a Infraero para o SBEG encontram-se reproduzidos no item 3.2.8 Due Diligence dos Contratos Operacionais. Não foi localizada análise dos contratos comerciais celebrados para o aeroporto, somente planilha com a disposição de suas principais características (na pasta do relatório econômico-financeiro). Não foi identificada análise dos contratos no tocante ao que dispõe a Portaria MTPA nº 143, de 6 de abril de 2017 (substituída pela Portaria MInfra nº 577, de 8 de novembro de 2019).  </t>
  </si>
  <si>
    <t>Para realização de due diligence imobiliária do aeroporto, o estudo utiliza referências disponibilizadas no data room além de consulta a registros dos imóveis que compõem o sítio. Obteve certidões atualizadas dos imóveis (Anexo 6). Os dados obtidos foram confrontados com os disponibilizados no Plano Diretor e foram apresentadas conclusões quanto à sua regularidade patrimonial com recomendações para solução da questão apresentada. Os resultados foram apresentados em planta (Descrição da situação patrimonial), no entanto, não é possível relacionar as áreas apresentadas em planta com os dados da tabela. Algumas áreas encontram-se indicadas como de título não identificado. Sobre as cercas operacionais e patrimoniais, sua delimitação foi apresentada em planta e suas condições verificadas foram avaliadas. Foram apresentadas ainda algumas ilustrações de cerca e dos acessos ao sítio.</t>
  </si>
  <si>
    <t>Define toda a área do aeroporto como civil. Define areas do SIVAM e DTCEA como especiais.
Zoneamento funcional: As dividiu em área de manobras, terminal, secundária e especial (uso militar). Especificou a metragem de cada uma, e o total é igual ao do Pdir e  não o que está escriturado no Registro de Imóveis (informado no mesmo relatorio).
Elabora PBZPAe PZPANA, avalia obstáculos e apresenta conclusão.
PZR: declara ter elaborado PEZR e apresenta sua figura, sem conclusão crítica.</t>
  </si>
  <si>
    <t>Apresenta o TAC 02/2018 Infraero/ANAC e as não conformidades apontadas pela ANAC (PAC CertOp). 
Apresenta verificação de conformidade aos demais órgãos e plano para manutenção dessa situação - em caso de conformidade - ou ajuste para saneamento.
Menciona obstáculos (torres) e perigo de fauna (urubus à direita da THR 29)</t>
  </si>
  <si>
    <t>O cálculo da capacidade de check-in não foi apresentado para os fluxos doméstico e internacional, somente par ao fluxo simultâneo, de forma que, sem apresentação das considerações realizadas, não foi possível reproduzir os resultados do grupo com base na equação apresentada.
O cálculo da capacidade das vias de aceso leva a um número de passageiros por veículo incompatível como utilizado para determinação da capacidade de meio fio
Não foi demonstrado a origem da demanda por vagas para o estacionamento de veículos.
Não foi realizada avaliação da capacidade em termos de equipamentos instalados. Tal avaliação, realizada por outro grupo, agregou informação ao relatório.</t>
  </si>
  <si>
    <t>Apresenta avaliação de capacidade dos pátios de aviação regular, mas o número de posições utilizado na análise sugere que os Pátios 2 e 4 também foram considerados. Menciona a utilização dos tempos médios de permanência das aeronaves e do Mix de aeronaves que operam no pátio para comparação com as posições existentes. Apresenta os valores de demanda utilizados na comparação, mas os parâmetros considerados não foram mencionados. Considera diferentes possibilidades de utilização do pátio. Apresenta avaliação de capacidade para pátio de equipamentos de rampa.</t>
  </si>
  <si>
    <t>Apresenta metodologias de cálculo de capacidade do sistema Terminal de Cargas. Apresenta avaliação de capacidade para Terminal e Estacionamento. Apresenta comparações com a demanda em unidade de área. Os dados apresentados não são suficientes para a reprodução dos resultados de demanda pela CAE. Apresenta metodologia utilizada na análise de capacidade do Sistema de Aviação Geral. Não apresenta metodologia para a avaliação do estacionamento de veículos. Na avaliação dos hangares, considera a área total e compara a capacidade com a demanda em vagas. Não apresenta as considerações para a definição da demanda utilizada na comparação.</t>
  </si>
  <si>
    <t>Atendido ao apresentar no item 2.5.1 o PDIR Infraero, elaborado em 2013 e revisto em 2015;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</si>
  <si>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o plano de desenvolvimento proposto. O detalhamento dos cálculos é apresentado na planilha de dimensionamento. Nessa planilha, há inconsistência nas informações de demanda de posições de pátio, no que diz respeito à classificação (wingspan). Além disso, há inconsistência no cálculo da área requerida para o TECA. Há inconsistência entre a configuração proposta para a PPD no Relatório, a planta apresentada para a intervenção e os valores utilizados no cálculo da capacidade de pista.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calibração de auxílios em função do deslocamento de cabeceira e que adições não serão necessárias, mas não há detalhamento. Informa ainda que a cabeceira 11 foi deslocada para o provimento adequado do ALS no comprimento de 900m, mas não há representação nas plantas. Não apresenta comparação entre áeas requeridas e áreas disponibilizadas na implantação final.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</si>
  <si>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Há inconsistência na faixa de pista apresentada.</t>
  </si>
  <si>
    <t>Apresentados laudos de sondagens (SPT; SR; PI e ST) e ensaios geotecnicos contratados pela Infraero e realizados em 2012. 
O plano de desenvolvimento apresentado não propõe obras de grande vulto, atribui-se nota integral ao item.</t>
  </si>
  <si>
    <t>O item 2.5.2 apresenta informações sobre obras em andamento. Foi identificada obra de recuperação do pavimento da PPD com conclusão prevista para 20 de dezembro. Apresenta ainda obras concluídas recentemente e obras previstas  e cronogramas. Apesar de identificar obra em andamento, não há informações sobre condições da obra, apenas prazo de conclusão.</t>
  </si>
  <si>
    <t xml:space="preserve">Não foi apresentado anteprojeto em nível de detalhamento suficiente para levantamento dos quantitativos adotados no cálculo do CAPEX. Os quantitativos por ciclo de investimento, presentes na aba "CAPEX", não possuem referência de forma que não é possível rastrear sua origem
Os quantitativos utilizados para o cálculo dos custos unitários paramétricos, observados no arquivo "Preços unitários", não possuem rastreabilidade.
Não foram apresentados os projetos e orçamentos utilizados para a definição dos custos paramétricos utilizados pelo Consórcio.
Não foram apresentadas justificativas para demolições de pavimentos não necessários nas fases de expansão da infraestrutura e cujas áreas não serão utilizadas. </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</si>
  <si>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(R$ 6.331,1) foi 274,96 m³, valor distoante daqueles observados em construções do mesmo porte.
Ainda, considerando o pequeno espaço amostral, não é possível concluir que o custo paramétrico adotado possui precisão compatível com o exigido.
</t>
  </si>
  <si>
    <t xml:space="preserve">Apresenta coleção de informações obtidas para os componentes dos sistemas de pistas e pátios, incluindo vias de serviço e equipamentos de rampa. A tabela 2 do Apendice 1A apresenta breve registro fotográfico de alguns itens, tais como papi, glyde e faixa de pista. O estado do pavimento das vias de serviço em frente ao pátio é apresentado por fotos no Apêndice 1A, contudo não consta análise das condições desses itens. De modo geral, não há avaliação por escrito das instalações do sistema de pistas e pátio, mas somente um registro fotográfico apontando rachaduras na pista. Na apresentação do sistema de gerenciamento de tráfego aéreo constam informações suscintas dos serviços de tráfego aéreo e auxílios à navegação aérea. Para o sistema terminal de passageiros, são apresentados as plantas dos pavimentos, os componentes do sistema, o principal acesso viário e suscinta caracterização do estacionamento de veículos principal. Não foi mencionado o antigo TPS (Eduardinho). Aquaterrário e obra de arte existentes no TPS não foram mencionados. Os sistemas terminal de cargas, de aviação geral, de administração e manutenção, de apoio bem como o sistema das companhias aéreas são apresentados brevemente, alguns sem registro fotográfico. O mesmo é verificado para o sistema industrial de apoio, sistema de infraestrutura básica e sistema comercial externo. Algumas infraestruturas constantes na Planta de Situação Atual do aeroporto não permitem sua identificação (sem legenda).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</si>
  <si>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Os documentos utilizados para a avaliação patrimonial do aeroporto são apresentados no Anexo 6. Obteve certidões atualizadas dos imóveis. Apresenta as áreas em planta (Descrição da situação patrimonial), no entanto, não é possível relacioná-las com os dados da tabela. Algumas áreas encontram-se indicadas como de título não identificado. Sobre as cercas operacionais e patrimoniais, sua delimitação foi apresentada em planta e suas condições verificadas foram avaliadas. Foram apresentadas ainda algumas ilustrações de cerca e dos acessos ao sítio.</t>
  </si>
  <si>
    <t>Define toda a área do aeroporto como civil. Define areas do SIVAM e DTCEA como especiais.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PBZPA e PZPANA:  elaborou novos. Não há avaliação crítica ou conclusão desses planos.
PZR: avalia e critica o plano existente. Propõe um novo PZR, com base na infraestrutura atual (uma RWY) em sua conclusão não há impacto negativo.</t>
  </si>
  <si>
    <t>Apresenta as não conformidade apontadas pela ANAC (PAC CertOp), faz duas atualizações face revisão do RBAC 154.
Apresenta pesquisa do historico de NOTAM desde 01/01/2014 a 30/06/2019 e obteve o número de dias em que alguns equipamentos estiveram inoperantes. 
Finalmente, relaciona mais algumas não conformidades em relação aos normativos ANAC.</t>
  </si>
  <si>
    <t xml:space="preserve">A tabela 1 do relatório de engenharia apresenta o resumo da capacidade instalada e a capacidade necessária bem como o status para cada item de cada sistema (TPS, TECA, TAG, etc), no entanto utiliza unidades de medidas inadequadas. 
Não foi apresentada justificativa para o cálculo da hora-pico simultânea. Há inconsistência no valor adotado para projeto, uma vez que quando a hora pico de embarque ou desembarque for maior que a simultânea, aquelas deveriam ser utilizadas para dimensionamento.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
</t>
  </si>
  <si>
    <t>A metodologia para cálculo da capacidade da PPD é apresentada em Apêndice do Relatório de Estudo de Mercado, mas não há resultados calculados. A planilha referente a dimensionamento aeroportuário traz algumas informações, mas há inconsistências no que diz respeito à capacidade da PPD. A avaliação quanto à adequabilidade do componente baseia-se em dado publicizado pelo CGNA. Não avalia a capacidade instalada das pistas de táxi.</t>
  </si>
  <si>
    <t>Análise apresentada em Apêndice do Estudo de Mercado. Apresenta avaliação de capacidade estática e dinâmica dos pátios conjuntamente. Apresenta comparação com a demanda. Há inconsistência nos valores apresentados para as posições de pátio. Os dados apresentados para o cálculo da capacidade dinâmica não são suficientes para a reprodução dos resultados finais pela CAE. Há informações no relatório de engenharia inconsistentes com o apresentado no Apêndice mencionado.</t>
  </si>
  <si>
    <t>Calcula e avalia a capacidade instalada do Sistema Terminal de Cargas em apêndice específico do relatório de mercado. Utiliza o PDIR como referência para as áreas. Apresenta avaliação de capacidade para Terminal e Estacionamentos. Com relação ao Sistema de Aviação Geral, no apêndice que apresenta as avaliações de capacidade, há informações equivocadas quanto a estrutura do sistema. Não é apresentado o cálculo de capacidade. Há um apêndice do relatório referente à aviação geral, mas sem conteúdo.</t>
  </si>
  <si>
    <t>Faz referência no Apêndice 3 ao PDIR Infraero, elaborado em 2013. Observa que o PDIR foi validado pela ANAC e aguarda manifestação do ComAer. Entende que é um documento com grande descolamento da realidade e que leva a superdimensionamento da infraestrutura. Não obstante, utiliza o PDIR como referência para elaborar alternativas de desenvolvimento.
No mesmo Apêndice, menciona o PAN (item 1.2.1); o Plano Aeroviário Estadual (item 1.2.2) e o sistema Horus (item 1.3.3) sem extrair informações desses documentos.
Ainda no Apêndice 3, apresenta 4 alternativas para desenvolvimento do sistema de pista, considerando a implantação de uma segunda pista paralela à existente. 
A opção escolhida pelo grupo foi a implantação de segunda pista (Apêndice 4 pág. 24) , não foi encontrado subsídio que ateste a viabilidade dessa hipótese.
Da mesma forma não foram encontradas informações sobre a eficiência e maximização do retorno esperado do projeto.</t>
  </si>
  <si>
    <t>Apresenta no item 10.2 do Relatório que não haverá restrição nem efeito adverso. 
Destaca potenciais restrições em função de SWFN. Apresenta análise no Apêndice 10, na qual afirma que deve haver um ponto de atenção nos tráfegos de SWFN e SBMN.
Não foi encontrada menção ao desenvolvimento proposto (implantação de segunda pista).</t>
  </si>
  <si>
    <t xml:space="preserve">Apresenta no Apêndice 5 um plano de desenvolvimento. Menciona alguns componentes que terão alteração do dimensionamento em função do crescimento da demanda. Não foi encontrada metodologia ou embasamento para esse planejamento. </t>
  </si>
  <si>
    <t>Afirma que todos os projetos, anteprojetos e demais esquemas encontram-se no Apêndice 6 do relatório de engenharia, mas o documento não foi localizado. Foram apresentadas as plantas no caderno de plantas. O item 10.2 Desenvolvimento da Alternativa Escolhida e o Apêndice 5 apresentam resumidamente as ampliações previstas para cada fase, mas não há detalhamento ou justificativa para os valores apresentados.</t>
  </si>
  <si>
    <t>O grau de detalhamento das plantas não permite a caracterização das obras previstas.</t>
  </si>
  <si>
    <t>De maneira geral, foi utilizada a metodologia de cálculo apresentada nos manuais ADRM 9, 10 e 11. 
Não foi apresentada justificativa para o uso de parâmetros de versões distintas do ADRM para o cálculo de uma mesma infraestrutura. Da mesma forma, não foi justificado o uso híbrido de parte das diretrizes de estudo e parte dos parâmetros de nível de serviço das diferentes versões do ADRM. Como exemplo, cita-se o dimensionamento da Sala de Embarque, em que  o parâmetro de nível de serviço informado na diretriz de estudo (2,3  m²/pax) foi aplicado somente aos passageiros sentados (sendo a porcentagem de passageiros sentados obtidos um parâmetro AIRLIFT e o critério de máxima ocupação da sala obtido do ADRM 9), enquanto para passageiros em pé foi utilizado o parâmetro dos ADRMs 10 e 11.
Foi verificada inconsistência na planilha de dimensionamento no item referente a meio-fio, levando a resultados subdimensionados ao longo da concessão.</t>
  </si>
  <si>
    <t>Não foi encontrada referência a estudo geotécnico. Entende-se que a implantação de uma nova pista (alternativa proposta) é uma obra de grande vulto e que enseja estudo geotécnico.
No entanto, o item 10.4 do Relatório (fls. 43) declara que obra de grande vulto nos termos da lei (na definição do art. 23 da lei 8666/93) não será realizada, logo não há necessidade de estudo geotécnico. Nota integral no item.</t>
  </si>
  <si>
    <t>Aponta obras em andamento no aeroporto e prazo de conclusão (dezembro/2019) no item 9.3. Apesar de identificar obra em andamento, não há informações sobre condições da obra. Adicionalmente, no item 7 Limitações Físicas e Operacionais, apresenta informações sobre obras previstas pelo atual operador.</t>
  </si>
  <si>
    <t>É apresentado um cronograma simplificado no item 10.5 Cronograma de Obras e em anexo. Não foram encontrados embasamentos técnicos para o cronograma apresentado. Há inconsistência entre as informações do item 10.2 e do cronograma .</t>
  </si>
  <si>
    <t>Não foi apresentado projeto em nível detalhe suficiente de forma a permitir a avaliação da maior parte dos quantitativos utilizados nas planilhas de CAPEX.</t>
  </si>
  <si>
    <t xml:space="preserve">As equações apresentadas no Apêndice 11 - CAPEX, incluida na pasta Estudo de Engenharia e Afins, remetem aos valores apresentados na planilha de Avaiação Econômico-Financeira. Esta por sua vez  repete a fonte dos custos como "sicro/sinapi/referências em mercado". Ocorre que não foram apresentadas as composições de custo unitário de nenhuma base de preços, sendo adotado o valor buscado em uma tabela, contida na aba "CAPEX_ref", sem referências.
A planilha Preços Unitarios CAPEX, por sua vez, apresenta preços unitários de TPS baseado em custo paramétrico lastreado na licitação do aeroporto de Florianópolis, em 2012, cuja obra não foi concluida. Dessa forma, não são consideradas as especificidades da obra da Infraero em relação a obra ou reforma do TPS em análise pelo Grupo. Além disso, os custos unitários baseados no SINAPI foram atualizados por índice de preços, não tendo sido utilizado o preço unitário das planilhas atuais, já divulgadas do SINAPI.
Foram apresentados preços referenciados na base "BDPFC". Tal base não é de conhecimento desta comissão e não foi possível rastrear os preços nela definidos. 
</t>
  </si>
  <si>
    <t>O custo global do TPS não possui precisão e confiabilidade compatíveis com o nível de detalhamento necessário, uma vez que é baseado em custo paramétrico da licitação do aeroporto de Florianópolis e não considera as especificidades e plano de necessidades do aeroporto avaliado pelo grupo.
Os dados apresentados no Modelo Econômico Financeiro não estão compatíveis com aqueles reportados no relatório de CAPEX constante nos estudos de engenharia.
Há divergência entre os valores apresentados nas planilhas Apêndice 11 - CAPEX e Planilha Precos Unitarios CAPEX PMI 2019</t>
  </si>
  <si>
    <t>Conforme disposto no item 11 do relatório de engenharia, não há previsão para desapropriações que extrapolem os limites do sítio.</t>
  </si>
  <si>
    <t>Afirma que "[A] metodologia aplicada, bem como o memorial e detalhamento do cálculo para obtenção do benchmarking de custos operacionais encontra-se anexo ao Relatório 1 – Estudos de Mercado, na planilha Microsoft Excel “Planilha benchmarking despesas” mas a pasta não foi localizada no local indicado. Apresenta na figura 20 somente os resultados obtidos, sem unidade de medida e desacompanhados de fundamentação.</t>
  </si>
  <si>
    <t>Não foi localizada estrutura de custos operacionais para as fases de desenvolvimento propostas. No item 10.8 do relatório de engenharia (Estimativa de OPEX), ratificado no item 6 do relatório econômico-fianceiro, afirma que [A] metodologia empregada para cálculo da estimativa de OPEX do aeroporto encontra-se detalhados no Relatório 1, de Estudo de Mercado, mas o material não foi localizado na pasta. Apresenta na Tabela 15 (engenharia) os custos de operação do aeroporto estimados para 9 rubricas: Pessoal, Material de Consumo, Serviços de Terceiros, Serviços Públicos, Seguro Garantia, IPTU, Despesas socioambientais, outorga variável e custos de transação. Porém não foi localizado embasamento para alcancar tais resultados e não há indicação de data nos valores apresentados. Aborda suscintamente no item 6. CUSTOS E DESPESAS OPERACIONAIS do relatório econômico-financeiro premissas para o cálculo das despesas operacionais e apresenta o resultado na DRE (item 17.1 do relatório econômico-financeiro). No entanto, não é claro como os resultados foram alcançados. Não explica como chegou nos possíveis ganhos de escala da gestão conjunta dos aeroportos.</t>
  </si>
  <si>
    <t>Atendido pelo Apêndice 12 do relatório de engenharia. Não foi identificada análise dos contratos no tocante ao que dispõe a Portaria MTPA nº 143, de 6 de abril de 2017 (substituída pela Portaria MInfra nº 577, de 8 de novembro de 2019).</t>
  </si>
  <si>
    <t>O Anexo 2 apresenta parte da documentação referente ao Patrimônio do aeroporto, mas não apresenta a situação atual do sítio. Apesar da extensa documentação exposta, não é apresentada análise do material. Apresenta levantamento sobre cercas e acessos por meio de texto não finalizado, trazendo fotos e avaliação de suas condições. incluindo fragilidades verificadas.</t>
  </si>
  <si>
    <t>Divide em áreas civil e militar, e subdivide estas dentre as várias unidades militares (DECEA, SERIPA 7 etc.)
Zoneamento funcional: relaciona uma série de atividades que requerem área. As dividiu em área de manobras, terminal, secundária e especial (uso militar). não especificou a metragem.
Elabora PBZPAe PZPANA, avalia obstáculos e apresenta conclusão.
PZR: apresenta PEZR.</t>
  </si>
  <si>
    <t>Apresenta as não conformidades apontadas pela ANAC, com comentários (follow-up) de cada uma delas.</t>
  </si>
  <si>
    <t xml:space="preserve">Foi apresentada avaliação da capacidade instalada frente a demanda atual do aeroporto. No entanto, a unidade de medida é inadequada à análise de capacidade.
O valor da capacidade de estacionamento apresentado diverge entre as diferentes tabelas apresentadas no relatório.
A informação quanto a área destinada a formação de fila de check-in internacional, para fins de cálculo da capacidade existente, está inconsistente.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Não é apresentada capacidade das vias de acesso.
Não foi realizada avaliação da capacidade em termos de equipamentos instalados. Em uma avaliação comparativa, tal avaliação realizada por outro grupo agregou informação ao relatório.
</t>
  </si>
  <si>
    <t xml:space="preserve">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publicado pelo CGNA. Apresenta comparação com a demanda. Apresenta avaliação das pistas de táxi apenas comparando a largura das pistas com a largura requerida pela aeronave crítica. </t>
  </si>
  <si>
    <t>Apresenta metodologia de cálculo de capacidade do Terminal de Cargas. Apresenta comparação com a demanda em unidade de área. Os dados apresentados não são suficientes para a reprodução do resultado de demanda pela CAE. Não apresenta avaliação de capacidade para o Sistema de Aviação Geral.</t>
  </si>
  <si>
    <t>Apresenta o PDIR Infraero, elaborado em 2015.
Não apresenta alternativas para o desenvolvimento do aeroporto além do PDIR.</t>
  </si>
  <si>
    <t>Avaliação evidenciada no item 2.3.4.
Afirma no item 2.3.4.5 que não há Restrições ou efeitos adversos e que, caso ocorram, medidas mitigadoras devem ser tomadas. 
Não apresenta, de forma estruturada, proposta de medidas mitigadoras ou de melhorias no serviço de tráfego aéreo.</t>
  </si>
  <si>
    <t>Apresenta as fases de implantação no item 2.3.5.
Duas fases, conforme PDIR Infraero.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</si>
  <si>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Não foi justificada a implantação de posições de pátio remotas em número superior ao definido pela projeção de capacidade necessária. O anteprojeto não previu investimentos para saneamento das não conformidades e pendências levantadas pelo grupo (nivelamento da faixa preparada, pavimentação do acostamento da pista de táxi, complementação do ALS, implantação de luz de eixo e implantação de sinalização vertical de instrução obrigatória). A avaliação dos estudos, projetos e obras existentes não conclui que tais não conformidades serão sanadas pelo atual operador aeroportuário. Não foram apresentadas justificativas para área adotada por unidade de capacidade de processamento dos sistemas de ETA e ETE.
Há previsão de ampliação da PPD durante a Fase II sem ser abordado no anteprojeto as implicações em termos de deslocamento de auxílios a navegação.
Não apresenta comparação entre áreas requeridas e áreas disponibilizadas em cada etapa de implantação.</t>
  </si>
  <si>
    <t>O item 2.3.5 aponta as alterações em cada fase de implantação. As plantas apresentam a configuração em cada uma das fases, mas não há destaque para as modificações. O detalhamento em termos de desenhos e croquis não possibilita a avaliação do impacto das ampliações/implantações da infraestrutura para componentes como edificações de apoio e estacionamento de veículos.
O anteprojeto não apresenta detalhamento suficiente de forma a permitir a avaliação quanto a adequação, em termos de regulamentos técnicos, das posições de aeronaves projetadas dentro da área de pátio proposta.</t>
  </si>
  <si>
    <t>Apresenta no anexo 3: medições de IRI (disponibilizadas pela Infraero).
Entende-se que o IRI é uma ferramenta de monitoramento do pavimento, nos termos do RBAC 153.205(f).  
Há previsão, no plano de desenvolvimento, de ampliação da pista em 500m. Para essa finalidade o IRI não substitui um levantamento geotécnico.</t>
  </si>
  <si>
    <t>O item 2.2 apresenta informações sobre as obras em andamento no aeroporto. Apresenta detalhamento dos serviços previstos. Apresenta prazo de conclusão como maio de 2019, mas não apresenta avaliação sobre a real situação da obra. O item 2.4.6 apresenta as considerações utilizadas para avaliar o andamento das obras e conclui pela inexistência de obras e serviços inacabados.</t>
  </si>
  <si>
    <t xml:space="preserve">O arquivo contendo o cronograma projetado não foi localizado, sendo apresentado, no item 2.4.7 , apenas um cronograma simplificado. O cronograma simplificado apresentado não permite a visualização de todas as linhas planejadas, indicando apenas o cronograma de macro itens. Da forma como apresentado, não foi possível identificar o cronograma de implantação de componentes como TECA e TAG, bem como não é identificado a qual componente se referem as linhas relativas a "equipamentos".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</si>
  <si>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Considera que o concessionário somente passará a arcar com os custos e despesas operacionais após 95 dias (40 + 40 + 15), quando na verdade a diretriz estabelecida prevê para aeroportos com movimentação de passageiros igual ou superior a 1 MM/pax/ano prazo de 45 dias para o estágio II da Fase I-A (40 + 40 + 45).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brusca com relação ao histórico verificado (de 50,7MM em 2018 para 35,5MM em 2022). O mesmo acontece para custos com utilidades, entre outros. Não esclarece porque aplica o benchmarking na projeção de custos com pessoal somente no início da concessão e para os anos de 2026, 2032,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</si>
  <si>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projeção para despesas com pessoal, serviços de terceiros, utilidades e serviços públicos, material de consumo e outros custos e despesas (materiais de consumo ambientais, IPTU, despesas de transição, ressarcimento pelos EVTEA selecionados e remuneração do leiloeiro). Para projetar o custo com pessoal, assume que os atuais contratos operacionais do aeroporto serão rescindidos antes do início da concessão e que o “privado” celebrará novos contratos para a prestação de serviços de terceiros, desconsiderando riscos de descontinuidade dos serviços. Descreve a composição de cada item de custos. Considera projeção do PIB para estimar custos de terceiros, utilidades e materiais de consumo. Afirma no item 3.2.2. CUSTOS E DESPESAS COM SERVIÇOS DE TERCEIROS ter atualizado os valores de R$/WLU médio para a data base dos estudos, janeiro de 2019, mas na planilha (WLU AEROPORTOS CONCESSIONADOS) todos os valores de custos e despesas foram trazidos para 2018. Não leva em conta a evolução da infraestrutura prevista no plano de desenvolvimento proposto para o aeroporto em nenhum item de custo. Não foram localizados no relatório os possíveis ganhos de escala potenciais da gestão conjunta dos aeroportos estimados para o estudo, apesar de constar no relatório consolidado do bloco norte (econômico-financeiro) que a redução de 8,27% nos custos de pessoal foi definida nos estudos de engenharia e afins.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</si>
  <si>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fluxo dos acessos e avalação de suas instalações. Na avaliação do TPS, lista as áreas por componente, incluindo os estacionamentos de veículos. Na avaliação do acesso viário, apresenta o fluxo de acesso ao terminal. Também foram apresentados e avaliados os componentes de infraestrutura aeronáutica verificados no aeroporto. Na avaliação do sistema de aviação geral apresenta a localização e situação verificada in loco para os hangares e acesso viário aos mesmos. Sistema de administração e manutenção bem como sistema de apoio às operações e às companhias aéreas e, finalmente,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</si>
  <si>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ao final do Anexo 2. Realizou due diligence e obteve matrículas atualizadas (Anexo 2). Apresenta em planta a localização das áreas e a sua regularidade. Apresenta levantamento sobre cercas e acessos trazendo fotos e avaliação de suas condições.</t>
  </si>
  <si>
    <t>Divide em áreas civil/militar, as detalha e relaciona a metragem de cada uma delas. Inclui DTCEA-PV (TWR).
Zoneamento Funcional: Dividiu em várias categorias, relacionou a área de cada uma delas em ha. A área total em ha está conforme a área total em m2 informada no mesmo relatório.
Elabora PBZPAe PZPANA, avalia obstáculos e apresenta conclusão.
PZR: foi elaborado novo plano.</t>
  </si>
  <si>
    <t>Apresenta as não conformidades apontadas pela ANAC: itens AVSEC e REA (condutor de ambulancia). 
Outras não conformidades: prover RESA e nivelar/limpar faixa de pista.</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</si>
  <si>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Na avaliação da capacidade das pistas de táxi, levou-se em conta a largura das pistas.</t>
  </si>
  <si>
    <t>Apresenta avaliação de capacidade estática e dinâmica do pátio.  Há informações inconsistentes com relação às posições em pontes. Não considera todas as possibilidades de utilização do pátio. Não compara a capacidade instalada com a demanda. Não identifica pátio para aviação geral, apesar de existirem posições destinadas para a aviação geral no pátio analisado. Foi apresentada avaliação de capacidade para o pátio de equipamentos de rampa.</t>
  </si>
  <si>
    <t>Apresenta metodologias de cálculo de capacidade do sistema Terminal de Cargas. Algumas considerações utilizadas nos cálculos de capacidade não são justificadas.  Na avaliação do pátio lado ar, a avaliação de demanda é baseada nas posições do pátio de carga.  Na comparação entre capacidade e demanda do estacionamento do TECA, as vagas do estacionamento do TPS não são consideradas.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</si>
  <si>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 xml:space="preserve">Atendido no item 2.2 Análise de Tráfego Aéreo e Possíveis Restrições. É feita análise de possíveis restrições considerando a operação atual e a futura planejada. Não são observados efeitos adversos de Espaço Aéreo e de Capacidade, apenas de Circulação e alguns de OPEA.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2-17 Melhorias de Tráfego Aéreo por Fase. </t>
  </si>
  <si>
    <t>Atendido no item 2.3 Concepção para Expansão, em especial no item 2.3.1 Análise da Demanda. Apresenta as necessidades de infraestrutura previstas para atender às expectativas de demanda alinhadas com o previsto no relatório de estudo de mercado.
Foi identificada uma incoerência nas equações 2-6; 2-8 e 2-10:  levam a resultados sobredimensionados, uma vez que não consideram o tempo de ocupação por passageiro.</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</si>
  <si>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No item 2.6 são apresentados o plano de desenvolvimento do sítio aeroportuário e as etapas de implantação.  No item 2.6.1, o relatório menciona operações por instrumento não precisão, o que não corresponde à operação considerada para o aeroporto. Não é apresentada motivação para algumas realocações propostas para auxílios à navegação.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</si>
  <si>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São apresentados laudos de geotecnia e caracterização do solo local no item 2.7.1.
No Anexo 3 ao Relatório são apresentados relatórios de: IRI; LVC; Sondagens SPT e Ensaios de caracterização do solo.</t>
  </si>
  <si>
    <t>O cronograma estimado encontra-se no item 2.5.1.4 Cronograma Estimado e Fases de Operação 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(SBPV_CR-3Fases). O cronograma em anexo apresenta apenas duas fases.</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</si>
  <si>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O quantitativo de pavimento flexível, referente ao pátio de aeronaves, utilizado na planilha de CAPEX, está divergente do valor estimado apresentado no relatório de engenharia.
Não foram apresentadas justificativas para demolições de pavimentos não necessários nas fases de expansão da infraestrutura e cujas áreas não serão utilizadas. 
</t>
  </si>
  <si>
    <t xml:space="preserve">Conforme disposto nos itens 2.6.2.1.12, 2.6.2.2.12 e 2.6.2.3.12, não são previstas desapropriações de áreas em qualquer das 3 fases de desenvolvimento propostas, conforme reiterado na conclusão do item 2.6.3.1 Situação Patrimonial. A descrição do CAPEX (por tipo e por fase) encontra-se nas tabelas 3-2 e 3-3. </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</si>
  <si>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operados pela INFRAERO em 2018 com movimentação entre 200.000 e 1 milhão de passageiros (classe II) e não propõe tratamento dos dados de modo a excluir outliers. Não foram considerados aeroportos internacionais em qualquer dos benchmarks apresentados.</t>
  </si>
  <si>
    <t xml:space="preserve">Due diligence dos contratos operacionais celebrados com a Infraero para o SBPV encontram-se reproduzidos no item 3.2.8 Due Diligence dos Contratos Operacionais. Não foi localizada análise dos contratos comerciais celebrados para o aeroporto, somente planilha com a disposição de suas principais características (na pasta do relatório econômico-financeiro). Não foi identificada análise dos contratos no tocante ao que dispõe a Portaria MTPA nº 143, de 6 de abril de 2017 (substituída pela Portaria MInfra nº 577, de 8 de novembro de 2019).  </t>
  </si>
  <si>
    <t>Os documentos utilizados para a avaliação patrimonial do aeroporto são apresentados no Anexo 6. Obteve certidões atualizadas dos imóveis. Afirma não ser possível apurar se há diferença de área entre os documentos imobiliários e compará-los com o PDIR. Não lista as áreas não regularizadas e sugere a "realização do levantamento planialtimétrico semi-cadastral georreferenciado para o todo do sítio aeroportuário, que determinará as novas Plantas, Memoriais Descritivos com a emissão das correspondentes ART". Não relaciona as áreas listadas em planilha com as áreas da planta apresentada. Sobre as cercas operacionais e patrimoniais, sua delimitação foi apresentada em planta e suas condições verificadas foram avaliadas. Foram apresentadas ainda algumas ilustrações de cerca e dos acessos ao sítio.</t>
  </si>
  <si>
    <t>Divide em áreas civil/militar e relaciona a metragem de cada uma delas. Observa que deve haver adequação pois a área militar vai até a faixa de pista.
Zoneamento Funcional: Dividiu em várias categorias, relacionou a área de cada uma delas em m2. No zoneamento funcional a área militar está classificada como especial.
Informa que o PBZPA apresentado no PDIR está desatualizado. Elabora PBZPAe PZPANA, avalia obstáculos e apresenta conclusão.
PZR: elaborou PEZR. não apresenta conclusão do plano.</t>
  </si>
  <si>
    <t>Além das não conformidades apontadas pela ANAC, com respostas/posicionamento do operador do aeródromo, há avaliação visual do pavimento, das vias de serviço e dos aspectos de manutenção geral da infraestrutura.</t>
  </si>
  <si>
    <t>O valor apresentado para a capacidade do saguão de embarque está incompatível com os dados apresentados.
O cálculo da capacidade das vias de aceso leva a um número de passageiros por veículo incompatível como utilizado para determinação da capacidade de meio fio
Não foi demonstrado a origem da demanda por vagas para o estacionamento de veículos.
Não foi realizada avaliação da capacidade em termos de equipamentos instalados. Tal avaliação, realizada por outro grupo, agregou informação ao relatório.</t>
  </si>
  <si>
    <t>Apresenta avaliação de capacidade do pátio de aviação regular. Menciona a utilização dos tempos médios de permanência das aeronaves e do Mix de aeronaves que operam no pátio para comparação com as posições existentes. Apresenta os valores de demanda utilizados na comparação, mas os parâmetros considerados não foram mencionados. Há inconsistência nas possibilidades de utilização do pátio apresentadas. Há inconsistências entre as informações apresentadas no item de capacidade e as informações de instalações existentes. Apresenta avaliação de capacidade para pátio de equipamentos de rampa.</t>
  </si>
  <si>
    <t>Apresenta apenas a informação sobre a inexistência do Sistema Terminal de Cargas, sem análises de capacidade frente à demanda. Apresenta metodologia utilizada na análise de capacidade do Sistema de Aviação Geral. Não apresenta metodologia para a avaliação do estacionamento de veículos. Na avaliação dos hangares, considera a área total e compara a capacidade com a demanda em vagas. Não apresenta as considerações para a definição da demanda utilizada na comparação.</t>
  </si>
  <si>
    <t xml:space="preserve">Não foi apresentado movimento de aeronaves utilizado para cálculo da demanda por serviços aeroportuários, de forma que não foi possível reproduzir o resultado apresentado pelo Grupo.
Não foram apresentados os dados de entrada para cálculo da demanda por combustível, de forma que não foi possível reproduzir o resultado apresentado pelo Grupo.
Não foi apresentada equação utilizada para cálculo do consumo de água bem como do volume de esgoto, de forma que não foi possível reproduzir os resultados apresentados pelo Grupo.
Para o cálculo da capacidade do SESCINC foram consideradas normas desatualizadas.
</t>
  </si>
  <si>
    <t xml:space="preserve">Atendido ao apresentar no item 2.5.1 o PDIR Infraero, elaborado em 2012;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</si>
  <si>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2.88), bem como propõe melhorias no serviço de tráfego aéreo ao longo do período da concessão na Tabela 2.89.</t>
  </si>
  <si>
    <t>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No item 3.3.1, menciona como premissa a manutenção das operações IFR não precisão, apesar do aeroporto possuir operação precisão CAT I na cabeceira 19.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Apresenta redução na capacidade de pista como consequência das intervenções, mas as alteracões geométricas apresentadas na planilha de cálculo da capacidade de pista não condizem com as alterações mencionadas no relatório.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calibração de auxílios em função do deslocamento de cabeceira e que adições não serão necessárias, mas não há detalhamento. Para alguns dos componentes avaliados, identifica que não há necessidade de ampliação, mas não apresenta comparação entre área requerida, conforme identificado anteriormente, e área atualmente disponibilizada. Não apresenta comparação entre áeas requeridas e áreas disponibilizadas na implantação final. O detalhamento apresentado no relatório e nas plantas não permite identificar com clareza o sequenciamento da expansão prevista. Considerando a expansão proposta para o pátio, por exemplo, não são mencionadas as estruturas que atualmente ocupam o espaço que será necessário para a ampliação. Analisando a situação atual, é possível identificar que a TWR e o PAA estão nessa área e precisam ser realocados para infraestruturas que ainda não existem e todas as intervenções acontecem simultaneamente no ciclo único apontado.</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</si>
  <si>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deficultando a identificação das alterações propostas. Nas plantas das condições futuras, por exemplo, só é possível identificar PAPI na cabeceira 01 e em localização inadequada e não há ILS. Além disso, há inconsistência na faixa de pista apresentada.</t>
  </si>
  <si>
    <t>Apresenta contextualização geologica no item 3.5.1.1 e no Anexo 2 são apresentados laudos de sondagens a percussão realizados em 2019.
O plano de desenvolvimento apresentado não propõe obras de grande vulto, atribui-se nota integral ao item.</t>
  </si>
  <si>
    <t>Menciona obra recentemente concluída e apresenta, sem detalhes da fonte utilizada, um levantamento de obras previstas.</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</si>
  <si>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(R$ 6.535,67) foi 274,96 m³, valor distoante daqueles observados em construções do mesmo porte.
Ainda, considerando o pequeno espaço amostral, não é possível concluir que o custo paramétrico adotado possui precisão compatível com o exigido.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</si>
  <si>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(SESCINC) e aqueles apresentados na tabela constante no final do item (cujos dados constam ainda no Anexo 5 - Due Diligence dos Contratos Operacionais).</t>
  </si>
  <si>
    <t>O relatório de engenharia afirma que a avaliação patrimonial do aeroporto é apresentada no Apêndice 9. Não foram analisadas as áreas que compõem o sítio. Apresenta suscinta avaliação de alguns trechos de cercas e perímetros no relatório fotográfico (Apêndice 1A). Conforme afirmado no texto, a análise não inclui diligências complementares cartorárias nem qualquer diligência in loco.</t>
  </si>
  <si>
    <t xml:space="preserve">Divide em áreas civil/militar sendo que áreas militares podem ter o status de especiais.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Avalia que há obstáculos, elabora novos PBZPA e PZPANA mas não há avaliação crítica ou conclusão desses planos (com relação a obstáculos).
PZR: elabora PEZR e apresenta conclusão.
</t>
  </si>
  <si>
    <t xml:space="preserve">Relaciona uma não conformidade apontadas pela ANAC e algumas outras: provimento de RESA, supressão vegetal na faixa de pista etc.
Apresenta pesquisa do historico de NOTAM desde 01/01/2014 a 30/06/2019 e obteve o número de dias em que alguns equipamentos estiveram inoperantes. </t>
  </si>
  <si>
    <t xml:space="preserve">A tabela 1 do relatório de engenharia apresenta o resumo da capacidade instalada e a capacidade necessária bem como o status para cada item de cada sistema (TPS, TECA, TAG, etc), no entanto utiliza unidades de medidas inadequadas. 
Não foi seguida a diretriz para determinação da hora pico.
Não foi apresentada justificativa para o cálculo da hora-pico simultânea. Há inconsistência no valor adotado para projeto, uma vez que quando a hora pico de embarque ou desembarque for maior que a simultânea, aquelas deveriam ser utilizadas para dimensionamento.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
</t>
  </si>
  <si>
    <t>Análise apresentada em Apêndice do Estudo de Mercado. Apresenta avaliação de capacidade estática e dinâmica dos pátios conjuntamente. Apresenta comparação com a demanda. Há inconsistência nos valores apresentados para as posições de pátio. Os dados apresentados para o cálculo da capacidade dinâmica não são suficientes para a reprodução dos resultados finais pela CAE.</t>
  </si>
  <si>
    <t>Não apresenta análises de capacidade do Sistema Terminal de Cargas e do Sistema de Aviação Geral. Na tabela referente à avaliação das Instalações Existentes do Relatório de Engenharia, apresenta um valor para a capacidade instalada do Estacionamento TECA. Nessa tabela, os itens referentes a esses sistemas são avaliados como adequados ou não aplicáveis. No Apêndice referente à avaliação de capacidade instalada, avalia a necessidade de Terminal de Aviação Geral e avalia os Hangares considerando a ocupação.</t>
  </si>
  <si>
    <t>Faz referência no Apêndice 3 ao PDIR Infraero, elaborado em 2012. Observa que o parecer favorável do DECEA, de 2018, aponta várias restrições.
Entende que o PDIR é um documento com grande descolamento da realidade em relação à projeção de demanda. Não obstante, utiliza o PDIR como referência para elaborar alternativas de desenvolvimento.
No mesmo Apêndice, menciona o PAN (item 1.2.1); o Plano Aeroviário Estadual (item 1.2.2) e o sistema Horus (item 1.3.3) sem extrair informações desses documentos; apresenta 4 alternativas para desenvolvimento do sistema de pista, considerando a implantação de uma segunda pista paralela à existente.
Por fim, o Apêndice 4 apresenta a alternativa escolhida, que propõe a manutenção da pista existente até a viabilidade da proposta do PDIR.</t>
  </si>
  <si>
    <t>Apresenta no item 10.2 do Relatório que não haverá restrição nem efeito adverso. 
É apresentada no Apêndice 10 a avaliação do espaço aéreo para a situação atual, não foi encontrada avaliação relacionada à expansão do aeroporto, nos termos do PDIR - que é a referência apontada para o desenvolvimento do sítio aeroportuário.</t>
  </si>
  <si>
    <t>Não foi encontrada referência a estudo geotécnico. 
Item 10.4 do Relatório (fls. 43) declara que obra de grande vulto nos termos da lei (na definição do art. 23 da lei 8666/93) não será realizada, logo não há necessidade de estudo geotécnico. Nota integral no item.</t>
  </si>
  <si>
    <t>Afirma não haver obras em andamento no aeroporto. Não apresenta informações sobre obras previstas para serem inciadas.</t>
  </si>
  <si>
    <t>Afirma que "[A] metodologia aplicada, bem como o memorial e detalhamento do cálculo para obtenção do benchmarking de custos operacionais encontra-se anexo ao Relatório 1 – Estudos de Mercado, na planilha Microsoft Excel “Planilha benchmarking despesas” mas a pasta não foi localizada no local indicado. Apresenta na figura 18 somente os resultados obtidos, sem unidade de medida e desacompanhados de fundamentação.</t>
  </si>
  <si>
    <t>Não foi localizada estrutura de custos operacionais para as fases de desenvolvimento propostas. No item 10.8 do relatório de engenharia (Estimativa de OPEX), ratificado no item 6 do relatório econômico-fianceiro, afirma que [A] metodologia empregada para cálculo da estimativa de OPEX do aeroporto encontra-se detalhados no Relatório 1, de Estudo de Mercado, mas o material não foi localizado na pasta. Apresenta na Tabela 14 (engenharia) os custos de operação do aeroporto estimados para 9 rubricas: Pessoal, Material de Consumo, Serviços de Terceiros, Serviços Públicos, Seguro Garantia, IPTU, Despesas socioambientais, outorga variável e custos de transação. Porém não foi localizado embasamento para alcancar tais resultados. Aborda suscintamente no item 6. CUSTOS E DESPESAS OPERACIONAIS do relatório econômico-financeiro premissas para o cálculo das despesas operacionais e apresenta o resultado na DRE (item 17.1 do relatório econômico-financeiro). No entanto, não é claro como os resultados foram alcançados. Não explica como chegou nos possíveis ganhos de escala da gestão conjunta dos aeroportos.</t>
  </si>
  <si>
    <t xml:space="preserve">O Anexo 2 apresenta documentação referente ao Patrimônio do aeroporto, mas não apresenta a situação atual do sítio. Apesar da extensa documentação exposta, não é apresentada análise do material. Apresenta levantamento sobre cercas trazendo fotos desacompanhadas de avaliação das condições verificadas bem como sua localização em croqui. </t>
  </si>
  <si>
    <t xml:space="preserve">Divide em áreas civil/militar e funcional. Não há metragem no relatório ou nas plantas.
Elabora PBZPAe PZPANA, avalia obstáculos e apresenta conclusão.
PZR: elaborou novo PEZR.
</t>
  </si>
  <si>
    <t>Foi apresentada avaliação da capacidade instalada frente a demanda atual do aeroporto. No entanto, a unidade de medida é inadequada à análise de capacidade
Não foi seguida a diretriz para determinação da hora pico.
O valor da capacidade de estacionamento apresentado diverge entre as diferentes tabelas apresentadas no relatório.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Não é apresentada capacidade das vias de acesso.
Não foi realizada avaliação da capacidade em termos de equipamentos instalados. Em uma avaliação comparativa, tal avaliação realizada por outro grupo agregou informação ao relatório.</t>
  </si>
  <si>
    <t>A avaliação de capacidade do pátio é apenas um levantamento das posições de pátio existentes. Não são consideradas as diferentes configurações possíveis. Não há cálculo para a capacidade dinâmica. Há um levantamento da área destinada a equipamento de rampa, mas não apresenta cálculo de capacidade.</t>
  </si>
  <si>
    <t>Apresenta metodologia de cálculo de capacidade do Terminal de Cargas. Identifica uma área referente ao TECA. Apresenta comparação com a demanda em unidade de área. Os dados apresentados não são suficientes para a reprodução do resultado de demanda pela CAE. Não apresenta avaliação de capacidade para o Sistema de Aviação Geral. As informações gerais do sistema são apresentadas no item referente à avaliação das instalações existentes.</t>
  </si>
  <si>
    <t>Apresenta o PDIR Infraero, datado de 2012.
Não apresenta alternativas para o desenvolvimento do aeroporto além do PDIR.</t>
  </si>
  <si>
    <t>Avaliação evidenciada no item 2.3.4.
Afirma no item 2.3.4..4.1 que não há Restrições ou efeitos adversos.
Não apresenta, de forma estruturada, proposta de medidas mitigadoras ou de melhorias no serviço de tráfego aéreo.</t>
  </si>
  <si>
    <t>Apresenta as fases de implantação no item 2.3.5.
Duas fases, conforme PDIR Infraero.</t>
  </si>
  <si>
    <t xml:space="preserve">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em cada etapa de implantação.
</t>
  </si>
  <si>
    <t>O item 2.3.5 aponta as alterações em cada fase de implantação. As plantas apresentam a configuração em cada uma das fases, mas não há destaque para as modificações. O detalhamento em termos de desenhos e croquis não possibilita a avaliação do impacto das ampliações/implantações da infraestrutura para componentes como edificações de apoio e estacionamento de veículos. O anteprojeto não apresenta detalhamento suficiente de forma a permitir a avaliação quanto a adequação, em termos de regulamentos técnicos, das posições de aeronaves projetadas dentro da área de pátio proposta. O Plano de Desenvolvimento prevê a expansão do pátio de aeronaves em cima de edificações (itens 14 e 15 da planta) sem que o anteprojeto faça referência à solução adotada, plano de demolição ou relocação das edificações.</t>
  </si>
  <si>
    <t xml:space="preserve">
O plano de desenvolvimento apresentado não propõe obras de grande vulto, atribui-se nota integral ao item.</t>
  </si>
  <si>
    <t xml:space="preserve">O arquivo contendo o cronograma projetado não foi localizado, sendo apresentado, no item 2.4.7, apenas um cronograma simplificado. O cronograma simplificado apresentado não permite a visualização de todas as linhas planejadas, indicando apenas o cronograma de macro itens. Da forma como apresentado, não foi possível identificar o cronograma de implantação de componentes como TECA, bem como não é identificado a qual componente se referem as linhas relativas a "equipamentos". </t>
  </si>
  <si>
    <t>Os projetos apresentados não permitem a rastreabilidade dos quantitativos utilizados para cálculo do preço unitário de cada infraestrutura, apresentados na planilha Consolidada, presente no Anexo 3 (CAPEX), e referenciado nas planilhas de cada infraestrutura (01 Pista e Taxiway, 02 acostamento e assim por diante).</t>
  </si>
  <si>
    <t xml:space="preserve">Os quantitativos de investimentos por fase de ampliação, presentes na planilha Novo Resumo Capex (Anexo 3) não puderam ser verificados a partir das plantas de desenvolvimento apresentadas.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</si>
  <si>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brusca com relação ao histórico verificado (de 4,8MM em 2018 para 9MM em 2022) e não há previsão de tratamento dos dados quando da transição de classe II para Classe III. Não esclarece porque aplica o benchmarking na projeção de custos com pessoal somente no início da concessão e para os anos de 2025, 2031, 2036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</si>
  <si>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Divide em áreas civil/militar, as detalha e relaciona a metragem de cada uma delas. Inclui DTCEA-RB (TWR).
Zoneamento Funcional: Dividiu em várias categorias, relacionou a área de cada uma delas em ha. A área total em ha está conforme a área total em m2 informada no mesmo relatório.
Elabora PBZPAe PZPANA, avalia obstáculos e apresenta conclusão.
PZR: foi elaborado novo plano.</t>
  </si>
  <si>
    <t>Apresenta as não conformidades apontadas pela ANAC. 
Outras não conformidades: não provê RESA, fazer supressão vegetal nas vias de serviço e faixa de pista, ajustar as dimensões da faixa preparada para a operação realizada na RWY.</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</si>
  <si>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declarado. A comparação de capacidade instalada com demanda é apresentada em planilha em anexo. Avalia as capacidades das pistas de táxi para as respectivas aeronaves críticas consideradas. Na avaliação da capacidade das pistas de táxi, levou-se em conta a largura das pistas.  Há inconsistência na informação apresentada na figura 1-198.</t>
  </si>
  <si>
    <t>Apresenta avaliação de capacidade estática e dinâmica do pátio principal.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Há inconsistência no resultado apresentado. As posições para aviação geral localizadas no pátio principal foram desconsideradas na avaliação de capacidade.  Foi apresentada avaliação de capacidade para o pátio de equipamentos de rampa.</t>
  </si>
  <si>
    <t>Apresenta metodologias de cálculo de capacidade do sistema Terminal de Cargas. Algumas considerações utilizadas nos cálculos de capacidade não são justificadas.  Na avaliação do pátio lado ar, a avaliação de demanda é baseada nas posições do pátio de carga.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</si>
  <si>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Atendido nos itens 2.1.2 Plano de Desenvolvimento existentes e no item 2.4 Estudo de Alternativas, onde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</si>
  <si>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Atendido no item 2.2 Análise de Tráfego Aéreo e Possíveis Restrições. É feita análise de possíveis restrições considerando a operação atual e a futura planejada. Não há aeródromos ou helipontos em um raio de 20 NM de SBRB. são observados efeitos adversos de Espaço Aéreo e de Capacidade, apenas de Circulação e alguns de OPEA. Os únicos efeitos adversos OPEA são obstáculos naturais (morros e árvores), bem como restrições por alta demanda e meteorologia. Propõe melhorias a serem implantadas no horizonte de 30 anos para os serviços de tráfego aéreo na tabela 2-18 Melhorias de Tráfego Aéreo por Fase. </t>
  </si>
  <si>
    <t>São apresentados laudos de geotecnia e caracterização do solo local no item 2.7.1. e no Anexo 3 ao Relatório.
No Anexo 3 ao Relatório são apresentados relatórios de: IRI; LVC; Sondagens SPT e Ensaios de caracterização do solo.</t>
  </si>
  <si>
    <t xml:space="preserve">Informa sobre obra recentemente concluída no aeroporto. Não identifica obras em andamento ou obras futuras previstas. </t>
  </si>
  <si>
    <t>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(SBRB_CR-2Fases).</t>
  </si>
  <si>
    <t xml:space="preserve">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3-2 e 3-3. </t>
  </si>
  <si>
    <t xml:space="preserve">Due diligence dos contratos operacionais celebrados com a Infraero para o SBRB encontram-se reproduzidos no item 3.2.8 Due Diligence dos Contratos Operacionais. Não foi localizada análise dos contratos comerciais celebrados para o aeroporto, somente planilha com a disposição de suas principais características (na pasta do relatório econômico-financeiro). Não foi identificada análise dos contratos no tocante ao que dispõe a Portaria MTPA nº 143, de 6 de abril de 2017 (substituída pela Portaria MInfra nº 577, de 8 de novembro de 2019).  </t>
  </si>
  <si>
    <t xml:space="preserve">Para o sistema de pistas apresenta suas características e visão espacial, bem como avaliação de suas condições com registro fotográfico. As vias de serviços internas ao sítio são apresentadas em croqui de localização e avaliadas, mas não há registros fotográficos da visita. Apresenta registros fotográficos e avaliação das condições verificadas em visita para alguns componentes do TPS (balcões de check-in, restituição de bagagem e meio fio). Apresenta o pátio 1 com geometria distinta da realidade. Consta ainda sua localização em mapa e não conformidade verificada e ilustrada. Ilustra a localização das vias de serviço do sistema e o acesso ao aeroporto. O estacionamento de veículos é caracterizado, localizados em mapa e suas condições físicas são avaliadas. Área para equipamentos de rampa foi apresentada, ilustrada e avaliada. São apresentadas de forma suscinta as infraestruturas aeronáuticas e suas funcionalidades, com registro fotográfico somente da torre de controle. Para o sistema de aviação geral, é apresentado o pátio associado com características (dados do pátio 1 e pátio 2 trocados na tabela 2.25), localização e as condições verificadas para o pavimento. Apresenta a localização da área de hangaragem com indicação de acesso viário mas sem indicação de suas condições nem registro fotográfico. Os sistemas de administração e manutenção, de apoio às operações e de apoio às companhias aéreas, bem como o sistema de infraestrutura básica encontram-se apresentados, localizados em planta e ilustrados em fotos, sendo o item de energia elétrica bastante simplificado. Nnehum desses sistemas foram avaliados quanto às condições observadas no local. A localização de cada componente de sistema é apresentada satisfatoriamente no caderno de plantas (Implantação atual). </t>
  </si>
  <si>
    <t>Os documentos utilizados para a avaliação patrimonial do aeroporto são apresentados no Anexo 6. Obteve certidões atualizadas dos imóveis. Os dados de plano diretor e matrículas/transcrições da tabela 2.4 estão invertidos, sendo que a diferença apontada é idêntica àquela do termo de convênio citado, o que conflita ainda com o disposto na figura 2.2 apresentada e com a tabela 2.5 (mesmos números da tabela 2.3). Não está claro se as áreas 1 e 2 da figura 2.2 são as mesmas apresentados na tabela 2.5. Sobre as cercas operacionais e patrimoniais, sua delimitação foi apresentada em planta e suas condições verificadas foram avaliadas. Foram apresentadas ainda algumas ilustrações de cerca e dos acessos ao sítio.</t>
  </si>
  <si>
    <t>Declara que o zoneamento é totalmente civil, não havendo nada de posse do ComAer.
Zoneamento Funcional: Dividiu em várias categorias, relacionou a área de cada uma delas em m2. Relaciona uma área especial, de uso militar.
Informa que o PBZPA apresentado no PDIR está desatualizado. Elabora PBZPAe PZPANA, avalia obstáculos e apresenta conclusão.
PZR: elaborou PEZR, que chama de plano especial de zoneamento de ruído. Não apresenta conclusão do plano.</t>
  </si>
  <si>
    <t>Apresenta apenas as não conformidades apontadas pela ANAC</t>
  </si>
  <si>
    <t>Apresenta avaliação de capacidade do pátio de aviação regular. Menciona a utilização dos tempos médios de permanência das aeronaves e do Mix de aeronaves que operam no pátio para comparação com as posições existentes. Apresenta os valores de demanda utilizados na comparação, mas os parâmetros considerados não foram mencionados. No item refernte a pátio da aviação geral, menciona que a capacidade foi apresentada em conjunto com a avaliação do pátio de aviação regular, mas o Pátio 2 não foi contemplado na avaliação. Apresenta avaliação de capacidade para pátio de equipamentos de rampa.</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</si>
  <si>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2.94), bem como propõe melhorias no serviço de tráfego aéreo ao longo do período da concessão na Tabela 2.95.</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</si>
  <si>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deficultando a identificação das alterações propostas. Nas plantas das condições futuras, por exemplo, não é possível identificar estruturas do ILS.</t>
  </si>
  <si>
    <t>Apresenta contextualização geologica no item 3.5.1.1 e no Anexo 2 são apresentados laudos de sondagens a percussão realizados entre 2013 e  2014 em área próxima ao terminal de passageiros e em área destinada à edificação da subestação de energia.
O plano de desenvolvimento apresentado não propõe obras de grande vulto, atribui-se nota integral ao item.</t>
  </si>
  <si>
    <t>Identifica obras recentemente concluídas e aponta previsão de serviços. Não identifica obras em andamento.</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</si>
  <si>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(R$ 6.340,70) foi 274,96 m³, valor distoante daqueles observados em construções do mesmo porte.
Ainda, considerando o pequeno espaço amostral, não é possível concluir que o custo paramétrico adotado possui precisão compatível com o exigido.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</si>
  <si>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e aqueles apresentados na tabela constante no final do item (cujos dados constam ainda no Anexo 5 - Due Diligence dos Contratos Operacionais).</t>
  </si>
  <si>
    <t>O relatório de engenharia afirma que a avaliação patrimonial do aeroporto é apresentada no Apêndice 9. Não foram analisadas as áreas que compõem o sítio. Apresenta registros fotográficos de alguns trechos de cercas e pontos de acesso ao sítio no relatório fotográfico (Apêndice 1A), desacompanhados de análise das condições observadas no local. Conforme afirmado no texto, a análise não inclui diligências complementares cartorárias nem qualquer diligência in loco.</t>
  </si>
  <si>
    <t xml:space="preserve">Divide em áreas civil/militar sendo que áreas militares podem ter o status de especiais.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Elabora novos PBZPA e PZPANA mas não há avaliação crítica ou conclusão desses planos (com relação a obstáculos).
PZR: elabora PEZR e apresenta conclusão.
</t>
  </si>
  <si>
    <t xml:space="preserve">Relaciona cinco não conformidades apontadas pela ANAC e algumas outras: provimento de RESA, supressão vegetal na faixa de pista, corrigir faixa de pista etc.
Apresenta pesquisa do historico de NOTAM desde 01/01/2014 a 30/06/2019 e obteve o número de dias em que alguns equipamentos estiveram inoperantes. </t>
  </si>
  <si>
    <t xml:space="preserve">A tabela 1 do relatório de engenharia apresenta o resumo da capacidade instalada e a capacidade necessária bem como o status para cada item de cada sistema (TPS, TECA, TAG, etc), no entanto utiliza unidades de medidas inadequadas. 
Não foi seguida a diretriz para determinação da hora pico.
Não foi apresentada justificativa para o cálculo da hora-pico simultânea. Há inconsistência no valor adotado para projeto, uma vez que quando a hora pico de embarque ou desembarque for maior que a simultânea, aquelas deveriam ser utilizadas para dimensionamento.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
</t>
  </si>
  <si>
    <t>Não apresenta cálculo da capacidade de pista. Menciona a metodologia que deve ser usada no Relatório do Estudo de Mercado. No Apêndice 2 do Relatório de Engenharia,  compara a capacidade de pista disponibilizada pela Infraero na declaração de capacidade com valores declarados pelo CGNA para aeroportos que identificou como similares. Faz a avaliação de capacidade com base em valor hipotético. Há incosistências entre as informações apresentadas no Apêndice 2 e no Relatório de Mercado. Não avalia a capacidade instalada das pistas de táxi, somente afirma não haver valor declarado de capacidade das mesmas.</t>
  </si>
  <si>
    <t>Análise apresentada em Apêndice do Estudo de Mercado. Apresenta apenas avaliação de capacidade estática do pátio principal. Apresenta comparação com a demanda. Há inconsistência nos valores apresentados para as posições de pátio no decorrer do documento. Apresenta características das operações de chegada e saída no Pátio.</t>
  </si>
  <si>
    <t xml:space="preserve">Calcula e avalia a capacidade instalada do sistema de aviação geral somente em apêndice específico do relatório de mercado. A avaliação de capacidade do TECA só é apresentada em uma tabela que resume todos os componentes no Relatório do Estudo de Engenharia e no Apêndice 2 do Relatório de Engenharia com a informação de que não é aplicável. Na avaliação do sistema de aviação geral, são avaliados Terminal de Aviação Geral, estacionamento de veículos e hangares. Os hangares são avaliados somente quanto à ocupação. </t>
  </si>
  <si>
    <t>Faz referência no Apêndice 3 ao PDIR Infraero, elaborado em 2012. Observa que há parecer favorável do ComAer, de 2017.
Entende que o PDIR é um documento com grande descolamento da realidade em relação à projeção de demanda. Não obstante, utiliza o PDIR como referência para elaborar alternativas de desenvolvimento.
No mesmo Apêndice, menciona o PAN (item 1.2.1); o Plano Aeroviário Estadual (item 1.2.2) e o sistema Horus (item 1.3.3) sem extrair informações desses documentos; apresenta 4 alternativas para desenvolvimento do sistema de pista, considerando a implantação de uma segunda pista paralela à existente.
Por fim, o Apêndice 4 apresenta a alternativa escolhida, que propõe a manutenção da pista existente até a viabilidade da proposta do PDIR.</t>
  </si>
  <si>
    <t>Apresenta no Apêndice 5 um plano de desenvolvimento. Menciona alguns componentes que terão alteração do dimensionamento em função do crescimento da demanda. Não foi encontrada metodologia ou embasamento para esse planejamento. 
O Plano de Desenvolvimento apresentado no Apêndice 5 não tem conexão com as alternativas apresentadas no Apêndice 3 - Estudo de Alternativas de Desenvolvimento.</t>
  </si>
  <si>
    <t>Afirma que "[A] metodologia aplicada, bem como o memorial e detalhamento do cálculo para obtenção do benchmarking de custos operacionais encontra-se anexo ao Relatório 1 – Estudos de Mercado, na planilha Microsoft Excel “Planilha benchmarking despesas” mas a pasta não foi localizada no local indicado. Apresenta na figura 17 somente os resultados obtidos, sem unidade de medida e desacompanhados de fundamentação.</t>
  </si>
  <si>
    <t>O Anexo 2 apresenta documentação referente ao Patrimônio do aeroporto, mas não apresenta a situação atual do sítio nem análise do material disponibilizado. Apresenta a planta constante no Plano Diretor da Infraero com a localização das áreas e conclui pela sua regularidade. Apresenta levantamento sobre cercas trazendo fotos e avaliação das condições verificadas bem como sua localização em croqui.</t>
  </si>
  <si>
    <t>Divide em áreas civil/militar e detalha a metragem de cada uma. Divide em áreas funcionais mas não especifica as áreas (metragem) de cada zona funcional.
Elabora PBZPAe PZPANA, avalia obstáculos e apresenta conclusão.
PZR: elaborou novo PEZR.</t>
  </si>
  <si>
    <t xml:space="preserve">Foi apresentada avaliação da capacidade instalada frente a demanda atual do aeroporto. No entanto, a unidade de medida é inadequada à análise de capacidade
Não foi seguida a diretriz para determinação da hora pico.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Não é apresentada capacidade das vias de acesso.
Não foi realizada avaliação da capacidade em termos de equipamentos instalados. Em uma avaliação comparativa, tal avaliação realizada por outro grupo agregou informação ao relatório.
</t>
  </si>
  <si>
    <t xml:space="preserve">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declarado. Apresenta comparação com a demanda. Apresenta avaliação das pistas de táxi apenas comparando a largura das pistas com a largura requerida pela aeronave crítica. </t>
  </si>
  <si>
    <t>Apresenta metodologia de cálculo de capacidade do Terminal de Cargas. Apresenta comparação com a demanda em unidade de área. Os dados apresentados não são suficientes para a reprodução do resultado de demanda pela CAE. Apresenta informações gerais sobre o Sistema de Aviação Geral, mas não há avaliação de capacidade.</t>
  </si>
  <si>
    <t>Apresenta o PDIR Infraero, datado de 2012.
Menciona o contrato existente para instalação de PAPI em diversos aeroportos Infraero (em SBRB na cabeceira 24), com previsão de conclusão até a data prevista para início da concessão.
Não apresenta alternativas para o desenvolvimento do aeroporto além do PDIR.</t>
  </si>
  <si>
    <t xml:space="preserve">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O anteprojeto não previu investimentos para saneamento das não conformidades e pendências levantadas pelo grupo (vala de drenagem desprotegida, má condição do pavimento de aviação geral, obstáculos na faixa de pista). A avaliação dos estudos, projetos e obras existentes não conclui que tais não conformidades serão sanadas pelo atual operador aeroportuário. Não foram apresentadas justificativas para área adotada por unidade de capacidade de processamento dos sistemas de ETA e ETE. Não apresenta comparação entre áreas requeridas e áreas disponibilizadas em cada etapa de implantação.
</t>
  </si>
  <si>
    <t>O item 2.3.5 aponta as alterações em cada fase de implantação. As plantas apresentam a configuração em cada uma das fases, mas não há destaque para as modificações. O detalhamento em termos de desenhos e croquis não possibilita a avaliação do impacto das ampliações/implantações da infraestrutura para componentes como edificações de apoio e estacionamento de veículos. O anteprojeto não apresenta detalhamento suficiente de forma a permitir a avaliação quanto à adequação, em termos de regulamentos técnicos, das posições de aeronaves projetadas dentro da área de pátio proposta.</t>
  </si>
  <si>
    <t>Não identifica obras em execução ou inacabadas. Identifica licitação em andamento para fornecimento e instalação de PAPI e considera como concluída antes da concessão.</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</si>
  <si>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terceiros prevê já para o primeiro ano completo de operação pelo concessionário crescimento agressivo com relação ao histórico verificado (de 6,1MM em 2018 para 3,7MM em 2022). Não esclarece porque aplica o benchmarking na projeção de custos com pessoal somente no início da concessão e para os anos de 2026, 2031, 2036,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</si>
  <si>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fluxo dos acessos e avalação de suas instalações. Na avaliação do TPS, lista as áreas por componente, incluindo os estacionamentos de veículos. Na avaliação do acesso viário, apresenta o fluxo de acesso ao terminal. Também foram apresentados e avaliados os componentes de infraestrutura aeronáutica verificados no aeroporto. Na avaliação do sistema de aviação geral apresenta a localização e situação verificada in loco para os hangares, pátios associados e acesso viário. Sistema de administração e manutenção bem como sistema de apoio às operações e às companhias aéreas e, finalmente, sistema de infraestrutura básica também encontram-se apresentados e avaliados.</t>
  </si>
  <si>
    <t>Divide em áreas civil/militar, as detalha e relaciona a metragem de cada uma delas.
Zoneamento Funcional: Dividiu em várias categorias, relacionou a área de cada uma delas em ha. A área total em ha está conforme a área total em m2 informada no mesmo relatório.
Elabora PBZPAe PZPANA, avalia obstáculos e apresenta conclusão.
PZR: apresenta PBZR elementar.</t>
  </si>
  <si>
    <t xml:space="preserve">Apresenta as não conformidades apontadas pela ANAC. 
Outras não conformidades: não provê RESA nas duas THR; há uma via de serviço dentro da faixa de pista da RWY.
</t>
  </si>
  <si>
    <t>A área ddo check-in informada no relatório de engenharia diverge daquela levantada em planta.
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realizam a análise da capacidade instalada dos processadores utiliza a demanda da 30ª hora mais movimentada e não o critério de 1,3 vezes a aeronave com maior número de assentos.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</si>
  <si>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 comparação de capacidade instalada com demanda é apresentada em planilha em anexo. Avalia a capacidade da pista de táxi para a aeronave crítica considerada. Na avaliação da capacidade das pistas de táxi, levou-se em conta a largura da pista.</t>
  </si>
  <si>
    <t>Apresenta avaliação de capacidade estática e dinâmica do pátio. Não compara a capacidade instalada com a demanda. Apresenta metodologia para cálculo da capacidade do pátio de aviação geral no item 1.3.5 (Sistema de Aviação Geral), mas não há um cálculo de capacidade por não haver pátio exclusivo para aviação geral. As posições para aviação geral foram consideradas na avaliação de capacidade do pátio principal, mas a avaliação apresentada no item de Aviação Geral não leva em consideração essas posições para o atendimento à demanda atual. Não foram apresentados os parâmetros considerados para a definição da demanda em posições.  Foi apresentada avaliação de capacidade para o pátio de equipamentos de rampa.</t>
  </si>
  <si>
    <t>Apresenta metodologias de cálculo de capacidade do sistema Terminal de Cargas. Algumas considerações utilizadas nos cálculos de capacidade não são justificadas.  Na comparação entre capacidade e demanda do estacionamento do TECA, as vagas do estacionamento do TPS não são consideradas.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</si>
  <si>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Atendido nos itens 2.1.2 Plano de Desenvolvimento existentes: aponta necessidade de  ajuste no PDIR que é de 1988; e no item 2.4 Estudo de Alternativas, onde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</si>
  <si>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Atendido no item 2.2 Análise de Tráfego Aéreo e Possíveis Restrições. É feita análise de possíveis restrições considerando a operação atual e a futura planejada. Não há efeitos adversos de Espaço Aéreo, de Capacidade e de Circulação. Os únicos efeitos adversos são OPEA - obstáculos naturais (morros e árveores), bem como restrições de meteorologia. Propõe melhorias a serem implantadas no horizonte de 30 anos para os serviços de tráfego aéreo na tabela 2-20 Melhorias de Tráfego Aéreo por Fase. </t>
  </si>
  <si>
    <t>São apresentados laudos de geotecnia - com Penetrômetro Dinâmico Leve - e caracterização do solo local no item 2.7.1.
No Anexo 3 ao Relatório são apresentados relatórios de: IRI; LVC; Sondagens PDL e Ensaios de caracterização do solo.</t>
  </si>
  <si>
    <t>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(SBCZ_CR-2Fases).</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</si>
  <si>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nos componente Terminal de Cargas e Pátio de Aviação Geral. No entanto, não há previsão de investimento em tais componentes.
Não foi identificado no relatório de engenharia a justificativa para investimento em balizamento noturno e sinalização vertical na TWY A, presente na planilha de CAPEX.
Não foram apresentadas justificativas para demolições de pavimentos não necessários nas fases de expansão da infraestrutura e cujas áreas não serão utilizadas. 
</t>
  </si>
  <si>
    <t xml:space="preserve">Due diligence dos contratos operacionais celebrados com a Infraero para o SBCZ encontram-se reproduzidos no item 3.2.8 Due Diligence dos Contratos Operacionais. Não foi localizada análise dos contratos comerciais celebrados para o aeroporto, somente planilha com a disposição de suas principais características (na pasta do relatório econômico-financeiro). Não foi identificada análise dos contratos no tocante ao que dispõe a Portaria MTPA nº 143, de 6 de abril de 2017 (substituída pela Portaria MInfra nº 577, de 8 de novembro de 2019).  </t>
  </si>
  <si>
    <t>Os documentos utilizados para a avaliação patrimonial do aeroporto são apresentados no Anexo 6. Obteve certidões atualizadas dos imóveis. Conforme consta na certidão atualizada do imóvel, a área do terreno foi retificada para 15.536.860m². Contudo, afirma: "Não (ser) possível fazer a representação gráfica da área devido a descrição precária do título de propriedade." e conclui que o "aeroporto ainda não está totalmente regularizado sob o ponto de vista patrimonial". Sobre as cercas operacionais e patrimoniais bem como os acessos ao sítio, sua delimitação foi apresentada em planta, desacompanhados de registros fotográficos e de avaliação das condições verificadas.</t>
  </si>
  <si>
    <t>Apresenta avaliação de capacidade do pátio único. Menciona a utilização dos tempos médios de permanência das aeronaves e do Mix de aeronaves que operam no pátio para comparação com as posições existentes. Apresenta os valores de demanda utilizados na comparação, mas os parâmetros considerados não foram mencionados. Apresenta avaliação de capacidade para pátio de equipamentos de rampa.</t>
  </si>
  <si>
    <t xml:space="preserve">
Evidenciados no item 2.4 os efeitos adversos de aerodromo no espaço aéreo e na capacidade; e os efeitos adversos OPEA na capacidade e no serviço de aeródromo nas principais áreas do aerodromo.
Aponta possíveis impactos na AFIS-CZ.
Propõe medidas mitigadoras para os efeitos adversos elencados (Tabela 2.82), bem como propõe melhorias no serviço de tráfego aéreo ao longo do período da concessão na Tabela 2.83.</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</si>
  <si>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deficultando a identificação das alterações propostas. Nas plantas das condições futuras, a área que havia sido identificada como heliporto na implantação atual não está representada, mas nada foi mencionado a respeito no plano de desenvolvimento.</t>
  </si>
  <si>
    <t>Apresenta contextualização geologica no item 3.5.1.1 e no Anexo 2 são apresentados laudos de ensaios nao destrutivos (FWD e georadar) realizados em 2015.
O plano de desenvolvimento apresentado não propõe obras de grande vulto, atribui-se nota integral ao item.</t>
  </si>
  <si>
    <t xml:space="preserve">Apresenta coleção de informações obtidas para os componentes dos sistemas de pistas e pátios, incluindo vias de serviço e equipamentos de rampa. A tabela 2 do Apendice 1A apresenta breve registro fotográfico de algumas estruturas: pátio, uma das cabeceiras, papi e lateral da faixa de pista. Não foi localizada avaliação das condições dos sistema de pistas e pátios verificadas no local.  Na apresentação do sistema de gerenciamento de tráfego aéreo constam informações das estruturas que prestam serviços de tráfego aéreo e auxílios à navegação aérea. Para o sistema terminal de passageiros são apresentados: as plantas dos pavimentos com indicação das áreas, os componentes do sistema, o principal acesso viário e suscinta caracterização do estacionamento de veículos. Os registros fotográficos dos componentes encontram-se no Apêndice 1A (tabela 3). Os sistemas de aviação geral, de administração e manutenção, de apoio bem como o sistema das companhias aéreas são apresentados brevemente. O mesmo é verificado para o sistema de infraestrutura básica e sistema comercial externo, sendo que o item de energia elétrica está bastante simplificado.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</si>
  <si>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 xml:space="preserve">Divide em áreas civil/militar sendo que áreas militares possuem o status de especiais.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Elabora novos PBZPA e PZPANA mas não há avaliação crítica ou conclusão desses planos (com relação a obstáculos).
PZR: elabora PEZR e apresenta conclusão.
</t>
  </si>
  <si>
    <t xml:space="preserve">Relaciona cinco não conformidades apontadas pela ANAC e algumas outras: provimento de RESA, supressão vegetal na faixa de pista, corrigir faixa de pista, prover instalações para internacionalização etc.
Apresenta pesquisa do historico de NOTAM desde 01/01/2014 a 30/06/2019 e obteve o número de dias em que alguns equipamentos estiveram inoperantes. </t>
  </si>
  <si>
    <t>Não apresenta cálculo da capacidade de pista. Menciona a metodologia que deve ser usada no Relatório do Estudo de Mercado. No Apêndice 2 do Relatório de Engenharia,  apresenta valores declarados pelo CGNA para aeroportos que identificou como similares. Faz a avaliação de capacidade com base em valor hipotético. Há incosistências entre as informações apresentadas no Apêndice 2 e no Relatório de Mercado. Não avalia a capacidade instalada da pista de táxi, somente afirma não haver valor declarado de capacidade.</t>
  </si>
  <si>
    <t>Análise apresentada em Apêndice do Estudo de Mercado. Apresenta avaliação de capacidade estática e dinâmica do pátio. Apresenta comparação com a demanda sem considerar a classificação das posições. Há inconsistência nos valores apresentados para as posições de pátio no decorrer do documento. Os dados apresentados para o cálculo da capacidade dinâmica não são suficientes para a reprodução dos resultados finais pela CAE. Apresenta características das operações de chegada e saída no Pátio.</t>
  </si>
  <si>
    <t xml:space="preserve"> Para o cálculo da capacidade do SESCINC foram consideradas normas desatualizadas.</t>
  </si>
  <si>
    <t>Faz referência no Apêndice 3 ao PDIR Infraero, elaborado em 2012. Observa que o parecer favorável do ComAer tem validade de cinco anos.
Utiliza o PDIR como referência para elaborar alternativas de desenvolvimento.
No mesmo Apêndice, menciona o PAN (item 1.2.1); o Plano Aeroviário Estadual (item 1.2.2) e o sistema Horus (item 1.3.3). Deste último, apresenta no item 7.3 (fls. 12) do Apêndice 3 considerações sobre o Estudo de Viabilidade Técnica encontrado no referido sistema.  
Ainda no mesmo Apêndice, apresenta 4 alternativas para desenvolvimento do sistema de pista, considerando a implantação de uma segunda pista paralela à existente.
Por fim, o Apêndice 4 apresenta a alternativa escolhida, que propõe a manutenção da pista existente até a viabilidade da proposta do PDIR.</t>
  </si>
  <si>
    <t>É apresentado um cronograma simplificado em anexo do Estudo de Engenharia. Não foram encontrados embasamentos técnicos para o cronograma apresentado. O cronograma não corresponde ao plano de desenvolvimento proposto.</t>
  </si>
  <si>
    <t>Afirma que "[A] metodologia aplicada, bem como o memorial e detalhamento do cálculo para obtenção do benchmarking de custos operacionais encontra-se anexo ao Relatório 1 – Estudos de Mercado, na planilha Microsoft Excel “Planilha benchmarking despesas” mas a pasta não foi localizada no local indicado. Apresenta na figura 14 somente os resultados obtidos, sem unidade de medida e desacompanhados de fundamentação.</t>
  </si>
  <si>
    <t>Não foi localizada estrutura de custos operacionais para as fases de desenvolvimento propostas. No item 10.8 do relatório de engenharia (Estimativa de OPEX), ratificado no item 6 do relatório econômico-fianceiro, afirma que [A] metodologia empregada para cálculo da estimativa de OPEX do aeroporto encontra-se detalhados no Relatório 1, de Estudo de Mercado, mas o material não foi localizado na pasta. Apresenta na Tabela 13 (engenharia) os custos de operação do aeroporto estimados para 9 rubricas: Pessoal, Material de Consumo, Serviços de Terceiros, Serviços Públicos, Seguro Garantia, IPTU, Despesas socioambientais, outorga variável e custos de transação. Porém não foi localizado embasamento para alcancar tais resultados. Aborda suscintamente no item 6. CUSTOS E DESPESAS OPERACIONAIS do relatório econômico-financeiro premissas para o cálculo das despesas operacionais e apresenta o resultado na DRE (item 17.1 do relatório econômico-financeiro). No entanto, não é claro como os resultados foram alcançados. Não explica como chegou nos possíveis ganhos de escala da gestão conjunta dos aeroportos.</t>
  </si>
  <si>
    <t xml:space="preserve">Para o sistema TPS, apresenta a localização das edificações, informações dos componentes verificados em cada nível do TPS, com registros fotográficos e avaliação das condições observadas quando da visita. Instalações mecânicas de acesso (elevadores) foram apresentadas e avaliadas. Meio fio, estacionamentos de veículos e vias de acesso foram apresentados, ilustrados e avaliados. Para o sistema de pistas, as áreas foram identificadas em mapa, as estruturas foram caracterizadas e avaliadas. O Pátio de aeronaves do aeroporto (Pátio 1: aviação regular e geral) é apresentado com ilustrações, croqui de localização e avaliação das condições observadas no local. Para o sistema de aviação geral os hangares são apresentados individualmente. São apresentadas as áreas e alguns registros fotográficos. Sobre as instalações administrativas e de manutenção, as áreas encontram-se representadas em foto e avaliadas pelas condições apresentadas. Sobre o sistema de apoio às operações, as instalações foram apresentadas, caracterizadas, ilustradas em foto(s) e avaliadas. Boa descrição dos sistemas de infraestrutura básica (energia elétrica, água potável, TI, ar condicionado, etc). Apresenta ainda as infraestruturas de aeronáutica identificadas no aeroporto, com suas características e registros fotográficos. A localização de cada componente de sistema é apresentada satisfatoriamente no caderno de plantas (Situação atual). </t>
  </si>
  <si>
    <t>O Anexo 2 apresenta documentação referente ao Patrimônio do aeroporto. Conclui-se que os documentos apresentados atestam a regularidade patrimonial da área. Apesar de citar a doação para o Ministério da Aeronáuticade área de 15.536.860 m2, apresenta a área do sítio no valor desatualizado. O material reproduzido não foi questionado/avaliado, apesar da documentação exposta. Apresenta em planta a localização da área do sítio e conclui pela sua regularidade. Apresenta levantamento sobre cercas trazendo fotos desacompanhadas de avaliação das condições verificadas bem como sua localização em croqui.</t>
  </si>
  <si>
    <t>Declara que toda a área é civil, e que áreas em que há atividade militar são inseridas no zoneamento funcional como Áreas Especiais.
Zoneamento Funcional: apresenta planta do sítio aeroportuário com manchas, não há metragem das zonas.
Elabora PBZPAe PZPANA, avalia obstáculos e apresenta conclusão.
Apresenta PZR elementar, sem conclusão do plano.</t>
  </si>
  <si>
    <t>Apresenta as não conformidades apontadas pela ANAC - PAC CertOp, com comentários (follow-up) de cada uma delas.</t>
  </si>
  <si>
    <t xml:space="preserve">Foi apresentada avaliação da capacidade instalada frente a demanda atual do aeroporto. No entanto, a unidade de medida é inadequada à análise de capacidade
Não foi seguida a diretriz para determinação da hora pico.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Os valores recomendados para a capacidade dos componentes Inspeção de Segurança e Sala de Embarque estão divergentes quando comparadas a tabela constante no relatório Estudos de Mercado e Afins e a planilha Engenharia_Dimensionamento
Não é apresentada capacidade das vias de acesso.
Não foi realizada avaliação da capacidade em termos de equipamentos instalados. Em uma avaliação comparativa, tal avaliação realizada por outro grupo agregou informação ao relatório.
</t>
  </si>
  <si>
    <t xml:space="preserve">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das pistas de táxi apenas comparando a largura da pista com a largura requerida pela aeronave crítica. </t>
  </si>
  <si>
    <t>Apresenta metodologia de cálculo de capacidade apenas para o Terminal de Cargas. Apresenta comparação com a demanda em unidade de área. Há inconsistência no valor apresentado como área requerida. Não foi possível identificar a área considerada como TECA. Apresenta informações gerais sobre o Sistema de Aviação Geral, mas não há avaliação de capacidade.</t>
  </si>
  <si>
    <t>Apresenta o PDIR Infraero, datado de 2012.
Menciona o contrato existente para instalação de PAPI em diversos aeroportos Infraero (em SBCZ na cabeceira 28), com previsão de conclusão até a data prevista para início da concessão.
Não apresenta alternativas para o desenvolvimento do aeroporto além do PDIR. Não considera a implantação da segunda pista, constante da fase final do PDIR Infraero.</t>
  </si>
  <si>
    <t>Apresenta as fases de implantação no item 2.3.5, relacionadas a gatilhos de demanda.
Duas fases, conforme PDIR Infraero.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</si>
  <si>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 xml:space="preserve">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O anteprojeto não previu investimentos para saneamento das não conformidades e pendências levantadas pelo grupo (desnível e vegetação alta na faixa de pista, problemas nas juntas de dilatação). A avaliação dos estudos, projetos e obras existentes não conclui que tais não conformidades serão sanadas pelo atual operador aeroportuário. O anteprojeto de engenharia prevê a manutenção de RESA existente. No entanto não há RESA cadastrada no aeroporto.
O anteprojeto não apresenta justificativa para a implantação da área de teste de motores. Não foram apresentadas justificativas para implantação da faixa preparada em dimensões acima do requerido pelo regulamento. Não foram apresentadas justificativas para área adotada por unidade de capacidade de processamento dos sistemas de ETA e ETE. Não apresenta comparação entre áreas requeridas e áreas disponibilizadas em cada etapa de implantação. O anteprojeto, não considerou a alteração do traçado da Rodovia AC 405, que fere a faixa de pista. As plantas de desenvolvimento apresentam a rodovia com traçado retificado, sem justificativa ou citação no anteprojeto.
</t>
  </si>
  <si>
    <t xml:space="preserve">O arquivo contendo o cronograma projetado não foi localizado, sendo apresentado, no item 2.4.7, apenas um cronograma simplificado. O cronograma simplificado apresentado não permite a visualização de todas as linhas planejadas, indicando apenas o cronograma de macro itens. Da forma como apresentado, não foi possível identificar o cronograma de implantação de componentes como TECA.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</si>
  <si>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crescimento agressivo com relação ao histórico verificado (de 2,6MM em 2018 para 5,1MM em 2022). Não esclarece porque aplica o benchmarking na projeção de custos com pessoal somente no início da concessão e para os anos de 2026, 2031, 2036,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</si>
  <si>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(faixa de pista com dimensões desatualizadas), croqui de localização, características do pavimento, fluxo dos acessos e avalação de suas instalações. Na avaliação do TPS, lista as áreas por componente, incluindo os estacionamentos de veículos. Na avaliação do acesso viário, apresenta o fluxo de acesso ao terminal. Também foram apresentados e avaliados os componentes de infraestrutura aeronáutica verificados no aeroporto. Sistema de administração e manutenção bem como sistema de apoio às operações e às companhias aéreas e, finalmente, sistema de infraestrutura básica também encontram-se apresentados e avaliados.</t>
  </si>
  <si>
    <t>O estudo avalia a situação patrimonial das áreas que compõem o sítio aeroportuário, individualmente, verificando a sua regularidade jurídica/imobiliária. O resultado encontra-se consolidado em tabela apresentada ao final do Anexo 2. Realizou due diligence e obteve matrícula atualizada (Anexo 2). Apresenta em planta a localização das áreas e a sua regularidade. Apresenta levantamento sobre cercas e acessos trazendo fotos e avaliação de suas condições.</t>
  </si>
  <si>
    <t>Divide em áreas civil/militar, as detalha e relaciona a metragem de cada uma delas. Apresenta também a divisão "area especial", nomenclatura atribuída à área em conflito e de posse da tribo Tukuna.
Zoneamento Funcional: Dividiu em várias categorias, relacionou a área de cada uma delas em ha. A área total em ha está conforme a área total em m2 informada no mesmo relatório.
Elabora PBZPAe PZPANA, avalia obstáculos e apresenta conclusão.
PZR: apresenta PBZR elementar.</t>
  </si>
  <si>
    <t>Apresenta as não conformidades apontadas pela ANAC. 
Outras não conformidades: não prover RESA, RWY de largura inferior ao mínimo para a operação existente, obstáculos na faixa de pista e na faixa preparada, ausência de blast pad, TWY A estreita, auxílios não frangíveis na faixa de pista, PAPI indisponível na THR 30.</t>
  </si>
  <si>
    <t>Foi considerada somente a área de inspeção pré check-in, realizada pela polícia federal. Não é apontada a inspeção de seguraça realizada pelo aeroporto.
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realizam a análise da capacidade instalada dos processadores utiliza a demanda da 30ª hora mais movimentada e não o critério de 1,3 vezes a aeronave com maior número de assentos.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</si>
  <si>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 comparação de capacidade instalada com demanda é apresentada em planilha em anexo. Avalia a capacidade da pista de táxi para a aeronave crítica considerada. Na avaliação da capacidade das pistas de táxi, levou-se em conta a largura da pista. Apresenta aeronave crítica incompatível com a operação atual do aeroporto.</t>
  </si>
  <si>
    <t>Apresenta avaliação de capacidade estática e dinâmica do pátio. Não compara a capacidade instalada com a demanda. Apresenta metodologia para cálculo da capacidade do pátio de aviação geral no item 1.3.5 (Sistema de Aviação Geral), mas não há um cálculo de capacidade por não haver pátio exclusivo para aviação geral. As posições para aviação geral localizadas no pátio principal foram consideradas na avaliação de capacidade, mas a avaliação apresentada no item de Aviação Geral não leva em consideração essas posições para o atendimento à demanda atual. Não foram apresentados os parâmetros considerados para a definição da demanda em posições.  Foi apresentada avaliação de capacidade para o pátio de equipamentos de rampa.</t>
  </si>
  <si>
    <t>Itens 1.3.3 e 1.3.5. Apresenta metodologias de cálculo de capacidade do sistema Terminal de Cargas e identifica a ausência de demanda e capacidade instalada. Apresenta metodologia utilizada na análise de capacidade do Sistema de Aviação Geral e comparação entre capacidade instalada e demanda.</t>
  </si>
  <si>
    <t>Apresenta no item 2.1.2 o PDIR da Infraero; elaborado em 2012 e o Estudo de Viabilidade Técnica; elaborado pelo BB em 2014. No item 2.4 Estudo de Alternativas,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</si>
  <si>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Apresenta no item 2.2 análise de possíveis restrições considerando a operação atual e a futura planejada. Não há efeitos adversos de Espaço Aéreo, de Capacidade, de Circulação e de OPEA. Podem haver restrições de meteorologia. Propõe melhorias a serem implantadas no horizonte de 30 anos para os serviços de tráfego aéreo na tabela 2-20 Melhorias de Tráfego Aéreo por Fase. </t>
  </si>
  <si>
    <t xml:space="preserve">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ampliações/reduções nas capacidades (obras). A alteração na capacidade de pista na fase 1 é apresentada apenas como resultado final,  sem detalhamento de como as alterações de infraestrutura impactam na capacidade calculada. Na tabela 2-81, que apresenta resumo das necessidades das instalações, há inconsistência na informação sobre as posições de pátio de aviação geral existentes, com relação ao apresentado nos itens de avaliação das condições existentes e de avaliação da capacidade instalada.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 Sistema de Aviação Geral. Além disso, também há inconsistência entre as duas informações sobre a demanda de posições para o Pátio de Aviação Geral. Na fase 1, propõe-se a contrução de uma área militar ao lado do hangar, mas não há motivação ou detalhamento no relatório. O item 2.7 apresenta detalhes do anteprojeto de engenharia proposto para o aeroporto, segregado em 8 itens (dispostos nos subitens do item 2.7). </t>
  </si>
  <si>
    <t>São apresentados laudos de geotecnia - com Penetrômetro Dinâmico Leve - e caracterização do solo local no item 2.7.1. 
No Anexo 3 ao Relatório são apresentados relatórios de: IRI; LVC; Sondagens PDL e Ensaios de caracterização do solo.</t>
  </si>
  <si>
    <t>Aponta que não há obras em andamento no aeroporto e aquelas previstas  foram indicadas na tabela 2-1.</t>
  </si>
  <si>
    <t>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(SBTT_CR-2Fases).</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</si>
  <si>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Não foi identificado no relatório de engenharia a justificativa para investimento em balizamento noturno na PPD (Fase II), presente na planilha de CAPEX
</t>
  </si>
  <si>
    <t xml:space="preserve">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3-3 e 3-4 e o detalhamento do dispêndio foi localizado na planilha "SBTT_capex_1.00". Apesar da afirmação, nota-se que existe uma previsão de "GASTOS COM DESAPROPRIAÇÕES E BENFEITORIAS NA FASE - 1" nas tabelas de CAPEX (3-3 e 3-4) cujo cálculo foi localizado na planilha com a descrição: "APT - Implantação e avaliação de Benfeitorias (Áreas Militares)", sem maior detalhamento do item, com referência a uma área adicional de 175m² (aba "preços patrimonial").. </t>
  </si>
  <si>
    <t xml:space="preserve">Due diligence dos contratos operacionais celebrados com a Infraero para o SBTT encontram-se reproduzidos no item 3.2.8 Due Diligence dos Contratos Operacionais. Não foi localizada análise dos contratos comerciais celebrados para o aeroporto, somente planilha com a disposição de suas principais características (na pasta do relatório econômico-financeiro). Não foi identificada análise dos contratos no tocante ao que dispõe a Portaria MTPA nº 143, de 6 de abril de 2017 (substituída pela Portaria MInfra nº 577, de 8 de novembro de 2019).  </t>
  </si>
  <si>
    <t xml:space="preserve">Para o sistema de pistas e vias de serviço, apresenta suas características e visão espacial, bem como avaliação de suas condições com registro fotográfico. Apresenta registros fotográficos e avaliação das condições verificadas em visita para alguns componentes do TPS (saguão de embarque e meio fio). Seus acessos e estacionamentos de veículos são caracterizados, localizados em mapa e suas condições físicas são avaliadas. Apresenta o pátio com localização em mapa e principais características, com destaque para não conformidades verificadas e ilustradas. Equipamentos de rampa foram apresentados e avaliados. São apresentadas de forma suscinta as infraestruturas aeronáuticas e suas funcionalidades.  Os sistemas de administração e manutenção, de apoio às operações bem como o sistema de infraestrutura básica encontram-se apresentados, localizados em planta e avaliados, sendo o item de energia elétrica bastante simplificado. A localização de cada componente de sistema é apresentada satisfatoriamente no caderno de plantas (Implantação atual). </t>
  </si>
  <si>
    <t xml:space="preserve">Para realização de due diligence imobiliária do aeroporto, o estudo afirma utilizar referências disponibilizadas no data room além de consulta a registros dos imóveis que compõem o sítio. Obteve certidão atualizada de imóvel (Anexo 6). Afirma, com base no PDIR, que a área do aeroporto está regularizada e titulada em nome da união para, na sequência, apresentar uma figura com área em azul como sendo de título não identificado. A conclusão apresentada é a de que "o Aeroporto ainda não está totalmente regularizado sob ponto de vista patrimonial." Sobre as cercas operacionais e patrimoniais, sua delimitação foi apresentada em planta e suas condições verificadas foram avaliadas. </t>
  </si>
  <si>
    <t>Declara que o zoneamento é totalmente civil, não havendo nada de posse do ComAer.
Zoneamento Funcional: Dividiu em várias categorias, relacionou a área de cada uma delas em m2. Relaciona a área de reserva indígena (Umariaçu) e as áreas especiais que abrangem COMARA e Hotel FAB (portanto militares).
Informa que o PBZPA apresentado no PDIR está desatualizado. Elabora PBZPAe PZPANA, avalia obstáculos e apresenta conclusão.
PZR: elaborou PEZR, que chama de plano especial de zoneamento de ruído. Não apresenta conclusão do plano.</t>
  </si>
  <si>
    <t>Item 2.3.2.2.Apresenta avaliação de capacidade do pátio único. Menciona a utilização dos tempos médios de permanência das aeronaves e do Mix de aeronaves que operam no pátio para comparação com as posições existentes. Apresenta os valores de demanda utilizados na comparação, mas os parâmetros considerados não foram mencionados. Apresenta avaliação de capacidade para pátio de equipamentos de rampa.</t>
  </si>
  <si>
    <t>Itens 2.3.3 e 2.3.5. Apresenta a informação sobre a inexistência de demanda e capacidade instalada do Sistema Terminal de Cargas. Apresenta metodologia utilizada na análise de capacidade do Sistema de Aviação Geral e comparação entre capacidade instalada e demanda. Não apresenta metodologia para a avaliação do estacionamento de veículos.</t>
  </si>
  <si>
    <t xml:space="preserve">Apresenta no item 2.5.1 o PDIR Infraero, elaborado em 2012;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</si>
  <si>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 xml:space="preserve">
Apresenta no item 2.4 os efeitos adversos de aerodromo no espaço aéreo e na capacidade; e os efeitos adversos OPEA na capacidade e no serviço de aeródromo nas principais áreas do aerodromo.
Propõe medidas mitigadoras para os efeitos adversos elencados (Tabela 2.81), bem como propõe melhorias no serviço de tráfego aéreo ao longo do período da concessão na Tabela 2.82.</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</si>
  <si>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recalibração do PAPI da cabeceira 12, mas não considera a necessidade de realocação e nem apresenta detalhamento.  Não apresenta comparação entre áeas requeridas, considerando a demanda, e áreas disponibilizadas na implantação final. Na área destacada para ampliação do TPS, existe hoje uma área do DTCEA, indicada na planta da situação atual, mas que foi desconsiderada no plano de desenvolvimento. O anteprojeto apresentado não apresenta área destinada à inspeção da PF e não traz alternativa para a questão. O nível de detalhamento do anteprojeto não permite identificar solução para a área do comando da aeronáutica localizada dentro da faixa de pista na implantação atual próximo à cabeceira 12.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</si>
  <si>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A representação das áreas correspondentes ao TPS e ao estacionamento de veículos nas plantas da situação atual e da implantação futura, sugerem que houve um afastamento entre as duas áreas, o que não condiz com o plano de desenvolvimento proposto.</t>
  </si>
  <si>
    <t>Identifica obra recentemente concluída no TPS. Aponta que não há obras em andamento ou previstas.</t>
  </si>
  <si>
    <t>Não foi apresentado anteprojeto em nível de detalhamento suficiente para levantamento dos quantitativos adotados no cálculo do CAPEX. Os quantitativos por ciclo de investimento, presentes na aba "CAPEX", não possuem referência de forma que não é possível rastrear sua origem
Os quantitativos utilizados para o cálculo dos custos unitários paramétricos, observados no arquivo "Preços unitários", não possuem rastreabilidade.
Não foram apresentados os projetos e orçamentos utilizados para a definição dos custos paramétricos utilizados pelo Consórcio.
Não foram apresentados solução no anteprojeto para a questão das ocupações irregulares no sítio aeroportuário.</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</si>
  <si>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(R$ 6.129,8) foi 274,96 m³, valor distoante daqueles observados em construções do mesmo porte.
Ainda, considerando o pequeno espaço amostral, não é possível concluir que o custo paramétrico adotado possui precisão compatível com o exigido.
</t>
  </si>
  <si>
    <t xml:space="preserve">Os documentos utilizados para a avaliação patrimonial do aeroporto são apresentados no Anexo 6. Obteve certidões atualizadas dos imóveis. Afirma, com base no PDIR, que a área do aeroporto está regularizada e titulada em nome da união para, na sequência, apresentar uma figura com área em azul como sendo de título não identificado. A conclusão apresentada é a de que "o Aeroporto ainda não está totalmente regularizado sob ponto de vista patrimonial". Sobre as cercas operacionais e patrimoniais, sua delimitação foi apresentada em planta e suas condições verificadas foram avaliadas. </t>
  </si>
  <si>
    <t xml:space="preserve">Divide em áreas civil/especial de uso militar.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Elabora novos PBZPA e PZPANA mas não há avaliação crítica ou conclusão desses planos (com relação a obstáculos).
PZR: elabora PEZR e apresenta conclusão.
</t>
  </si>
  <si>
    <t xml:space="preserve">Relaciona seis não conformidades apontadas pela ANAC e algumas outras: provimento de RESA, supressão vegetal na faixa de pista, corrigir faixa de pista, adequar instalações para ops internacional etc.
Apresenta pesquisa do historico de NOTAM desde 01/01/2014 a 30/06/2019 e obteve o número de dias em que alguns equipamentos estiveram inoperantes. </t>
  </si>
  <si>
    <t>Calcula e avalia a capacidade instalada do sistema de aviação geral somente em apêndice específico do relatório de mercado. A avaliação de capacidade do TECA só é apresentada em uma tabela que resume todos os componentes no Relatório do Estudo de Engenharia e no Apêndice 2 do Relatório de Engenharia com a informação de que não há capacidade instalada e demanda. Na avaliação do sistema de aviação geral, são avaliados Terminal de Aviação Geral e estacionamento de veículos. Os valores de demanda apresentados não correspondem ao SBTT.</t>
  </si>
  <si>
    <t xml:space="preserve">Faz referência no Apêndice 3 ao PDIR Infraero, elaborado em 2012. Observa que o parecer favorável do ComAer tem validade de cinco anos.
No mesmo Apêndice, menciona o PAN (item 1.2.1); o Plano Aeroviário Estadual (item 1.2.2) e o sistema Horus (item 1.3.3). Faz considerações sobre o Estudo de Viabilidade Técnica encontrado no referido sistema. 
Utiliza o PDIR como referência para elaborar alternativas de desenvolvimento; apresenta 4 alternativas para desenvolvimento do aeroporto.
Por fim, o Apêndice 4 apresenta a alternativa escolhida, que alegadamente foge do proposto pelo PDIR e dialoga com as limitações existentes no sítio.
</t>
  </si>
  <si>
    <t>Apresenta no Apêndice 5 um plano de desenvolvimento.
Informa que o desenvolvimento das fases está em um arquivo excel, sem especificação.
O Plano de Desenvolvimento apresentado no Apêndice 5 guarda relação com a alternativa escolhida, apresentada no Apêndice 4.</t>
  </si>
  <si>
    <t>É apresentado um cronograma simplificado no item 10.5 Cronograma de Obras e em anexo. Não foram encontrados embasamentos técnicos para o cronograma apresentado. Há inconsistência entre as informações do item 10.2 e do cronograma.</t>
  </si>
  <si>
    <t xml:space="preserve">Para o sistema TPS, apresenta a localização das edificações, informações dos componentes verificados na edificação, com registros fotográficos, porém desacompanhados de avaliação das condições observadas quando da visita. Meio fio, estacionamentos de veículos e vias de acesso foram apresentados, ilustrados e avaliados. Para o sistema de pistas, as áreas foram identificadas em mapa, as estruturas foram caracterizadas e avaliadas. A constante travessia de pedestres (indígenas) na PPD foi identificada e ilustrada (2 locais distintos). O Pátio de aeronaves do aeroporto (Pátio 1) é apresentado com ilustração, croqui de localização e avaliação das condições observadas no local. São apresentadas as vias de serviços com localização e condições observadas. Sobre as instalações administrativas e de manutenção, as áreas encontram-se representadas em foto e avaliadas pelas condições apresentadas. Sobre o sistema de apoio às operações, as instalações foram apresentadas, caracterizadas, ilustradas em foto(s) e avaliadas. Boa descrição dos sistemas de infraestrutura básica (energia elétrica, água potável, TI, ar condicionado, etc). Apresenta ainda as infraestruturas de aeronáutica identificadas no aeroporto, com suas características e registros fotográficos. A localização de cada componente de sistema é apresentada satisfatoriamente no caderno de plantas (Situação atual). </t>
  </si>
  <si>
    <t>O Anexo 2 apresenta documentação referente ao Patrimônio do aeroporto. O material reproduzido não foi questionado/avaliado, apesar da extensa documentação exposta. Afirma que os documentos apresentados atestam a regularidade patrimonial da área. Apresenta levantamento sobre cercas trazendo informações desacompanhadas de registro fotográfico e de avaliação das condições verificadas bem como sua localização em croqui.</t>
  </si>
  <si>
    <t>Declara que toda a área é civil, e que a área em que há atividade militar é inserida no zoneamento funcional como Área Especial.
Zoneamento Funcional: apresenta planta do sítio aeroportuário com manchas, não há metragem das zonas.
Elabora PBZPAe PZPANA, avalia obstáculos e apresenta conclusão.
Apresenta PZR elementar, sem conclusão do plano.</t>
  </si>
  <si>
    <t xml:space="preserve">Foi apresentada avaliação da capacidade instalada frente a demanda atual do aeroporto. No entanto, a unidade de medida é inadequada à análise de capacidade
Não foi seguida a diretriz para determinação da hora pico.
O valor da capacidade de estacionamento apresentado diverge entre as diferentes tabelas apresentadas no relatório.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Os valores recomendados para a capacidade dos componentes Check-in e Despacho, Praça de Movimentação/Manuseio de Bagagem Embarcada e Sala de Embarque estão divergentes quando comparadas a tabela constante no relatório Estudos de Mercado e Afins e a planilha Engenharia_Dimensionamento
Não é apresentada capacidade das vias de acesso.
A avaliação da capacidade em termos de equipamentos, feita por outro grupo, não foi realizada para as instalações existentes.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</si>
  <si>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 pista de táxi apenas comparando a largura da pista com a largura requerida pela aeronave crítica. Não observa a largura da pista com acostamento.</t>
  </si>
  <si>
    <t>A avaliação de capacidade do pátio é apenas um levantamento das posições de pátio existentes. Não há cálculo para a capacidade dinâmica. Não há comparação com a demanda. Há um levantamento da área destinada a equipamento de rampa, mas não apresenta cálculo de capacidade.</t>
  </si>
  <si>
    <t>Item 1.3.5. Apresenta metodologia de cálculo de capacidade apenas para o Terminal de Cargas. Apresenta comparação com a demanda em unidade de área. Há inconsistência no valor apresentado como área requerida. Sobre o Sistema de Aviação Geral, apenas informa que não há infraestrutura específica.</t>
  </si>
  <si>
    <t>Apresenta no item 2.1 o PDIR Infraero, datado de 2012.
Menciona o contrato existente para instalação de PAPI em diversos aeroportos Infraero (em SBTT na cabeceira 30), com previsão de conclusão até a data prevista para início da concessão.
Não apresenta alternativas para o desenvolvimento do aeroporto além do PDIR.</t>
  </si>
  <si>
    <t>Apresenta avaliação no item 2.3.4.
Afirma no item 2.3.4..4.1 que não há Restrições ou efeitos adversos.
Não apresenta, de forma estruturada, proposta de medidas mitigadoras ou de melhorias no serviço de tráfego aéreo.</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</si>
  <si>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Há inconsistência entre os valores informados para a redução da PPD (100m na cabeceira 30 e 60 m na cabeceira 12), o comprimento atual da PPD (2158 m) e o valor final informado pelo grupo (1900 m). Há inconsistência na largura de táxi informada pelo grupo no plano de desenvolvimento, utilizado para definir as intervenções no anteprojeto. O anteprojeto não apresenta solução para a área do comando da aeronautica localizada dentro da faixa de pista, e faixa preparada, próximo à cabeceira 12. O anteprojeto não apresenta justificativa para a implantação da área de teste de motores. Não foram apresentadas justificativas para implantação da faixa preparada em dimensões acima do requerido pelo regulamento. Não foram apresentadas justificativas para área adotada por unidade de capacidade de processamento dos sistemas de ETA e ETE. Atualmente há no aeroporto uma inspeção de segurança realizada pela policia federal antes da área de formação de filas para check-in. O anteprojeto apresentado não apresenta área destinada à inspeção da PF e não traz alternativa para a questão. Não apresenta comparação entre áreas requeridas e áreas disponibilizadas em cada etapa de implantação.</t>
  </si>
  <si>
    <t>O item 2.3.5 aponta as alterações em cada fase de implantação. As plantas apresentam a configuração em cada uma das fases, mas não há destaque para as modificações. O detalhamento em termos de desenhos e croquis não possibilita a avaliação do impacto das ampliações/implantações da infraestrutura para componentes como pátio de aeronaves e estacionamento de veículos. O anteprojeto não apresenta detalhamento suficiente de forma a permitir a avaliação quanto a adequação, em termos de regulamentos técnicos, das posições de aeronaves projetadas dentro da área de pátio proposta.</t>
  </si>
  <si>
    <t>Apresenta no anexo 3: laudos de sondagens e ensaio geotécnicos e de ensaios não destrutivos (FWD e georadar) disponibilizados pela SAC e realizados em 2015.
O plano de desenvolvimento apresentado não propõe obras de grande vulto, atribui-se nota integral ao item.</t>
  </si>
  <si>
    <t xml:space="preserve">O arquivo contendo o cronograma projetado não foi localizado, sendo apresentado, no item 2.4.7, apenas um cronograma simplificado. O cronograma simplificado apresentado não permite a visualização de todas as linhas planejadas, indicando apenas o cronograma de macro itens. Da forma como apresentado, não foi possível identificar o cronograma de implantação, por exemplo. dos itens inseridos em Sistema de Infraestrutura Básica.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</si>
  <si>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crescimento agressivo com relação ao histórico verificado (de 1,8MM em 2018 para 4,9MM em 2022). O mesmo acontece para custos com utilidades, entre outros. Não esclarece porque aplica o benchmarking na projeção de custos com pessoal somente no início da concessão e para os anos de 2026, 2031, 2036,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</si>
  <si>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 xml:space="preserve">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fluxo dos acessos e avalação de suas instalações. Na avaliação do TPS, lista as áreas por componente, incluindo os estacionamentos de veículos. Na avaliação do acesso viário, apresenta o fluxo de acesso ao terminal. Também foram apresentados e avaliados os componentes de infraestrutura aeronáutica verificados no aeroporto. Sistema de administração e manutenção bem como sistema de apoio às operações e às companhias aéreas e, finalmente, sistema de infraestrutura básica também encontram-se apresentados e avaliados. </t>
  </si>
  <si>
    <t>O estudo avalia individualmente a situação patrimonial das áreas que compõem o sítio aeroportuário, verificando a sua regularidade jurídica/imobiliária. O resultado encontra-se consolidado em tabela apresentada ao final do Anexo 2. Realizou due diligence e obteve matrícula atualizada (Anexo 2). Apresenta em planta a localização das áreas e a sua regularidade. Apresenta levantamento sobre cercas e acessos trazendo fotos, localização e avaliação de suas condições.</t>
  </si>
  <si>
    <t>Apresenta as não conformidades apontadas pela ANAC.
Outras não conformidades: prover RESA, PAPI indisponível da THR 33, prover blast pad nda THR 33, largura da TWY A inferior ao mínimo para a operação existente, existência de elementos de drenagem dentro da faixa preparada ao longo de toda RWY.</t>
  </si>
  <si>
    <t>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realizam a análise da capacidade instalada dos processadores utiliza a demanda da 30ª hora mais movimentada e não o critério de 1,3 vezes a aeronave com maior número de assentos.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</si>
  <si>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 comparação de capacidade instalada com demanda é apresentada em planilha em anexo. Avalia a capacidade da pista de táxi para a aeronave crítica considerada. Na avaliação da capacidade da pista de táxi, levou-se em conta a largura da pista. Apresenta aeronave crítica incompatível com a operação atual do aeroporto.</t>
  </si>
  <si>
    <t>Apresenta metodologias de cálculo de capacidade do sistema Terminal de Cargas e identifica a ausência de demanda e capacidade instalada. Há inconsistência na avaliação do estacionamento de veículos. Apresenta metodologia utilizada na análise de capacidade do Sistema de Aviação Geral e comparação entre capacidade instalada e demanda. Há inconsistência entre a avaliação de capacidade apresentada no Relatório e a planilha de dimensionamento.</t>
  </si>
  <si>
    <t>Atendido no item 2.1.2 Plano de Desenvolvimento existente: apresenta o PDIR da Infraero elaborado em 2012; o Planejamento da Infraestrutura Aeroportuária de SBTF elaborado pela UFSC em 2017 e o Estudo de Viabilidade Técnica elaborado pelo BB em 2014.
No item 2.4 Estudo de Alternativas,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</si>
  <si>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Atendido no item 2.2 Análise de Tráfego Aéreo e Possíveis Restrições. É feita análise de possíveis restrições considerando a operação atual e a futura planejada. Não há efeitos adversos de Espaço Aéreo, de Capacidade, de Circulação e de OPEA. Podem haver restrições de meteorologia. Propõe melhorias a serem implantadas no horizonte de 30 anos para os serviços de tráfego aéreo na tabela 2-22 Melhorias de Tráfego Aéreo por Fase.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</si>
  <si>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ampliações/reduções nas capacidades (obras).  É apresentada uma alteração na capacidade horária do sistema de pistas na fase 1, mas não há detalhamento nem alterações significativas no sistema de pistas. Na tabela 2-83, que apresenta resumo das necessidades das instalações, há inconsistência na informação sobre as posições de pátio de aviação geral existentes, com relação ao apresentado no itens de avaliação das condições existentes e de avaliação da capacidade instalada.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 Sistema de Aviação Geral. Além disso, também há inconsistência entre as duas informações sobre a demanda de posições para o Pátio de Aviação Geral. O item 2.7 apresenta detalhes do anteprojeto de engenharia proposto para o aeroporto, segregado em 8 itens (dispostos nos subitens do item 2.7).</t>
  </si>
  <si>
    <t>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(SBTF_CR-2Fases).</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</si>
  <si>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 componente Estacionamento do Terminal de Cargas. No entanto, não há previsão de investimento em tal componente.
Não foi justificada a previsão de uso da mesma estrutura de pavimento da PPD para a implantação da plataforma contra jado de motor (blast pad), uma vez que esta poderia ter um dimensionamento menos robusto.
Não foram apresentadas justificativas para demolições de pavimentos não necessários nas fases de expansão da infraestrutura e cujas áreas não serão utilizadas. 
</t>
  </si>
  <si>
    <t>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3-3 e 3-4.</t>
  </si>
  <si>
    <t xml:space="preserve">Due diligence dos contratos operacionais celebrados com a Infraero para o SBTF encontram-se reproduzidos no item 3.2.8 Due Diligence dos Contratos Operacionais. Não foi localizada análise dos contratos comerciais celebrados para o aeroporto, somente planilha com a disposição de suas principais características (na pasta do relatório econômico-financeiro). Não foi identificada análise dos contratos no tocante ao que dispõe a Portaria MTPA nº 143, de 6 de abril de 2017 (substituída pela Portaria MInfra nº 577, de 8 de novembro de 2019).  </t>
  </si>
  <si>
    <t>Texto não é claro. Compara as áreas obtidas em documentos imobiliários com as informadas do PDIR e não identifica diferenças. Na sequência apresenta uma figura com área (cor azul) de título não identificado, sem indicação em mapa da mencionada área 2 e, por fim, conclui que "o Aeroporto ainda não está totalmente regularizado sob ponto de vista patrimonial", razão pela qual propõe medidas que deverão ser tomadas pela futura Concessionária para a regularização patrimonial do sítio aeroportuário. Obteve certidões atualizadas dos imóveis (Anexo 6). Sobre as cercas operacionais e patrimoniais, sua delimitação foi apresentada em planta. Foram apresentados ainda os acessos ao sítio.</t>
  </si>
  <si>
    <t>Divide em áreas civil/militar e relaciona a metragem de cada uma delas.
Zoneamento Funcional: Dividiu em várias categorias, relacionou a área de cada uma delas em m2.
Informa que o PBZPA apresentado no PDIR está desatualizado. Elabora PBZPAe PZPANA, avalia obstáculos e apresenta conclusão.
PZR: elaborou PEZR, que chama de plano especial de zoneamento de ruído. Não apresenta conclusão do plano.</t>
  </si>
  <si>
    <t>Apresenta a informação sobre a inexistência de demanda e capacidade instalada do Sistema Terminal de Cargas. Apresenta metodologia utilizada na análise de capacidade do Sistema de Aviação Geral e comparação entre capacidade instalada e demanda. Não apresenta metodologia para a avaliação do estacionamento de veículos e da área de hangares e pátios de acesso.</t>
  </si>
  <si>
    <t xml:space="preserve">Atendido ao apresentar no item 2.5.1 o PDIR Infraero, elaborado em 2014;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</si>
  <si>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2.80), bem como propõe melhorias no serviço de tráfego aéreo ao longo do período da concessão na Tabela 2.81.</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</si>
  <si>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deficultando a identificação das alterações propostas. Há áreas na planta da situação atual que não aparecem nas plantas do plano de desenvolvimento, como a área inicialmente identificada como oficinas de manutenção.</t>
  </si>
  <si>
    <t>Menciona obra recentemente concluída e apresenta um levantamento de obras previstas.</t>
  </si>
  <si>
    <t xml:space="preserve">Não foi apresentado anteprojeto em nível de detalhamento suficiente para levantamento dos quantitativos adotados no cálculo do CAPEX. Os quantitativos por ciclo de investimento, presentes na aba "CAPEX", não possuem referência de forma que não é possível rastrear sua origem
Os quantitativos utilizados para o cálculo dos custos unitários paramétricos, observados no arquivo "Preços unitários", não possuem rastreabilidade.
Não foram apresentados os projetos e orçamentos utilizados para a definição dos custos paramétricos utilizados pelo Consórcio.
</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</si>
  <si>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(R$ 6.331,1,8) foi 274,96 m³, valor distoante daqueles observados em construções do mesmo porte.
Ainda, considerando o pequeno espaço amostral, não é possível concluir que o custo paramétrico adotado possui precisão compatível com o exigido.
</t>
  </si>
  <si>
    <t>O relatório de engenharia afirma que a avaliação patrimonial do aeroporto é apresentada no Apêndice 9. Não foram apresentadas nem analisadas as áreas que compõem o sítio, mas somente reproduzidos algumas conclusões do PDIR. Não apresenta qualquer avaliação das cercas e perímetros no relatório. Conforme afirmado no texto, a análise não inclui diligências complementares cartorárias nem qualquer diligência in loco.</t>
  </si>
  <si>
    <t xml:space="preserve">Divide em áreas civil/militar sendo que algumas áreas militares possuem o status de especiais.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Avalia que há obstáculos, elabora novos PBZPA e PZPANA mas não há avaliação crítica ou conclusão desses planos (com relação a obstáculos). 
PZR: elabora PEZR e apresenta conclusão.
</t>
  </si>
  <si>
    <t xml:space="preserve">Relaciona seis não conformidades apontadas pela ANAC e algumas outras: provimento de RESA, supressão vegetal na faixa de pista, corrigir faixa de pista etc.
Apresenta pesquisa do historico de NOTAM desde 01/01/2014 a 30/06/2019 e obteve o número de dias em que alguns equipamentos estiveram inoperantes. </t>
  </si>
  <si>
    <t xml:space="preserve">Calcula e avalia a capacidade instalada do sistema de aviação geral somente em apêndice específico do relatório de mercado. A avaliação de capacidade do TECA só é apresentada em uma tabela que resume todos os componentes no Relatório do Estudo de Engenharia e no Apêndice 2 do Relatório de Engenharia com a informação de que não há capacidade instalada e demanda. Na avaliação do sistema de aviação geral, são avaliados Terminal de Aviação Geral e estacionamento de veículos. </t>
  </si>
  <si>
    <t>Faz referência no Apêndice 3 ao PDIR Infraero, elaborado em 2014. Observa que o plano apresenta grande descolamento da realidade.
No mesmo Apêndice, menciona o PAN (item 1.2.1); o Plano Aeroviário Estadual (item 1.2.2) e o sistema Horus (item 1.3.3). Faz considerações sobre o Estudo de Viabilidade Técnica encontrado no referido sistema. 
Utiliza o PDIR como referência para elaborar alternativas de desenvolvimento.
Ainda no Apêndice 3, em que pese concordar com o EVT disponível no sistema Horus, que propõe uma única pista, apresenta 4 alternativas para desenvolvimento do aeroporto - todas com duas pistas tal qual o PDIR.
Por fim, o Apêndice 4 apresenta a alternativa escolhida, que alegadamente foge do proposto pelo PDIR e dialoga com as limitações existentes no sítio.</t>
  </si>
  <si>
    <t xml:space="preserve">Para o sistema TPS, apresenta a localização da edificação, informações dos componentes verificados no TPS, com registros fotográficos e avaliação das condições observadas quando da visita. Meio fio, estacionamentos de veículos e acesso viário foram apresentados, ilustrados e avaliados. Para o sistema de pistas, as áreas foram identificadas em mapa, as estruturas foram caracterizadas e avaliadas. O Pátio de aeronaves do aeroporto é apresentado com ilustrações, croqui de localização e avaliação das condições observadas no local. Sobre as instalações administrativas e de manutenção, as áreas encontram-se representadas em fotos. Sobre o sistema de apoio às operações, as instalações foram apresentadas, caracterizadas, ilustradas em foto(s) e avaliadas. Boa descrição dos sistemas de infraestrutura básica (energia elétrica, água potável, TI, ar condicionado, etc). Apresenta ainda as infraestruturas de aeronáutica identificadas no aeroporto, com suas características e registros fotográficos. A localização de cada componente de sistema é apresentada satisfatoriamente no caderno de plantas (Situação atual). </t>
  </si>
  <si>
    <t>O Anexo 2 apresenta documentação referente ao Patrimônio do aeroporto. Apresenta em planta a localização das áreas e, com base no disposto no PDIR, conclui pela sua regularidade. Análise limita-se ao disposto no Plano Diretor da Infraero. Apresenta levantamento sobre cercas trazendo uma foto desacompanhada de localização em croqui e breve avaliação das condições verificadas.</t>
  </si>
  <si>
    <t>Divide em áreas civil/militar e detalha a metragem de cada uma.
Zoneamento Funcional: apresenta planta do sítio aeroportuário com manchas, não há metragem das zonas.
Elabora PBZPAe PZPANA, avalia obstáculos e apresenta conclusão.
Apresenta PZR elementar, sem conclusão do plano.</t>
  </si>
  <si>
    <t xml:space="preserve">Foi apresentada avaliação da capacidade instalada frente a demanda atual do aeroporto. No entanto, a unidade de medida é inadequada à análise de capacidade
Não foi seguida a diretriz para determinação da hora pico.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Os valores recomendados para a capacidade dos componentes, Praça de Movimentação/Manuseio de Bagagem Embarcada, Inspeção de Segurança e Sala de Embarque estão divergentes quando comparadas a tabela constante no relatório Estudos de Mercado e Afins e a planilha Engenharia_Dimensionamento
Não é apresentada capacidade das vias de acesso.
A avaliação da capacidade em termos de equipamentos, feita por outro grupo, não foi realizada para as instalações existentes.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</si>
  <si>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 pista de táxi apenas comparando a largura da pista com a largura requerida pela aeronave crítica. Não observa o requisito de largura da pista com acostamento.</t>
  </si>
  <si>
    <t>A avaliação de capacidade do pátio é apenas um levantamento das posições de pátio existentes. Não há cálculo para a capacidade dinâmica. Não há comparação com a demanda. Não foram consideradas as posições de aviação geral. Há um levantamento da área destinada a equipamento de rampa, mas não apresenta cálculo de capacidade.</t>
  </si>
  <si>
    <t>Apresenta metodologia de cálculo de capacidade apenas para o Terminal de Cargas. Apresenta comparação com a demanda em unidade de área. Há inconsistência no valor apresentado como área requerida. Sobre o Sistema de Aviação Geral, apenas informa que não há infraestrutura específica.</t>
  </si>
  <si>
    <t xml:space="preserve"> Para o cálculo da capacidade do SESCINC foi considerada norma bastante defasada.</t>
  </si>
  <si>
    <t>Apresenta o PDIR Infraero, datado de 2014.
Não apresenta alternativas para o desenvolvimento do aeroporto além do PDIR.</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</si>
  <si>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O anteprojeto não previu investimentos para saneamento das não conformidades e pendências levantadas pelo grupo (erosão na faixa de pista próximo a cabeceira 33, acúmulo de asfalto na base da sinalização luminosa da cabeceira recuada 15, canaleta fora da cota na faixa de pista e vegetação como obstáculo da faixa de pista). A avaliação dos estudos, projetos e obras existentes não conclui que tais não conformidades serão sanadas pelo atual operador aeroportuário. O anteprojeto não apresenta justificativa para a implantação da área de teste de motores. Não foram apresentadas justificativas para implantação da faixa preparada em dimensões acima do requerido pelo regulamento. Não foram apresentadas justificativas para área adotada por unidade de capacidade de processamento dos sistemas de ETA e ETE. Não apresenta comparação entre áreas requeridas e áreas disponibilizadas em cada etapa de implantação.</t>
  </si>
  <si>
    <t>O item 2.3.5 aponta as alterações em cada fase de implantação. As plantas apresentam a configuração em cada uma das fases, mas não há destaque para as modificações. O detalhamento em termos de desenhos e croquis não possibilita a avaliação do impacto das ampliações/implantações da infraestrutura para componentes terminal de passageiros. O anteprojeto não apresenta detalhamento suficiente de forma a permitir a avaliação quanto a adequação, em termos de regulamentos técnicos, das posições de aeronaves projetadas dentro da área de pátio proposta.</t>
  </si>
  <si>
    <t>Apresenta no anexo 3: laudos de ensaios não destrutivos (FWD e georadar) disponibilizados pela SAC e realizados em 2015.
O plano de desenvolvimento apresentado não propõe obras de grande vulto, atribui-se nota integral ao item.</t>
  </si>
  <si>
    <t>Afirma não haver obras e serviços em execução, contratados ou em licitação. Aponta serviço pendente.</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</si>
  <si>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alguns itens de custo prevê já para o primeiro ano completo de operação pelo concessionário redução brusca com relação ao histórico verificado. Não esclarece porque aplica o benchmarking na projeção de custos com pessoal somente no início da concessão e para os anos de 2026, 2031, 2035,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</si>
  <si>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As vias de serviço também são apresentadas, localizadas em planta, ilustradas em fotos e avaliadas. Na avaliação do TPS, lista as áreas por componente, incluindo os estacionamentos de veículos. Na avaliação do acesso viário, apresenta o fluxo de acesso ao terminal. Para o sistema TECA, a edificação é apresentada bem como seus pátios, estacionamento e acessos. As estruturas são ilustradas em fotos e suas condições são avaliadas. Também foram apresentados e avaliados os componentes de infraestrutura aeronáutica verificados no aeroporto. Na avaliação do sistema de aviação geral apresenta a localização e situação verificada para os hangares bem como o acesso viário às instalações. Sistema de administração e manutenção bem como sistema de apoio às operações e às companhias aéreas e, finalmente, sistema de infraestrutura básica também encontram-se apresentados e avaliados.</t>
  </si>
  <si>
    <t>O estudo avalia individualmente a situação patrimonial das áreas que compõem o sítio aeroportuário, verificando a sua regularidade jurídica/imobiliária, inclusive para a área em litígio. O resultado encontra-se consolidado em tabela apresentada ao final do Anexo 2. Realizou due diligence e obteve matrículas atualizadas (Anexo 2). Apresenta em planta a localização das áreas e a sua regularidade. Apresenta levantamento sobre cercas e acessos trazendo fotos e avaliação de suas condições.</t>
  </si>
  <si>
    <t>Divide em áreas civil/militar, as detalha e relaciona a metragem de cada uma delas. Inclui DTCEA-BV (TWR).
Zoneamento Funcional: Dividiu em várias categorias, relacionou a área de cada uma delas em ha. A área total em ha está conforme a área total em m2 informada no mesmo relatório.
Elabora PBZPAe PZPANA, avalia obstáculos e apresenta conclusão.
PZR: foi elaborado novo plano.</t>
  </si>
  <si>
    <t>Reproduz as não conformidades apontadas pela ANAC, sem criticá-las. As NC de AVSEC são do aeroporto de Salvador (SBSV) processos 00065.558378/2017-08 e 00058.022707/2018-49. Apresenta outras não conformidades: ausência de RESA  nas 2 cabeceiras; dimensões da faixa preparada; elementos de drenagem na faixa preparada e nas faixas de pista das TWY; largura da TWY F inferior ao requisito; além de necessidade de melhorias nas vias de serviço, no Terminal e no sistema de drenagem.</t>
  </si>
  <si>
    <t>As áreas da sala de embarque informada no relatório de engenharia diverge daquela levantada em planta.
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realizam a análise da capacidade instalada dos processadores utiliza a demanda da 30ª hora mais movimentada e não o critério de 1,3 vezes a aeronave com maior número de assentos.</t>
  </si>
  <si>
    <t>Apresenta avaliação de capacidade estática e dinâmica do pátio principal. Não compara a capacidade instalada com a demanda. O cálculo da capacidade do pátio de aviação geral está no item 1.3.5 (Sistema de Aviação Geral) e apresenta metodologia exclusivamente proporcional à área necessária para aeronaves asa fixa e asa móvel. Há inconsistência no resultado apresentado. Não foi identificado pátio de aviação geral na avaliação de capacidade, apesar do pátio ter sido identificado no item referente à Avaliação das Instalações Existentes. Foi apresentada avaliação de capacidade para o pátio de equipamentos de rampa.</t>
  </si>
  <si>
    <t xml:space="preserve">Apresenta metodologias de cálculo de capacidade do sistema Terminal de Cargas. Algumas considerações utilizadas nos cálculos de capacidade não são justificadas.  Na avaliação do pátio lado ar, a avaliação de demanda é baseada nas posições do pátio de carga.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 </t>
  </si>
  <si>
    <t>Atendido no item 2.1.2 Plano de Desenvolvimento existente: apresenta o PDIR da Infraero elaborado em 2012.
No item 2.4 Estudo de Alternativas,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</si>
  <si>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Atendido no item 2.2 Análise de Tráfego Aéreo e Possíveis Restrições. É feita análise de possíveis restrições considerando a operação atual e a futura planejada. Não há efeitos adversos de Capacidade. NA Circulação, não há previsão de novos efeitos adversos além dos já existentes (considerando a circulação aérea dos helipontos SWWC e SJFZ e do aeródromo SWPD). Idem para OPEA. Podem haver restrições de alta demanda e de meteorologia. Propõe melhorias a serem implantadas no horizonte de 30 anos para os serviços de tráfego aéreo na tabela 2-18 Melhorias de Tráfego Aéreo por Fase. </t>
  </si>
  <si>
    <t>São apresentados laudos de geotecnia e caracterização do solo local no item 2.7.1. 
No Anexo 3 ao Relatório são apresentados relatórios de: IRI; FWD; LVC; Sondagens SPT e Ensaios de caracterização do solo.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</si>
  <si>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(SBBV_CR-2Fases).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</si>
  <si>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 componente Estacionamento do Terminal de Aviação Geral. No entanto, não há previsão de investimento em tal componente.
O relatório de engenharia não apresentou justificativa para as obras previstas nas TWY C, D e E, presentes na planilha de CAPEX (Fase I)
</t>
  </si>
  <si>
    <t>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3-1 e 3-2.</t>
  </si>
  <si>
    <t xml:space="preserve">Due diligence dos contratos operacionais celebrados com a Infraero para o SBBV encontram-se reproduzidos no item 3.2.8 Due Diligence dos Contratos Operacionais. Não foi localizada análise dos contratos comerciais celebrados para o aeroporto, somente planilha com a disposição de suas principais características (na pasta do relatório econômico-financeiro). Não foi identificada análise dos contratos no tocante ao que dispõe a Portaria MTPA nº 143, de 6 de abril de 2017 (substituída pela Portaria MInfra nº 577, de 8 de novembro de 2019).  </t>
  </si>
  <si>
    <t>Texto não é claro. Com base no PDIR, assume que a área do sítio está regularizada em sua totalidade (tabela 2.3), para na sequência afirmar não ser possível apurar se há diferença de área entre o documentos imobiliários e compará-los com o PDIR. Por fim, afirma novamente que a área 1 está regularizada mas conclui que "o Aeroporto ainda não está totalmente regularizado sob ponto de vista patrimonial", razão pela qual propõe medidas que deverão ser tomadas pela futura Concessionária para a regularização patrimonial do sítio aeroportuário. Não é possível identificar as áreas da planta apresentada pela legenda. Não faz referência ao esclarecimento encaminhado às empresas sobre os limites do Sítio do Aeroporto de Boa Vista (área em litígio). Obteve certidão atualizada de imóvel (Anexo 6). Sobre as cercas operacionais e patrimoniais bem como os acessos ao aeroporto, sua delimitação foi apresentada em planta e suas condições verificadas são avaliadas suscintamente. Foram apresentadas ainda algumas ilustrações de cerca e dos acessos ao sítio.</t>
  </si>
  <si>
    <t>Divide em áreas civil/militar, as detalha e relaciona a metragem de cada uma delas.
Zoneamento Funcional: Dividiu em várias categorias, relacionou a área de cada uma delas em m2.
Informa que o PBZPA apresentado no PDIR está desatualizado. Elabora PBZPAe PZPANA, avalia obstáculos e apresenta conclusão.
PZR: elaborou PEZR, que chama de plano especial de zoneamento de ruído. Não apresenta conclusão do plano.</t>
  </si>
  <si>
    <t>Reproduz as não conformidades apontadas pela ANAC, sem criticá-las. As NC de AVSEC são do aeroporto de Salvador (SBSV) processos 00065.558378/2017-08 e 00058.022707/2018-49.</t>
  </si>
  <si>
    <t>O cálculo da capacidade de check-in não foi apresentado para os fluxos doméstico e internacional, somente par ao fluxo simultâneo, de forma que, sem apresentação das considerações realizadas, não foi possível reproduzir os resultados do grupo com base na equação apresentada.
O valor apresentado para a capacidade do saguão de embarque está incompatível com os dados apresentados.
O cálculo da capacidade das vias de aceso leva a um número de passageiros por veículo incompatível como utilizado para determinação da capacidade de meio fio
Não foi demonstrado a origem da demanda por vagas para o estacionamento de veículos.
Não foi realizada avaliação da capacidade em termos de equipamentos instalados. Tal avaliação, realizada por outro grupo, agregou informação ao relatório.</t>
  </si>
  <si>
    <t>Apresenta avaliação de capacidade do pátio de aviação regular conjuntamente com o pátio de aviação geral. Menciona a utilização dos tempos médios de permanência das aeronaves e do Mix de aeronaves que operam no pátio para comparação com as posições existentes. Apresenta os valores de demanda utilizados na comparação, mas os parâmetros considerados não foram mencionados. Apresenta avaliação de capacidade para pátio de equipamentos de rampa.</t>
  </si>
  <si>
    <t>Apresenta metodologias de cálculo de capacidade do sistema Terminal de Cargas. Apresenta avaliação de capacidade para Terminal e Estacionamento. Apresenta comparações com a demanda em unidade de área. Os dados apresentados não são suficientes para a reprodução dos resultados de demanda pela CAE. Os cálculos são apresentados em planilha de dimensionamento, mas há inconsistências. Apresenta metodologia utilizada na análise de capacidade do Sistema de Aviação Geral. Na avaliação do estacionamento, não considera as vagas do estacionamento do TPS para atendimento da demanda. Na avaliação dos hangares, considera a área total e compara a capacidade com a demanda em vagas. Não apresenta as considerações para a definição da demanda utilizada na comparação. Há inconsistência entre as áreas apresentadas e as identificadas nas plantas.</t>
  </si>
  <si>
    <t xml:space="preserve">Atendido ao apresentar no item 2.5.1 o PDIR Infraero, elaborado em 2012 e revisado em 2013;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</si>
  <si>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O item 3.5 apresenta alguns detalhes do anteprojeto de engenharia proposto. Há inconsistência nas informações apresentadas na tabela 3.50 com relação à configuração da PPD após intervenções. Não identifica necessidade de intervenção na pista de táxi F, apesar de haver identificado não conformidade no item de avaliação de capacidade. Propõe reposicionamento das posições de pátio, mas não menciona se há impacto no posicionamento atual das pontes de embarque. O relatório identifica no item 2.6.2 que as pontes de embarque impedem a utilização de via de serviço no pátio, mas não apresenta solução para o problema no plano de desenvolvimento. Com relação ao sistema de infraestrutura aeronáutica, aponta a necessidade de calibração de auxílios em função do deslocamento de cabeceira e que adições não serão necessárias, mas não há detalhamento. Além disso, não há deslocamento de nenhuma das cabeceiras no plano de desenvolvimento proposto. Não apresenta comparação entre áeas requeridas, considerando a demanda, e áreas disponibilizadas na implantação final.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</si>
  <si>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deficultando a identificação das alterações propostas. A área ao lado da SCI identificada como cargas e manutenção das companhias aéreas nas plantas da situação futura não havia sido apontada na situação atual e não faz parte das áreas ampliadas.</t>
  </si>
  <si>
    <t>Afirma não haver obras em andamento no aeroporto. Identifica possíveis obras futuras.</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</si>
  <si>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(R$ 6.204,7) foi 274,96 m³, valor distoante daqueles observados em construções do mesmo porte.
Ainda, considerando o pequeno espaço amostral, não é possível concluir que o custo paramétrico adotado possui precisão compatível com o exigido.
</t>
  </si>
  <si>
    <t xml:space="preserve">Apresenta coleção de informações obtidas para os componentes dos sistemas de pistas e pátios, incluindo vias de serviço e equipamentos de rampa. A tabela 2 do Apendice 1A apresenta registro fotográfico de algumas estruturas: PPD, pátio, uma das cabeceiras, papi, localizer (com legenda de "glyde") e lateral da faixa de pista. Não foi localizada avaliação das condições dos sistema de pistas verificadas no local.  Na apresentação do sistema de gerenciamento de tráfego aéreo constam informações das estruturas que prestam serviços de tráfego aéreo e auxílios à navegação aérea sem registro fotográfico nem avaliação das condições observadas. Para o sistema terminal de passageiros são apresentados: as plantas dos pavimentos (caderno de plantas), os componentes do sistema, o principal acesso viário e suscinta caracterização do estacionamento de veículos principal. Os sistemas terminal de cargas, de aviação geral, de administração e manutenção, de apoio bem como o sistema das companhias aéreas são apresentados brevemente, com algumas ilustrações. O mesmo é verificado para o sistema de infraestrutura básica.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</si>
  <si>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O relatório de engenharia afirma que a avaliação patrimonial do aeroporto é apresentada no Apêndice 9. Não foram localizadas em planta nem analisadas, individualmente, as áreas que compõem o sítio. Apresenta três registros fotográficos sobre cercas e acessos no Apêndice 1A, desacompanhados de análise. Conforme afirmado no texto, a análise não inclui diligências complementares cartorárias nem qualquer diligência in loco.</t>
  </si>
  <si>
    <t xml:space="preserve">Divide em áreas civil/militar sendo que a área do DCTEA-BV possui o status de especial.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Avalia que há obstáculos, elabora novos PBZPA e PZPANA mas não há avaliação crítica ou conclusão desses planos (com relação a obstáculos).
PZR: elabora PEZR e apresenta conclusão.
</t>
  </si>
  <si>
    <t>Relacionadas as não conformidades apontadas pela ANAC.
Acrescentadas algumas não conformidades pelo grupo, decorrência dos ajustes das existentes: atualizar cadastro e corrigir faixa de pista; implantar RESA e corrigir distâncias declaradas; elaborar novo PBZPA coma faixa de pista corrigida.
Pesquisou o historico de NOTAM desde 01/01/2014 a 30/06/2019 e obteve o n de dias em que alguns equipamentos estiveram inoperantes.</t>
  </si>
  <si>
    <t>Há um Apêndice do Estudo de Mercado referente a pátios, mas o documento está vazio. No Apêndice 2 do Relatório de Engenharia, são apresentados valores de capacidade e dinâmica. Apresenta comparação com a demanda sem considerar a classificação das posições. Os parâmetros utilizados para o cálculo da capacidade dinâmica não são apresentados.</t>
  </si>
  <si>
    <t xml:space="preserve">Calcula e avalia a capacidade instalada do TECA bem como do sistema de aviação geral somente em apêndices específicos dos relatórios de mercado. Apresenta metodologia de cálculo e comparação com a demanda. Avalia áreas dos Terminais e estacionamentos. Não há identificação clara das áreas consideradas na avaliação de capacidade.Os Hangares são avaliados somente quanto à ocupação. </t>
  </si>
  <si>
    <t>Apresenta planilha de cálculo da capacidade instalada das instalações de administração, de manutenção  bem como do sistema de apoio às operações (PAA, SESCINC, Sistema das CIAS áereas, sistema insdutrial de apoio, sistema de infraestrutura básica, áreas especiais e sistema comercial externo). Para o cálculo da capacidade do SESCINC foram consideradas normas desatualizadas. A unidade de medida para capacidade está inadequada.</t>
  </si>
  <si>
    <t>Faz referência no Apêndice 3 ao PDIR Infraero, elaborado em 2017. Observa que nesse documento o dimensionamento da infraestrutura pode não estar totalmente alinhado à demanda projetada.
No mesmo Apêndice, menciona o PAN (item 1.2.1); o Plano Aeroviário Estadual (item 1.2.2) e o sistema Horus (item 1.3.3).
Utiliza o PDIR como referência para elaborar alternativas de desenvolvimento.  Não são apresentadas prós e contras, análises comparativas ou qualquer estudo que justifique a escolha do PDIR em detrimento das outras alternativas.
Ainda no Apêndice 3, apresenta 2 alternativas para desenvolvimento do aeroporto.
Por fim, o Apêndice 4 apresenta a alternativa escolhida, que alegadamente foge do proposto pelo PDIR e dialoga com as limitações existentes no sítio.</t>
  </si>
  <si>
    <t xml:space="preserve">Apresenta no Apêndice 5 um plano de desenvolvimento.
Informa que o desenvolvimento das fases está em um arquivo excel, sem especificação.
O Plano de Desenvolvimento apresentado no Apêndice 5 guarda relação com a alternativa escolhida, apresentada no Apêndice 4.
</t>
  </si>
  <si>
    <t>O Anexo 2 apresenta documentação referente ao Patrimônio do aeroporto. O conteúdo do material reproduzido não foi questionado, apesar da extensa documentação exposta. Desconsidera o esclarecimento encaminhado às empresas sobre os limites do Sítio do Aeroporto de Boa Vista (área em litígio). Apresenta em planta a localização das áreas e conclui pela sua regularidade. Apresenta levantamento sobre cercas trazendo fotos, porém desacompanhadas de avaliação das condições verificadas bem como sua localização em croqui.</t>
  </si>
  <si>
    <t>Divide em áreas civil/militar e detalha a metragem de cada uma.
Zoneamento Funcional: apresenta planta do sítio aeroportuário com manchas, não há metragem das zonas.
Elabora PBZPAe PZPANA, avalia obstáculos e apresenta conclusão.
Elabora PEZR e apresenta conclusão.</t>
  </si>
  <si>
    <t>Reproduz as não conformidades apontadas pela ANAC, sem criticá-las. As NC de AVSEC são do aeroporto de Salvador (SBSV) processos 00065.558378/2017-08 e 00058.022707/2018-49. Os comentários (follow-up) sobre as não conformidades não identificam essa falha.</t>
  </si>
  <si>
    <t>Foi apresentada avaliação da capacidade instalada frente a demanda atual do aeroporto. No entanto, a unidade de medida é inadequada à análise de capacidade
Não foi seguida a diretriz para determinação da hora pico.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Os valores recomendados para a capacidade dos componentes, Check-in e Despacho, Praça de Movimentação/Manuseio de Bagagem Embarcada, Inspeção de Segurança e Sala de Embarque estão divergentes quando comparadas a tabela constante no relatório Estudos de Mercado e Afins e a planilha Engenharia_Dimensionamento
Não é apresentada capacidade das vias de acesso.
Não foi realizada avaliação da capacidade em termos de equipamentos instalados. Em uma avaliação comparativa, tal avaliação realizada por outro grupo agregou informação ao relatório.</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</si>
  <si>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publicado pelo CGNA. Apresenta comparação com a demanda. Apresenta avaliação das pistas de táxi apenas comparando a largura das pistas com a largura requerida pela aeronave crítica. Não observa o requisito de largura da pista com acostamento.</t>
  </si>
  <si>
    <t>A avaliação de capacidade do pátio é apenas um levantamento das posições de pátio existentes. Não há cálculo para a capacidade dinâmica. Há um levantamento da área destinada a equipamento de rampa, mas não apresenta cálculo de capacidade.</t>
  </si>
  <si>
    <t>Apresenta metodologia de cálculo de capacidade apenas para o Terminal de Cargas. Apresenta comparação com a demanda em unidade de área. Há inconsistência nos valores apresentados no relatório quando comparados com os valores da planilha de dimensionamento. Sobre o Sistema de Aviação Geral, apenas apresenta a estrutura disponível, mas não há avaliação de capacidade.</t>
  </si>
  <si>
    <t>Apresenta cálculo da capacidade instalada, em termos de área, para a administração do aeroporto, manutenção das empresas aéreas, PAA, SESCINC, comissaria, serviços aeroportuários e infraestrutura básica. Para o cálculo da capacidade do SESCINC foi considerada norma bastante defasada.</t>
  </si>
  <si>
    <t>Apresenta o PDIR Infraero, datado de 2013.
Não apresenta alternativas para o desenvolvimento do aeroporto além do PDIR.</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</si>
  <si>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O anteprojeto não previu investimentos para saneamento das não conformidades e pendências levantadas pelo grupo (patologias na PPD e pistas de táxi). A avaliação dos estudos, projetos e obras existentes não conclui que tais não conformidades serão sanadas pelo atual operador aeroportuário. O anteprojeto não apresenta justificativa para a implantação da área de teste de motores. Não foram apresentadas justificativas para área adotada por unidade de capacidade de processamento dos sistemas de ETA e ETE. Não apresenta comparação entre áreas requeridas e áreas disponibilizadas em cada etapa de implantação.</t>
  </si>
  <si>
    <t>Afirma não haver obras inacabadas, em execução ou previstas.</t>
  </si>
  <si>
    <t xml:space="preserve">O arquivo contendo o cronograma projetado não foi localizado, sendo apresentado, no item 2.4.7, apenas um cronograma simplificado. O cronograma simplificado apresentado não permite a visualização de todas as linhas planejadas, indicando apenas o cronograma de macro itens. Da forma como apresentado, não foi possível identificar o cronograma de implantação, por exemplo, dos itens inseridos em Sistema de Infraestrutura Básica ou Equipamentos. </t>
  </si>
  <si>
    <t>Os projetos apresentados não permitem a rastreabilidade dos quantitativos utilizados para cálculo do preço unitário de cada infraestrutura, apresentados na planilha Consolidada, presente no Anexo 3(CAPEX), e referenciado nas planilhas de cada infraestrutura (01 Pista e Taxiway, 02 acostamento e assim por diante).</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</si>
  <si>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alguns itens de custos e despesas prevê já para o primeiro ano completo de operação pelo concessionário redução agressiva com relação ao histórico verificado e não há previsão de tratamento dos dados quando da transição de classe II para Classe III. Não esclarece porque aplica o benchmarking na projeção de custos com pessoal somente no início da concessão e para os anos de 2026, 2031, 2036, 2041, 2044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</si>
  <si>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planta detalhada do zoneamento  funcional do aeroporto. Com base em informções do PBZPA e do PZPANA em vigor, foram elaboradas as Superfícies de Proteção do aeródromo e analisados os obstáculos que possam interferir em tais superfícies. Foram apresentados, localizados e analisados os obstáculos  (naturais e objetos projetados: antenas, edificações, etc) constantes no PBZPA elaborado. Apresenta Plano Específico de Zoneamento de Ruído (PEZR) elaborado pelo consórcio, trazendo obtidos com base nos parâmetros físicos e operacionais predefinidos.</t>
  </si>
  <si>
    <t>Foram identificadas não conformidades não publicadas pelo órgão regulador, com a descrição do respectivo regulamento infringido. No entanto, algumas das não conformidades apontadas não podem ser confirmadas pela CAE tendo em vista a ausência de elementos disponíveis. Não foram identificadas as não conformidades constantes no PAC Certificação (processo SEI 00065.053824/2018-65)</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</si>
  <si>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Na avaliação da capacidade das pistas de táxi, levou-se em conta a largura das pistas. Apresenta aeronave crítica incompatível com a operação atual do aeroporto.</t>
  </si>
  <si>
    <t>Calcula a capacidade dinâmica e estática horária do sistema de pátios (pátios 1 e 2), prevendo cenários de ocupação dos mesmos, sem esclarecer porque os considerou conjuntamente, dado que um pátio é de aviação regular e outro de aviação geral localizados em lados opostos da PPD. Não avalia a adequabilidade dos resultados apresentados para a relação demanda e capacidade. O cálculo da capacidade do pátio 3 (aviação geral) está no item 1.3.5 Sistema de Aviação Geral, que apresenta metodologia exclusivamente proporcional à área necessária para estacionar aeronaves asa fixa e asa móvel. Foi apresentada avaliação de capacidade para o pátio de equipamentos de rampa.</t>
  </si>
  <si>
    <t>Apresentada metodologia de cálculo da capacidade instalada do sistema terminal de cargas  bem como do sistema de pátios associado, estacionamento de veículos e sistema viário de acesso. Os resultados foram avaliados satisfatoriamente. O procedimento repetiu-se para o sistema de avação geral, sendo que a metodologia do cálculo da capacidade instalada dos hangares desconsidera a configuração atual dos mesmos.  Há inconsistência entre a avaliação de capacidade apresentada no Relatório e a planilha de dimensionamento.</t>
  </si>
  <si>
    <t xml:space="preserve">Atendido nos itens 2.1.2 Plano de Desenvolvimento existentes e no item 2.4 Estudo de Alternativas, onde são apresentadas 3 alternativas para desenvolvimento do sítio, os critérios que definem a escolha da mais adequada e as vantagens da solução proposta. A definição das alternativas leva em conta análises e restrições apresentadas nos itens antecedentes do relatório. Identificada incoerência na definição das alternativas com relação às obras de ampliação da PPD, considerada mínima no item 2.3.2.2.2 como sendo de 2.580m e proposta nas alternativas 1 e 2 como sendo inferiores.  </t>
  </si>
  <si>
    <t xml:space="preserve">Atendido no item 2.2 Análise de Tráfego Aéreo e Possíveis Restrições. É feita análise de possíveis restrições considerando a operação atual e a futura planejada. O relatório então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2-18 Melhorias de Tráfego Aéreo por Fase. 
Foi verificada inconsistência no item 2.2.7.2 (Efeito Adverso de Aeródromo na Capacidade) com relação à identificação de efeito adverso quanto à capacidade de pista. Ainda, não há clareza na medida mitigadora de aumento nas separações com bloqueio de TWY, da tabela 2-16. </t>
  </si>
  <si>
    <t xml:space="preserve">Atendido no item 2.3 Concepção para Expansão, em especial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
O comprimento de pista constante na tabela 2-82 está inconsistente, bem como o tipo de operação apresentada na mesma tabela.
Identifica no item 2.3.3.2 a necessidade de restringir a demanda e utiliza o valor de capacidade teórica de pista, sem apresentar fundamentação para tal. </t>
  </si>
  <si>
    <t>O item 2.7 apresenta o anteprojeto de engenharia proposto para o SBGO, segregado em 8 itens (dispostos nos subitens do item 2.7). No item 2.3.2 Necessidades Futuras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verificdas para o aeroporto. No item 2.6 é apresentado o plano de desenvolvimento do sítio aeroportuário e as etapas de implantação. Não há justificativa para a necessidade apontada de operações de precisão na cabeceira 14. O dimensionamento apresentado na planilha em anexo apresenta inconsistências quando comparado com a metodologia apresentada para a análise da capacidade instalada para os componentes dos sistemas de Terminal de Cargas e Aviação Geral.</t>
  </si>
  <si>
    <t>No item 2.5.1 Fases de Planejamento e Cronograma Estimado de Obras são apresentados, para cada componente de sistema, as intervenções propostas, tendo em vista a alternativa sugerida e a análise de capacidade estimada para cada fase. Ainda no item 2.5.1 Fases de Planejamento e Cronograma Estimado de Obras, são apresentadas as intervenções propostas para cada fase de desenvolvimento, por componente de sistema, sintetizados na tabela 2-82 (posições de pátio por código, área de terminal, vagas e área para estacionamento de veículos, comprimento de meio-fio, etc). Nessa tabela, há informações inconsistenes quanto ao comprimento de pista e tpo de apoximação na situação existente. No caderno de plantas encontram-se os croquis das obras previstas para cada fase, por tipo (plano de desenvolvimento, implantação de pavimentos, cercas e acessos, sistema de bagagem, layout do TPS), com destaque para as áreas de ampliação.</t>
  </si>
  <si>
    <t>Conforme descrito no item 2.7.1 Geotecnia, são apresentadas análises e estudos realizados no SBGO a fim de caracterizar o solo local e subsidiar as soluções de fundação para edificações e as soluções de tratamento de solo para obras de expansão de pistas e pátios. Uma síntese dessas obras encontram-se reproduzidas na tabela 2.103, dispostas por fase. As conclusões dos ensaios encontram-se dispostas na tabela 2-106.</t>
  </si>
  <si>
    <t>Não há obras em andamento no aeroporto e aquelas previstas para serem iniciadas até o primeiro semestre de 2020 foram indicadas na tabela 2-1.</t>
  </si>
  <si>
    <t>O cronograma estimado encontra-se no item 2.5.1.4 Cronograma Estimado e Fases de Operação, em especial na Figura 2-53, que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(SBGO_CR-3Fases).</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</si>
  <si>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Não foram apresentadas justificativas para demolições de pavimentos não necessários nas fases de expansão da infraestrutura e cujas áreas não serão utilizadas.
</t>
  </si>
  <si>
    <t xml:space="preserve">Conforme disposto nos itens 2.6.2.1.12, 2.6.2.2.12 e 2.6.2.3.12, não são previstas desapropriações de áreas em qualquer das 3 fases de desenvolvimento propostas, conforme reiterado na conclusão do item 2.6.3.1 Situação Patrimonial. A descrição do CAPEX (por tipo e por fase) encontra-se nas tabelas 3-4 e 3-5. </t>
  </si>
  <si>
    <t xml:space="preserve">Atendido nos subitens do item 3.2 Estimativa de Custos de Operação (OPEX): custos com pessoal e serviços contratados, consolidado no item "3.2.1.7 Estrutura Organizacional e Custos Anuais"; despesas gerais; material de consumo; utilidades e serviços públicos bem como outros custos associados à concessão. Para cada custo estimado foi apresentada metodologia de cálculo baseada em análises de regressões, desenvolvidas a partir de dados históricos, e de benchmarks comparáveis. No entanto, assume como premissa a hipótese de que os atuais contratos operacionais do aeroporto serão rescindidos previamente ao início da concessão e que o concessionário deverá firmar novos contratos com terceiros para a prestação de serviços, desconsiderando riscos de descontinuidade dos serviços. Os resultados apresentados consideram a evolução da infraestrutura planejada e da movimentação estimada para passageiros, aeronaves e carga, quando aplicável, e consideram ainda ganhos de eficiência associados à concessão de aeroportos. Todavia, considera para todos os aeroportos que esse ganho previsto equivale a mediana da variação verificada no 1º ano da concessão para os aeroportos já concedidos, desconsiderando casos específicos como os de aeroportos que se encontram com quadro de pessoal aumentado tendo em vista a concessão anterior de aeroporto próximo, como nos aeroportos de Florianópolis e Navegantes. Os resultados encontrados constam ainda em planilha anexa ao relatório econômico-financeiro (modelo financeiro). O item 3.2.7 apresenta os Ganhos de Escala Potenciais da Gestão Conjunta dos Aeroportos estimados para o estudo e os resultados estão considerados no relatório econômico-financeiro consolidado do bloco central. </t>
  </si>
  <si>
    <t xml:space="preserve">Due diligence dos contratos operacionais celebrados com a Infraero para o SBGO encontra-se reproduzido no item 3.2.8 Due Diligence dos Contratos Operacionais. Não foi localizada análise dos contratos comerciais celebrados para o aeroporto, somente planilha com a disposição de suas principais características. Não foi identificada análise dos contratos no tocante ao que dispõe a Portaria MTPA nº 143, de 6 de abril de 2017 (substituída pela Portaria MInfra nº 577, de 8 de novembro de 2019).  </t>
  </si>
  <si>
    <t>Apresenta coleção de informações dos componentes dos sistemas de pistas e pátios (registros fotográficos simplificados das pistas de táxi, sem identificação das mesmas); incluindo vias de serviço e equipamentos de rampa; sistema de geranciamento de tráfego aéreo; sistema terminal de passageiros, com acesso viário  e estacionamento de veículos (apresentas as plantas dos pavimentos do TPS); sistema terminal de cargas (não há registro fotográfico ou maiores informações do TECA); sistema de aviação geral (Não apresenta fotos dos hangares individualmente nem a avaliação dos mesmos); sistema de administração e manutenção; sistema de apoio; sistema das companhias aéreas; sistema industrial de apoio; sistema de infraestrutura básica e sistema comercial externo. O Apêndice 1 conclui que as condições observadas nas instalações são aquelas apresentadas no relatório fotográfico (Anexo 1), que apresenta análise suscinta de cada componente e de cada sistema. Algumas infraestruturas constantes na Planta de Situação Atual do aeroporto não permitem sua identificação (sem legenda).</t>
  </si>
  <si>
    <t>O relatório de engenharia afirma que a avaliação patrimonial do aeroporto é apresentada no Apêndice 9. Não foram localizadas em planta nem analisadas, individualmente, as áreas que compõem o sítio. Não apresenta informações ou avaliação das cercas patrimoniais, somente apresenta fotos no Anexo 1  (relatório fotográfico). Não cita a vila militar localizada dentro do sítio do aeroporto.</t>
  </si>
  <si>
    <t>Não apresenta no croqui do zoneamento funcional a área de uso militar e considera a área do TPS como área secundária. Foram identificadas ainda outras falhas na delimitação da referida planta, tais como nas pistas de táxi e no pátio de aviação geral. Foram verificadas inconsistências na localização dos dados. O relatório de engenharia afirma que a planta do zoneamento funcional está no Apêndice 6 mas este não foi localizado na pasta. A análise foi  possível com base na planta disponível  no Anexo 3 - SBGO, que divide o aeroporto em três áreas, sem explicar os critérios utilizados para tanto. O texto afirma que foram elaborados novos planos básicos de zona de proteção (atual e futuro) e que estariam no Apêndice 7 mas o material não foi localizado na pasta, mas somente os gabaritos (plantas 7a, 7b e 7c) . Quanto ao PZPANA o texto não traz esclarecimentos sobre a planta 7b apresentada, único material disponibilizado para o item. Não foram apresentados os obstáculos por componente nem fotos ilustrando a localização dos mesmos. Apresenta PEZR elaborado pelo grupo com a devida metodologia utilizada e faz conclusões.</t>
  </si>
  <si>
    <t>A tabela 1 do relatório de engenharia apresenta o resumo da capacidade instalada e a capacidade necessária bem como o status para cada item de cada sistema (TPS, TECA, TAG, etc), no entanto utiliza unidades de medidas inadequadas. 
Não foi apresentada justificativa para o cálculo da hora-pico simultânea. Há inconsistência no valor adotado para projeto, uma vez que quando a hora pico de embarque ou desembarque for maior que a simultânea, aquelas deveriam ser utilizadas para dimensionamento.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t>
  </si>
  <si>
    <t>A metodologia para cálculo da capacidade da PPD encontra-se no Relatório de Estudo de Mercado. As avaliações quanto à adequabilidade do componente baseiam-se em dado publicizado pelo CGNA, sem análise de mérito. Além disso o sistema de pistas considerado na análise não é compatível com a realidade do aeroporto. Não avalia a capacidade instalada das pistas de táxi, somente afirma não haver valor declarado de capacidade das mesmas.</t>
  </si>
  <si>
    <t xml:space="preserve">Calcula e avalia a capacidade instalada do TECA bem como do sistema de aviação geral somente em apêndices específicos dos relatórios de mercado, sendo que o relatório de engenharia informa que tais cálculos constam no Apêndice 2 daquele relatório e, por fim, este último diz que os cálculos da capacidade instalada dos sistemas de pista e de pátio constam no respectivo local, sendo silente quanto aos sistemas de carga e de aviação geral. Não foi identificada a área utilizada para calcular a capacidade do TECA. As imagens constantes no arquivo ESTUDO AVIACAO GERAL SBGO (Apêndice do estudo de mercado) não podem ser vizualizadas. Todas as informações utilizadas para calcular a capacidade dos itens levam em consideração o PDIR e não a configurção atual do aeroporto. </t>
  </si>
  <si>
    <t>Menciona no Apêndice 3 quatro alternativas para o plano de desenvolvimento do aeroporto mas não apresenta detalhamento para nenhuma delas. Não são apresentadas prós e contras, análises comparativas ou qualquer estudo que justifique a escolha do PDIR em detrimento das outras alternativas. Não foram apresentadas plantas, croquis, esquemas ou quaisquer outros elementos gráficos que nao os já apresentados no PDIR. Afirma que tal avaliação tem por objetivo verificar a capacidade de desenvolvimento do sítio independente da demanda, concluindo que a melhor opção decorre da relação custo-benefício imposta pelo crescimento e desenvolvimento do aeroporto e do negócio aeroportuário.</t>
  </si>
  <si>
    <t xml:space="preserve">É apresentada no Apêndice 10 a avaliação do espaço aéreo para a situação atual, não foi encontrada avaliação relacionada à expansão do aeroporto, nos termos do PDIR - que é a referência apontada para o desenvolvimento do sítio aeroportuário. 
Afirma-se que "o Aeroporto de Palmas não possui atualmente, nenhum tipo de restrição relacionado a capacidade do Espaço Aéreo ou relacionado à prestação dos serviços de Tráfego Aéreo", e conclui por entender que não existirão restrições de capacidade ou outro tipo de limitação decorrente da prestação dos serviços de Tráfego Aéreo ou do Gerenciamento do Espaço Aéreo durante o período da concessão. Afirma não ter verificado possíveis restrições de tráfego decorrentes da expansão do aeroporto. Não faz análise específica para cada fase de planejamento proposta.
</t>
  </si>
  <si>
    <t xml:space="preserve">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“SBGO – Dimensionamento aeroportuário”. Afirma ainda que a origem técnica/ teórica das definições dos parâmetros utilizados encontram-se listadas nas tabelas dispostas na sequência. A relação das fases de desenvolvimento propostas com a previsão de demanda não é evidente, mas sub-entendida na planilha SBGO - Dimensionamento Aeroportuário v03.xlsx.  
</t>
  </si>
  <si>
    <t>Afirma no item 10.4 que "Não foram identificadas ou consideradas como tal obras de expansão de grande vulto durante as fases de desenvolvimento propostas pela AIRLIFT" motivo pelo qual acredita-se não terem sido realizadas investigações e/ou ensaios geotécnicos.</t>
  </si>
  <si>
    <t>Apresenta avaliação das instalações existentes de forma bem ilustrada por fotos e bem organizada, por sistema. Descreve com detalhes as estruturas existentes, apresenta em planta a sua localização e ilustra pontos levantados com fotos. Apresenta o sistema de pistas com suas dimensões, croqui de localização, características do pavimento, fluxo dos acessos e avalação de suas instalações. Na avaliação do TPS, lista as áreas por componente. Na avaliação do acesso viário, apresenta o fluxo de acesso aos terminais e aos demais componentes. Na avaliação do TECA, apresenta a instalações, os acessos, as áreas de carga e descarga, estacionamento, equipamentos e operador atual. Também foram apresentados e avaliados os componentes de infraestrutura aeronáutica verificados no aeroporto. Na avaliação do sistema de aviação geral apresenta a localização e situação verificada in loco para os hangares e pátios associados, além das condições do acesso viário. Sistema de administração e manutenção bem como sistema de apoio às operações e às companhias aéreas e, finalmente, sistema de infraestrutura básica também encontram-se apresentados e avaliados.</t>
  </si>
  <si>
    <t>Apresenta planta detalhada do zoneamento civil/militar e funcional do aeroporto, com as respectivas medidas de área.  Inclui DTCEA (TWR).
Elaborou PBZPA e PZPANA, foram projetadas as Superfícies de Proteção do aeródromo e identificados os obstáculos que possam interferir em tais superfícies. Apresentados, localizados e analisados os obstáculos  (naturais e objetos projetados: antenas, edificações, etc) constantes nos planos elaborados.
Elaborou PEZR e apresenta curvas de ruído.</t>
  </si>
  <si>
    <t>Relacionou não-conformidades apontadas pela ANAC: de pavimento, prevê CAPEX para sua correção; do SESCINC, prevê OPEX para sua correção. 
Elencou outras NC que não estão no PAC de certificação.</t>
  </si>
  <si>
    <t xml:space="preserve">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t>
  </si>
  <si>
    <t>Apresenta avaliação de capacidade estática e dinâmica do pátio principal. Nessa avaliação há incosistência entre as posições de pátio apresentadas. Há inconsistência entre as capacidades de pátio estática e dinâmica. Não compara a capacidade instalada com a demanda. O cálculo da capacidade do pátio de aviação geral está no item 1.3.5 (Sistema de Aviação Geral) e apresenta metodologia exclusivamente proporcional à área necessária para aeronaves asa fixa e asa móvel. Foi apresentada avaliação de capacidade para o pátio de equipamentos de rampa.</t>
  </si>
  <si>
    <t xml:space="preserve"> 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Na análise de capacidade do estacionamento do TECA, as vagas do estacionamento do TPS não são consideradas. Apresenta metodologia utilizada na análise de capacidade do Sistema de Aviação Geral. O cálculo de capacidade dos Hangares desconsidera a configuração atual do aeroporto.  Há inconsistência entre a avaliação de capacidade apresentada no Relatório e a planilha de dimensionamento.</t>
  </si>
  <si>
    <t xml:space="preserve">Atendido no item 2.2 Análise de Tráfego Aéreo e Possíveis Restrições. É feita análise de possíveis restrições considerando a operação atual e a futura planejada. O relatório então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2-19 Melhorias de Tráfego Aéreo por Fase. 
</t>
  </si>
  <si>
    <t xml:space="preserve">Atendido no item 2.3 Concepção para Expansão, em especial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</si>
  <si>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2.5 são identificadas as necessidades e intervenções a serem realizadas em cada etapa. O detalhamento está na planilha de dimensionamento. Nessa planilha, na apresentação das evoluções de capacidade dos principais componentes, há inconsistência nos períodos de obras e consequentemente de ampliações nas capacidades. As alterações na capacidade horária do sistema de pistas como consequência das intervenções propostas, são apresentadas apenas no seu resultado final, sem detalhamento de como as alterações geram o aumento na capacidade calculada. Na Tabela 2-79, que resume as necessidades das instalações, há inconsistência na informação apresentada para comprimento de pista existente e no número de pistas apontado para a Fase 01. No item 2.6 é apresentado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SBSL, segregado em 8 itens (dispostos nos subitens do item 2.7).</t>
  </si>
  <si>
    <t>No item 2.5.1 Fases de Planejamento e Cronograma Estimado de Obras são apresentados, para cada componente de sistema, as intervenções propostas, tendo em vista a alternativa sugerida e a análise de capacidade estimada para cada fase. Ainda no item 2.5.1 Fases de Planejamento e Cronograma Estimado de Obras, são apresentadas as intervenções propostas para cada fase de desenvolvimento, por componente de sistema, sintetizados na tabela 2-79 (posições de pátio por código, área de terminal, vagas e área para estacionamento de veículos, comprimento de meio-fio, etc). Nessa tabela, há informações inconsistentes quanto ao comprimento de pista na situação existente e quanto ao número de pistas apontado para a Fase 01. No caderno de plantas encontram-se os croquis das obras previstas para cada fase, por tipo (plano de desenvolvimento, implantação de pavimentos, cercas e acessos, sistema de bagagem, layout do TPS), com destaque para as áreas de ampliação.</t>
  </si>
  <si>
    <t>O cronograma estimado encontra-se no item 2.5.1.4 Cronograma Estimado e Fases de Operação, em especial na Figura 2-48, que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(SBSL_CR-3Fases). Foi identificada inconsistência no cronograma quanto a uma previsão de obra relacionada a RESA na PPD 2, que não é mencionada no relatório ou nas plantas.</t>
  </si>
  <si>
    <t xml:space="preserve">Não foi possível rastrear, a partir dos projetos apresentados, os quantitativos utilizados nas composições de custo unitário inseridas dentro das "Planilhas Referenciais".  
Não foram apresentadas justificativas para demolições de pavimentos não necessários nas fases de expansão da infraestrutura e cujas áreas não serão utilizadas.
</t>
  </si>
  <si>
    <t xml:space="preserve">Conforme disposto nos itens 2.6.2.1.12, 2.6.2.2.12 e 2.6.2.3.12, não são previstas desapropriações de áreas em qualquer das 3 fases de desenvolvimento propostas, conforme reiterado na conclusão do item 2.6.3.1 Situação Patrimonial. A descrição do CAPEX (por tipo e por fase) encontra-se nas tabelas 3-4 e 3-5, onde é possível notar que existe uma previsão de "GASTOS COM DESAPROPRIAÇÕES E BENFEITORIAS NA FASE - 2" cuja fonte foi localizada na planilha "SBSL_capex_1.00" com a descrição: "APT - Implantação e avaliação de Benfeitorias (Áreas Militares)", sem maior detalhamento do item. </t>
  </si>
  <si>
    <t xml:space="preserve">Due diligence dos contratos operacionais celebrados com a Infraero para o SBSL encontra-se reproduzido no item 3.2.8 Due Diligence dos Contratos Operacionais. Não foi localizada análise dos contratos comerciais celebrados para o aeroporto, somente planilha com a disposição de suas principais características (planilha do relatório econômico-financeiro: SBSL_Analise_contratos_comerciais_1.00). Não foi identificada análise dos contratos no tocante ao que dispõe a Portaria MTPA nº 143, de 6 de abril de 2017 (substituída pela Portaria MInfra nº 577, de 8 de novembro de 2019).  </t>
  </si>
  <si>
    <t xml:space="preserve">Apresenta coleção de informações dos componentes dos sistemas de pistas e pátios (não há identificação do código das aeronaves indicadas no número de posições do pátio nem sua localização); incluindo equipamentos de rampa; sistema de geranciamento de tráfego aéreo; sistema terminal de passageiros, com acesso viário e estacionamento de veículos (apresenta plantas dos pavimentos do TPS); sistema terminal de cargas; sistema de aviação geral (registros fotográficos simplificados, sem distinção entre os hangares nem avaliação dos mesmos); sistema de administração e manutenção; sistema de apoio; sistema das companhias aéreas; sistema industrial de apoio; sistema de infraestrutura básica e sistema comercial externo. O Apêndice 1 conclui que as condições observadas nas instalações são aquelas apresentadas no relatório fotográfico (Anexo 1), que apresenta análise suscinta dos componentes verificados em cada sistema. Algumas infraestruturas constantes na Planta de Situação Atual do aeroporto não permitem sua identificação (sem legenda).  </t>
  </si>
  <si>
    <t xml:space="preserve">O relatório de engenharia afirma que a avaliação patrimonial do aeroporto é apresentada no Apêndice 9. Não foram analisadas as áreas que compõem o sítio nem localizadas em planta. Não apresenta informações ou avaliação das cercas patrimoniais, somente duas fotos no Anexo 1 (relatório fotográfico). Conforme afirmado no texto, a análise não inclui diligências complementares cartorárias nem qualquer diligência in loco. </t>
  </si>
  <si>
    <t>Apresenta plantas (plantas que estão na pasta que seria o Apêndice 6) do zoneamento civil/militar e funcional do aeroporto, com menos detalhamento do que o outro grupo (não há metragem das áreas militares) e não considera a área de posse do DTCEA (TWR). Obs. O Apêndice 1 - inventário das condições existentes - relaciona o DTCEA como órgão ATS do aeroporto. O Relatório não menciona o Centro de Formação e Aperfeiçoamento de Praças (CFAP), no entanto essa instalação é apontada nas plantas - com outro nome.
Relatório relaciona todos os apendices. O Apendice 7 (Plano Basico de Zona de Proteçao) não está na pasta. Idem para o Apendice 8 (Plano de Zoneamento de Ruido) e Apendice 10 (Análise do Espaço Aereo).
Os arquivos "Anexo 7B e Anexo 7C" trazem excertos do PBZPA, extraídos da ICA, e as plantas respectivamente da PZPANA e PBZPA; mas não há no relatório conclusão sobre elas. No Relatorio é delarado que o grupo propoe um PBZPA e um PZPANA. esses planos são as fichas preenchidas da ICA, já mencionadas.
No relatório declara ter elaborado PEZR e apresenta suas figuras, informando que o PEZR está no Apêndice 8. Na pasta não há tal Apêndice.</t>
  </si>
  <si>
    <t>Apresenta apenas as não conformidades apontadas pela ANAC.
Pesquisou o historico de NOTAM desde 01/01/2014 a 30/06/2019 e obteve o n de dias em que alguns equipamentos e componantes estiveram inoperantes ou indisponíveis.</t>
  </si>
  <si>
    <t xml:space="preserve">A tabela 1 do relatório de engenharia apresenta o resumo da capacidade instalada e a capacidade necessária bem como o status para cada item de cada sistema (TPS, TECA, TAG, etc), no entanto utiliza unidades de medidas inadequadas. 
Não foi apresentada justificativa para o cálculo da hora-pico simultânea. Há inconsistência no valor adotado para projeto, uma vez que quando a hora pico de embarque ou desembarque for maior que a simultânea, aquelas deveriam ser utilizadas para dimensionamento.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
</t>
  </si>
  <si>
    <t>A metodologia para cálculo da capacidade da PPD é apresentada em Apêndice do Relatório de Estudo de Mercado, mas não há resultados calculados. A avaliação quanto à adequabilidade do componente baseia-se em dado publicizado pelo CGNA. Não avalia a capacidade instalada das pistas de táxi, somente afirma não haver valor declarado de capacidade das mesmas.</t>
  </si>
  <si>
    <t>Análise apresentada em Apêndice do Estudo de Mercado. Há inconsistência na apresentação da quantidade de posições nos pátios. Apresenta avaliação de capacidade estática e dinâmica dos pátios. Os dados apresentados para o cálculo da capacidade dinâmica não são suficientes para a reprodução dos resultados finais pela CAE.</t>
  </si>
  <si>
    <t xml:space="preserve">Calcula e avalia a capacidade instalada do TECA bem como do sistema de aviação geral somente em apêndices específicos dos relatórios de mercado. São apresentadas informações do PDIR que divergem da configuração atual do aeroporto. Não há identificação clara da área consideradas no cálculo de capacidade. Os Hangares são avaliados somente quanto à ocupação. </t>
  </si>
  <si>
    <t>Faz referência no Apêndice 3 ao PDIR Infraero, elaborado em 2012 e revisto em 2013. Observa que o PDIR foi validado pela ANAC e aguarda manifestação do ComAer. Entende que é um documento com grande descolamento da realidade e que leva a superdimensionamento da infraestrutura. Não obstante, utiliza o PDIR como referência para elaborar alternativas de desenvolvimento.
No mesmo Apêndice, menciona o PAN (item 1.2.1); o Plano Aeroviário Estadual (item 1.2.2) e o sistema Horus (item 1.3.3) sem extrair informações desses documentos; apresenta 4 alternativas para desenvolvimento do sistema de pista, considerando a implantação de uma segunda pista paralela à existente. Com relação à implantação de segunda pista, não foi encontrado subsídio que ateste a viabilidade dessa hipótese.
No Apêndice 4 (pág. 23) apresenta a opção que considera mais adequada, a da manutenção da configuração atual do sistema de pistas.
Não foram encontradas informações sobre a eficiência e maximização do retorno esperado do projeto.</t>
  </si>
  <si>
    <t>Apresenta no item 10.2 do Relatório que não haverá restrição nem efeito adverso. 
Afirma no Relatório que há análise completa no Apêndice 10, mas não foi encontrado esse arquivo na pasta.</t>
  </si>
  <si>
    <t xml:space="preserve">Apresenta no Apêndice 5 um plano de desenvolvimento.
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“SBSL – Dimensionamento aeroportuário”. Afirma ainda que as origens técnica/ teórica das definições dos parâmetros utilizados encontram-se listadas nas tabelas dispostas na sequência. 
A relação das fases de desenvolvimento propostas com a previsão de demanda não é evidente, mas sub-entendida na planilha SBSL - Dimensionamento Aeroportuário v03.xlsx.  </t>
  </si>
  <si>
    <t>O custo global do TPS não possui precisão e confiabilidade compatível com o nível de detalhamento necessário, uma vez que é baseado em custo paramétrico da licitação do aeroporto de Florianópolis e não considera as especificidades e plano de necessidades do aeroporto avaliado pelo grupo.
Os dados apresentados no Modelo Econômico Financeiro não estão compatíveis com aqueles reportados no relatório de CAPEX constante nos estudos de engenharia.
Há divergência entre os valores apresentados nas planilhas Apêndice 11 - CAPEX e Planilha Precos Unitarios CAPEX PMI 2019</t>
  </si>
  <si>
    <t>Apresenta avaliação das instalações existentes de forma bem ilustrada por fotos e bem organizada, por sistema. Descreve com detalhes as estruturas existentes, apresenta em planta a sua localização e ilustra pontos levantados com fotos. Apresenta o sistema de pistas com suas dimensões, croqui de localização, características do pavimento, fluxo dos acessos e avalação de suas instalações. Na avaliação do TPS, lista as áreas por componente. Na avaliação do acesso viário, apresenta o fluxo de acesso aos terminais e aos demais componentes. Na avaliação do TECA, apresenta a instalações, os acessos, as áreas de carga e descarga, estacionamento e operador atual. Também foram apresentados e avaliados os componentes de infraestrutura aeronáutica verificados no aeroporto. Na avaliação do sistema de aviação geral apresenta a localização e situação verificada in loco para os hangares e pátios associados, além das condições do acesso viário. Sistema de administração e manutenção bem como sistema de apoio às operações e às companhias aéreas e, finalmente, sistema de infraestrutura básica também encontram-se apresentados e avaliados.</t>
  </si>
  <si>
    <t>O estudo avalia individualmente a situação patrimonial das áreas que compõem o sítio aeroportuário, verificando a sua regularidade jurídica/imobiliária. Realizou due diligence e obteve matrículas atualizadas (Anexo 2). Apresenta em planta a localização das áreas e a sua regularidade. Apresenta levantamento sobre cercas e acessos, trazendo fotos e avaliação de suas condições.</t>
  </si>
  <si>
    <t>Apresenta planta detalhada do zoneamento  funcional do aeroporto, incluindo delimitação áras civil/militar (sitio do radar DECEA e vila militar da FAB) e delimitação funcional por áreas.
Elaborou PBZPA e PZPANA, foram elaboradas as Superfícies de Proteção do aeródromo e analisados os obstáculos que possam interferir em tais superfícies. Foram apresentados, localizados e analisados os obstáculos  (naturais e objetos projetados: antenas, edificações, etc) constantes nos planos elaborados.
Elabora PEZR.</t>
  </si>
  <si>
    <t>Relatou diversas não-conformidades ambientais (tratamento de efluentes etc.)
Relacionou não-conformidades apontadas pela ANAC; e mais:
vias de serviço, TWY C e parte do patio estão na faixa de pista;
elementos de drenagem dentro da faixa preparada;
questões da declividade da pista e drenagem;
terminal e hangares muito proximos à RWY: obstáculos à transição;
distancia TWY C - RWY é pequena: restrição ops 4C IFR;
valas de drenagem dentro da faixa de pista da TWY C e das TWY de acesso aos hangares da AG;
patio com dimensão pequena: se houver aeronave C estacionada isso restringe a operação na taxi.
Ainda, recomenda melhoria nas vias de serviço e nas adaptações para acessibilidade de PNE no TPS, bem como recomenda recuperaçao do pavimento da RWY e das TWY.</t>
  </si>
  <si>
    <t>Apresenta avaliação de capacidade estática e dinâmica do pátio único. Não considera todas as possibilidades de utilização do pátio. Não compara a capacidade instalada com a demanda. Foi apresentada avaliação de capacidade para o pátio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</si>
  <si>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</si>
  <si>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2.5 são identificadas as necessidades e intervenções a serem realizadas em cada etapa. O detalhamento está na planilha de dimensionamento. Nessa planilha, na apresentação das evoluções de capacidade dos principais componentes, há inconsistência nos períodos de obras e consequentemente de ampliações nas capacidades. Quanto ao sistema de pátios, há inconsistência entre as informações apresentadas nos itens 2.3.3.3 e 2.5.1.2. As alterações na capacidade horária do sistema de pistas como consequência das intervenções propostas são apresentadas apenas no seu resultado final, sem detalhamento de como as alterações geram o aumento na capacidade calculada. Na Tabela 2-79, que resume as necessidades das instalações, há inconsistência na informação apresentada para posições de pátio de aviação geral na condição atual. No item 2.6 são apresentados o plano de desenvolvimento do sítio aeroportuário e as etapas de implantação. Nesse item, é mencionada a implantação de pistas de táxi de acordo com operações 4C por instrumentos precisão CAT I, o que difere da operação considerada no restante do estudo.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</si>
  <si>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No item 2.5.1 Fases de Planejamento e Cronograma Estimado de Obras são apresentados, para cada componente de sistema, as intervenções propostas, tendo em vista a alternativa sugerida e a análise de capacidade estimada para cada fase. Ainda no item 2.5.1 Fases de Planejamento e Cronograma Estimado de Obras, são apresentadas as intervenções propostas para cada fase de desenvolvimento, por componente de sistema, sintetizados na tabela 2-79. No caderno de plantas encontram-se os croquis das obras previstas para cada fase, por tipo (plano de desenvolvimento, implantação de pavimentos, cercas e acessos, sistema de bagagem, layout do TPS), com destaque para as áreas de ampliação. Os desenhos apresentados não permitem a identificação da realocação proposta dos sítios meteorológicos.</t>
  </si>
  <si>
    <t>Aponta obras em andamento no aeroporto e prazo de conclusão no item 2.1.1 . Adicionalmente, apresenta obras previstas e ainda não iniciadas.</t>
  </si>
  <si>
    <t xml:space="preserve">Não foi possível rastrear, a partir dos projetos apresentados, os quantitativos utilizados nas composições de custo unitário inseridas dentro das "Planilhas Referenciais". 
Não foi justificada a previsão de uso da mesma estrutura de pavimento da PPD para a implantação da plataforma contra jado de motor (blast pad), uma vez que esta poderia ter um dimensionamento menos robusto.
A área de terraplenagem prevista para a expansão do TPS é a mesma da área construída, que inclui mais de um pavimento. Dessa forma, entende-se que os quantitativos deveriam ser ajustados de forma a representar a quantidade mais adequada do serviço a ser realizado.
</t>
  </si>
  <si>
    <t>Conforme disposto no item 2.6.2.1.12, estão previstas desapropriações de áreas na fase 1 do plano de desenvolvimento proposto, conforme descrito no item 2.6.3.1 Situação Patrimonial. Apresenta cotações de áreas semelhantes àquelas que se busca adquirir e calcula valor médio, conforme tabela 2-89. A descrição do CAPEX (por tipo e por fase) encontra-se nas tabelas 3-5 e 3-6, e o detalhamento do dispêndio foi localizado na planilha "SBTE_capex_1.00", onde é possível notar que existe ainda a previsão de "APT - Implantação e avaliação de Benfeitorias (Áreas Militares)", sem maior detalhamento do item, com área correspondente a  1.050m². Nenhuma das áreas foi avaliada pelo valor médio disposto na Tabela 2-89.</t>
  </si>
  <si>
    <t xml:space="preserve">Due diligence dos contratos operacionais celebrados com a Infraero para o SBTE encontra-se reproduzido no item 3.2.8 Due Diligence dos Contratos Operacionais. Não foi localizada análise dos contratos comerciais celebrados para o aeroporto, somente planilha com a disposição de suas principais características (planilha do relatório econômico-financeiro: SBTE_Analise_contratos_comerciais_1.00). Não foi identificada análise dos contratos no tocante ao que dispõe a Portaria MTPA nº 143, de 6 de abril de 2017 (substituída pela Portaria MInfra nº 577, de 8 de novembro de 2019).  </t>
  </si>
  <si>
    <t xml:space="preserve">Apresenta coleção de informações dos componentes dos sistemas de pistas e pátios (registros fotográficos para pistas de táxi estão simplificados, sem distinção entre as pistas A, B ou C. A identificação é possível na planta Situação Atual do Caderno de Plantas e no Apêndice 1); incluindo equipamentos de rampa; sistema de geranciamento de tráfego aéreo; sistema terminal de passageiros, com acesso viário e estacionamento de veículos (apresenta plantas dos pavimentos do TPS); sistema terminal de cargas; sistema de aviação geral (registros fotográficos simplificados, sem distinção entre os hangares nem avaliação dos mesmos); sistema de administração e manutenção; sistema de apoio; sistema das companhias aéreas; sistema industrial de apoio; sistema de infraestrutura básica e sistema comercial externo. O Apêndice 1 conclui que as condições observadas nas instalações são aquelas apresentadas no relatório fotográfico (Anexo 1), que apresenta análise suscinta dos componentes verificados em cada sistema, alguns de forma generalizada, como é o caso das pistas de táxi. Algumas infraestruturas constantes na Planta de Situação Atual do aeroporto não permitem sua identificação (sem legenda).  </t>
  </si>
  <si>
    <t>O relatório de engenharia afirma que a avaliação patrimonial do aeroporto é apresentada no Apêndice 9. Não foram analisadas as áreas que compõem o sítio nem localizadas em planta. Não apresenta informações ou avaliação das cercas patrimoniais, somente duas fotos no Anexo 1 (relatório fotográfico). Conforme afirmado no texto, a análise não inclui diligências complementares cartorárias nem qualquer diligência in loco.</t>
  </si>
  <si>
    <t>Declara que não há zoneamento civil/militar e que a área militar é especial e está sob responsabilidade da Infraero. 
De toda forma, o relatório remete ao Apêndice 1, que por sua vez faz referência ao "Caderno de Plantas", pasta na  qual encontra-se o croqui com o zoneamento civil e militar.
Elaborou PBZPA e PZPANA. Os arquivos "Anexo 7B e Anexo 7C" trazem excertos do PBZPA, extraídos da ICA, e as plantas respectivamente da PZPANA e PBZPA; mas não há no relatório conclusão sobre elas. No Relatório é declarado que o grupo propõe um PBZPA e um PZPANA. Esses planos são as fichas preenchidas da ICA, já mencionadas.
Elabora PEZR e na conclusão aponta impacto das curvas 60 e 70 dB na comunidade (no Apêndice 8) mas o Relatório não corrobora essa informação.</t>
  </si>
  <si>
    <t xml:space="preserve">Apresenta apenas as não conformidades apontadas pela ANAC (PAC CertOp), constantes do banco de dados SAC.
Pesquisou o historico de NOTAM desde 01/01/2014 a 30/06/2019 e obteve o n de dias em que alguns equipamentos estiveram inoperantes (RWY e TWY fechadas para manutençao, com farol de aerodromo inoperante, com luzes de lateral de pista inoperante total ou parcial). </t>
  </si>
  <si>
    <t>Análise apresentada em Apêndice do Estudo de Mercado. Apresenta avaliação de capacidade estática e dinâmica dos pátios. Apresenta comparação com a demanda. Os dados apresentados para o cálculo da capacidade dinâmica não são suficientes para a reprodução dos resultados finais pela CAE.</t>
  </si>
  <si>
    <t xml:space="preserve">Calcula e avalia a capacidade instalada do TECA bem como do sistema de aviação geral somente em apêndices específicos dos relatórios de mercado. Não foi identificado estacionamento Aviação Geral. Não há identificação clara das áreas consideradas no cálculo de capacidade.Os Hangares são avaliados somente quanto à ocupação. </t>
  </si>
  <si>
    <t xml:space="preserve">Faz referência no Apêndice 3 ao PDIR Infraero, elaborado em 2011 e cujo processo apresenta pendências perante a ANAC. Entende que suas premissas podem levar a superdimensionamento da infraestrutura. Não obstante, utiliza o PDIR como referência para elaborar alternativas de desenvolvimento; .
No mesmo Apêndice, menciona o PAN (item 1.2.1); o Plano Aeroviário Estadual (item 1.2.2) e o sistema Horus (item 1.3.3) sem extrair informações desses documentos; apresenta 3 alternativas para desenvolvimento do aeroporto, sendo que a opção escolhida não é a do PDIR, e sim a de alteração do código de pista para 3C com a eliminação de não conformidades existentes.
</t>
  </si>
  <si>
    <t xml:space="preserve">Apresenta no Apêndice 5 um plano de desenvolvimento.
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“SBTE – Dimensionamento aeroportuário”. Afirma ainda que as origens técnica/ teórica das definições dos parâmetros utilizados encontram-se listadas nas tabelas dispostas na sequência. 
A relação das fases de desenvolvimento propostas com a previsão de demanda não é evidente, mas sub-entendida na planilha SBTE - Dimensionamento Aeroportuário v03.xlsx.  </t>
  </si>
  <si>
    <t>Aponta obras em andamento no aeroporto e prazo de conclusão no item 9.3. Não apresenta levantamento de obras previstas e ainda não iniciadas.</t>
  </si>
  <si>
    <t>É apresentado um cronograma simplificado. Não foram encontrados embasamentos técnicos para o cronograma apresentado. Há inconsistência entre as informações do item 10.2 e do cronograma.</t>
  </si>
  <si>
    <t>Apresenta avaliação das instalações existentes de forma bem ilustrada por fotos e bem organizada, por sistema. Descreve com detalhes as estruturas existentes, apresenta em planta a sua localização e ilustra pontos levantados com fotos. Apresenta o sistema de pistas com suas dimensões, croqui de localização, características do pavimento, fluxo dos acessos e avalação de suas instalações. Na avaliação do TPS, lista as áreas por componente. Na avaliação do acesso viário, apresenta o fluxo de acesso aos terminais e aos demais componentes. Na avaliação do TECA, apresenta a instalações, os acessos, as áreas de carga e descarga, estacionamento e operador atual. Também foram apresentados e avaliados os componentes de infraestrutura aeronáutica verificados no aeroporto. Na avaliação do sistema de aviação geral apresenta a localização e situação verificada in loco para o hangar e pátio associado, além das condições do acesso viário. Sistema de administração e manutenção bem como sistema de apoio às operações e às companhias aéreas e, finalmente, sistema de infraestrutura básica também encontram-se apresentados e avaliados.</t>
  </si>
  <si>
    <t>Apresenta zoneamento civil (não há area militar) e funcional.
Elaborou PBZPA e PZPANA, foram elaboradas as Superfícies de Proteção do aeródromo e analisados os obstáculos que possam interferir em tais superfícies. Foram apresentados, localizados e analisados os obstáculos  (naturais e objetos projetados: antenas, edificações, etc) constantes nos planos elaborados.
Elabora PEZR.</t>
  </si>
  <si>
    <t>NC de relatorio ANAC (SCI sem visão direta ou indireta, não há sala de obs dedicada). 
NC não identificada em relatório ANAC: ausencia de RESA em ambas THR.
Necessidade de selagem em juntas do patio 1, ajustes no TPS para acessibilidade e ajustes no sistema  de drenagem .</t>
  </si>
  <si>
    <t>Apresenta avaliação de capacidade estática e dinâmica do pátio principal. A avaliação de capacidade apresenta informações inconsistentes com o apresentado na avaliação das instalações.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Há inconsistência no resultado apresentado. Foi apresentada avaliação de capacidade para o pátio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</si>
  <si>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Apresenta metodologia utilizada na análise de capacidade do Sistema de Aviação Geral.  Há inconsistência entre a avaliação de capacidade apresentada no Relatório e a planilha de dimensionamento.</t>
  </si>
  <si>
    <t xml:space="preserve">Atendido no item 2.2 Análise de Tráfego Aéreo e Possíveis Restrições. É feita análise de possíveis restrições considerando a operação atual e a futura planejada. O relatório então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2-16 Melhorias de Tráfego Aéreo por Fase. 
</t>
  </si>
  <si>
    <t xml:space="preserve">Atendido no item 2.3 Concepção para Expansão, em especial no item 2.3.1 Análise da Demanda. Apresenta as necessidades de infraestrutura previstas para atender às expectativas de demanda alinhadas com o previsto no relatório de estudo de mercado.
Foi identificada uma incoerência nas equações 2-6; 2-8 e 2-10:  levam a resultados sobredimensionados, uma vez que não consideram o tempo de ocupação por passageiro.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</si>
  <si>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obras e consequentemente de ampliações nas capacidades. É apresentada uma alteração na capacidade horária do sistema de pistas na fase 1, mas não há detalhamento nem alterações significativas no sistema de pistas.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</si>
  <si>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No item 2.5.1 Fases de Planejamento e Cronograma Estimado de Obras são apresentados, para cada componente de sistema, as intervenções propostas, tendo em vista a alternativa sugerida e a análise de capacidade estimada para cada fase. Ainda no item 2.5.1 , são apresentadas as intervenções propostas para cada fase de desenvolvimento, por componente de sistema, sintetizados na tabela 2-77. No caderno de plantas encontram-se os croquis das obras previstas para cada fase, por tipo (plano de desenvolvimento, implantação de pavimentos, cercas e acessos, sistema de bagagem, layout do TPS), com destaque para as áreas de ampliação. Os desenhos apresentados não permitem a identificação da realocação proposta dos sítios meteorológicos.</t>
  </si>
  <si>
    <t xml:space="preserve">O cronograma estimado encontra-se no item 2.5.1.4 Cronograma Estimado e Fases de Operação e apresenta as obras previstas para acontecer em duas fases.  Prevê ainda os prazos para obtenção das licenças ambientais, necessárias ao início das obras (LI). A descrição de cada fase acontece no item 2.6.2, com indicação das principais intervenções, segregadas por sistema (subitens do item 2.6.2) e ilustradas com indicação em planta da área onde ocorrerão as obras/intervenções. O cronograma completo com o detalhamento das obras previstas para cada sistema encontra-se na pasta CAPEX (SBPJ_CR-2Fases).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</si>
  <si>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t>
  </si>
  <si>
    <t xml:space="preserve">Due diligence dos contratos operacionais celebrados com a Infraero para o SBPJ encontra-se reproduzido no item 3.2.8 Due Diligence dos Contratos Operacionais. Não foi localizada análise dos contratos comerciais celebrados para o aeroporto, somente planilha com a disposição de suas principais características (planilha do relatório econômico-financeiro: SBPJ_Analise_contratos_comerciais_1.00). Não foi identificada análise dos contratos no tocante ao que dispõe a Portaria MTPA nº 143, de 6 de abril de 2017 (substituída pela Portaria MInfra nº 577, de 8 de novembro de 2019).  </t>
  </si>
  <si>
    <t>Apresenta coleção de informações dos componentes dos sistemas de pistas e pátios; incluindo equipamentos de rampa; sistema de geranciamento de tráfego aéreo; sistema terminal de passageiros, acesso viário e estacionamento de veículos (apresenta plantas dos pavimentos do TPS); sistema terminal de cargas (com foto de edificação da LATAM cargo e ausência de ilustração do TECA concedido); sistema de aviação geral; sistema de administração e manutenção; sistema de apoio; sistema das companhias aéreas; sistema industrial de apoio; sistema de infraestrutura básica e sistema comercial externo. O Apêndice 1 conclui que as condições observadas nas instalações são aquelas apresentadas no relatório fotográfico (Anexo 1), que apresenta análise suscinta dos componentes verificados em cada sistema, alguns de forma generalizada, como é o caso das pistas de táxi. Não há avaliação das condições do hangar do aeroporto. Algumas infraestruturas constantes na Planta de Situação Atual do aeroporto não permitem sua identificação (sem legenda).</t>
  </si>
  <si>
    <t>-</t>
  </si>
  <si>
    <t xml:space="preserve">O relatório de engenharia afirma que o Apêndice 9 traz a Avaliação Patrimonial - Due Dilligence Imobiliária. Já o Apêndice 1 afirma que as características da situação patrimonial do aeroporto encontram-se detalhadas no documento “Caderno de Plantas”, disponibilizado no Apêndice 6 do Relatório de Estudos de Engenharia. Nenhum dos apêndices (6 e 9) foi localizado na pasta do aeroporto. 
</t>
  </si>
  <si>
    <t>Apresenta zoneamento civil (não há area militar) e funcional (com menos detalhamento do que o outro grupo).
Elaborou PBZPA e PZPANA.
Elaborou PZR. Não há restrição: sem impacto na comunidade.</t>
  </si>
  <si>
    <t xml:space="preserve">Não levantou as NC de relatório ANAC relacionadas ao SESCINC.
Levantou as NC: PDIR validado, aguardando decisão COMAER; registro de PZR; apresentar IPF e PGRF; Implantar RESA e ações decorrentes dessa implantação; 
Pesquisou o historico de NOTAM desde 01/01/2014 a 30/06/2019 e obteve o n de dias em que alguns equipamentos estiveram inoperantes (RWY fechada por manutençao, com PAPI inoperante, com farol de aerodromo inoperante, area de giro da THR 14 fechada para manutenção). </t>
  </si>
  <si>
    <t>A tabela 1 do relatório de engenharia apresenta o resumo da capacidade instalada e a capacidade necessária bem como o status para cada item de cada sistema (TPS, TECA, TAG, etc), no entanto utiliza unidades de medidas inadequadas. 
Não foi apresentada justificativa para o cálculo da hora-pico simultânea. Há inconsistência no valor adotado para projeto, uma vez que quando a hora pico de embarque ou desembarque for maior que a simultânea, aquelas deveriam ser utilizadas para dimensionamento. Além disso, a hora pico considerada para avaliação da capacidade foi a 30ª hora, divergindo da diretriz para elaboração do estudo.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t>
  </si>
  <si>
    <t>Análise apresentada em Apêndice do Estudo de Mercado. Apresenta avaliação de capacidade estática e dinâmica dos pátios. Apresenta comparação com a demanda. Há inconsistências nas posições de pátio apresentadas. Os dados apresentados para o cálculo da capacidade dinâmica não são suficientes para a reprodução dos resultados finais pela CAE.</t>
  </si>
  <si>
    <t xml:space="preserve">Calcula e avalia a capacidade instalada do sistema de aviação geral somente em apêndice específico do relatório de mercado. A avaliação de capacidade do TECA só é apresentada em uma tabela que resume todos os componentes no Relatório do Estudo de Engenharia. No Apêndice 2, que compila informaçõs de capacidade, há a informação de que não é aplicável para o sistema de cargas. Na avaliação do sistema de aviação geral, os Hangares são avaliados somente quanto à ocupação. </t>
  </si>
  <si>
    <t>Faz referência no Apêndice 3 ao PDIR Infraero, elaborado em 2012 e revisto em 2013. Observa que o PDIR foi validado pela ANAC e aguarda manifestação do ComAer. 
Entende que suas premissas podem levar a superdimensionamento da infraestrutura. Não obstante, utiliza o PDIR como referência para elaborar alternativas de desenvolvimento.
No mesmo Apêndice, menciona o PAN (item 1.2.1); o Plano Aeroviário Estadual (item 1.2.2) e o sistema Horus (item 1.3.3) sem extrair informações desses documentos; apresenta 4 alternativas para desenvolvimento do aeroporto, todas vinculadas ao que é proposto no PDIR (implantação de segunda pista).
No Apêndice 4 (pág. 23) afirma que  não há viabilidade econômica para a implantação final proposta no PDIR e propõe que o desenvolvimento do que é previsto se dê de acordo com a demanda.</t>
  </si>
  <si>
    <t xml:space="preserve">Apresenta no Apêndice 5 um plano de desenvolvimento.
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“SBPJ – Dimensionamento aeroportuário”. Afirma ainda que as origens técnica/ teórica das definições dos parâmetros utilizados encontram-se listadas nas tabelas dispostas na sequência. 
A relação das fases de desenvolvimento propostas com a previsão de demanda não é evidente, mas sub-entendida na planilha SBPJ - Dimensionamento Aeroportuário v03.xlsx.  </t>
  </si>
  <si>
    <t>Não foi encontrada referência a estudo geotécnico. 
Item 10.4 do Relatório (fls. 42) declara que obra de grande vulto nos termos da lei (na definição do art. 23 da lei 8666/93) não será realizada, logo não há necessidade de estudo geotécnico. Nota integral no item.</t>
  </si>
  <si>
    <t>Conforme disposto no item 11, não há previsão para desapropriações que extrapolem os limites do sítio.</t>
  </si>
  <si>
    <t>Afirma que "[A] metodologia aplicada, bem como o memorial e detalhamento do cálculo para obtenção do benchmarking de custos operacionais encontra-se anexo ao Relatório 1 – Estudos de Mercado, na planilha Microsoft Excel “Planilha benchmarking despesas” mas a pasta não foi localizada no local indicado. Apresenta na figura 16 somente os resultados obtidos, sem unidade de medida e desacompanhados de fundamentação.</t>
  </si>
  <si>
    <t>Apresenta avaliação das instalações existentes de forma bem ilustrada por fotos e bem organizada, por sistema. Descreve com detalhes as estruturas existentes, apresenta em planta a sua localização e ilustra pontos levantados com fotos. Apresenta o sistema de pistas com suas dimensões, croqui de localização, características do pavimento, fluxo dos acessos e avalação de suas instalações. Na avaliação do TPS, lista as áreas por componente. Na avaliação do acesso viário, apresenta o fluxo de acesso aos terminais e aos demais componentes. Na avaliação do TECA, apresenta a instalações, os acessos, as áreas de carga e descarga e estacionamento. Também foram apresentados os componentes de infraestrutura aeronáutica verificados no aeroporto. Na avaliação do sistema de aviação geral apresenta a localização e situação verificada in loco para o hangar e pátio associado, além das condições do acesso viário. Sistema de administração e manutenção bem como sistema de apoio às operações e às companhias aéreas e, finalmente, sistema de infraestrutura básica também encontram-se apresentados e avaliados.</t>
  </si>
  <si>
    <t>O estudo avalia individualmente a situação patrimonial das áreas que compõem o sítio aeroportuário, verificando a sua regularidade jurídica/imobiliária. Realizou due diligence e obteve matrícula atualizada (Anexo 2). Apresenta em planta a localização das áreas e a sua regularidade. Apresenta levantamento sobre cercas e acessos, trazendo fotos e avaliação de suas condições.</t>
  </si>
  <si>
    <t>Apresenta zoneamento civil/militar (sitio radar DECEA) e funcional.
Elaborou PBZPA e PZPANA, foram elaboradas as Superfícies de Proteção do aeródromo e analisados os obstáculos que possam interferir em tais superfícies. Foram apresentados, localizados e analisados os obstáculos  (naturais e objetos projetados: antenas, edificações, etc) constantes nos planos elaborados.
Elabora novo PZR (mas não avalia criticamente o PZR atual levando em conta o mix de aeronaves).</t>
  </si>
  <si>
    <t>Relacionou as NC constantes do PAC CErtOp e acrescentou:
existência de auxilios não frangíveis na faixa de pista;
RESA da THR 13 com dimensões inadequadas;
Elementos de drenagem na faixa preparada;
Pátio proximo à RWY: ANV estacionadas constituem obstáculos à zona de transição.</t>
  </si>
  <si>
    <t>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(não foi apresentada a largura efetiva de tais componentes), somente apresentados os parâmetros e a fórmula para o cálculo. 
As tabelas que que realizam a análise da capacidade instalada dos processadores utiliza a demanda da 30ª hora mais movimentada e não o critério de 1,3 vezes a aeronave com maior número de assentos.</t>
  </si>
  <si>
    <t xml:space="preserve">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Na avaliação da capacidade das pistas de táxi, levou-se em conta a largura das pistas. </t>
  </si>
  <si>
    <t>Apresenta avaliação de capacidade estática e dinâmica dos pátios conjuntamente.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Há inconsistência no resultado apresentado. Não há uma definição clara da área considerada, uma vez que os pátios estão dispostos lado a lado e o espaço destinado à aviação geral foi contabilizado na avaliação contida no item de sistema de pistas e pátios. Foi apresentada avaliação de capacidade para o pátio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</si>
  <si>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Na comparação entre capacidade e demanda do estacionamento do TECA, as vagas do estacionamento do TPS não são consideradas.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</si>
  <si>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 xml:space="preserve">Atendido no item 2.2 Análise de Tráfego Aéreo e Possíveis Restrições. É feita análise de possíveis restrições considerando a operação atual e a futura planejada. O relatório então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2-20 Melhorias de Tráfego Aéreo por Fase. 
</t>
  </si>
  <si>
    <t>No item 2.5.1 Fases de Planejamento e Cronograma Estimado de Obras são apresentados, para cada componente de sistema, as intervenções propostas, tendo em vista a alternativa sugerida e a análise de capacidade estimada para cada fase. No item 2.6, são detalhadas as intervenções propostas para cada fase de desenvolvimento, por componente de sistema. No caderno de plantas encontram-se os croquis das obras previstas para cada fase, por tipo (plano de desenvolvimento, implantação de pavimentos, cercas e acessos, sistema de bagagem, layout do TPS), com destaque para as áreas de ampliação.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</si>
  <si>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(SBPL_CR-2Fases). </t>
  </si>
  <si>
    <t xml:space="preserve">Não foi possível rastrear, a partir dos projetos apresentados, os quantitativos utilizados nas composições de custo unitário inseridas dentro das "Planilhas Referenciais".  
A avaliação da capacidade instalada indica sobrecarga nos componentes: Terminal de Cargas e Estacionamento de Veículos do Terminal de Cargas. No entanto, não há previsão de investimento em tais componentes.
A área de terraplenagem prevista para a expansão do TPS é a mesma da área construída, que inclui mais de um pavimento. Dessa forma, entende-se que os quantitativos deveriam ser ajustados de forma a representar a quantidade mais adequada do serviço a ser realizado.
Não foram apresentadas justificativas para demolições de pavimentos não necessários nas fases de expansão da infraestrutura e cujas áreas não serão utilizadas.
</t>
  </si>
  <si>
    <t xml:space="preserve">Due diligence dos contratos operacionais celebrados com a Infraero para o SBPL encontra-se reproduzido no item 3.2.8 Due Diligence dos Contratos Operacionais. Não foi localizada análise dos contratos comerciais celebrados para o aeroporto, somente planilha com a disposição de suas principais características (planilha do relatório econômico-financeiro: SBPL_Analise_contratos_comerciais_1.00). Não foi identificada análise dos contratos no tocante ao que dispõe a Portaria MTPA nº 143, de 6 de abril de 2017 (substituída pela Portaria MInfra nº 577, de 8 de novembro de 2019).  </t>
  </si>
  <si>
    <t>Apresenta coleção de informações dos componentes dos sistemas de pistas e pátios (não há identificação do código das aeronaves indicadas no número de posições do pátio nem sua localização), incluindo equipamentos de rampa; sistema de geranciamento de tráfego aéreo; sistema terminal de passageiros, com acesso viário e estacionamento de veículos (apresenta plantas dos pavimentos do TPS) (não há registros fotográficos dos componentes internos do TPS); sistema terminal de cargas (não há registro fotográfico ou maiores informações do TECA); sistema de aviação geral (não há registro fotográfico do hangar do aeroporto nem sua localização na planta); sistema de administração e manutenção (não há registro fotográfico da área de manutenção de aeronaves); sistema de apoio; sistema das companhias aéreas; sistema industrial de apoio; sistema de infraestrutura básica e sistema comercial externo. O Apêndice 1 conclui que as condições observadas nas instalações são aquelas apresentadas no relatório fotográfico (Anexo 1), que não contém fotos do aeroporto. Os registros apresentados mostram-se insuficientes para corroborar as conclusões apresentadas ao final do Apêndice 1. Algumas infraestruturas constantes na Planta de Situação Atual do aeroporto não permitem sua identificação (sem legenda).</t>
  </si>
  <si>
    <t>O relatório de engenharia afirma que a avaliação patrimonial do aeroporto é apresentada no Apêndice 9. Não foram analisadas as áreas que compõem o sítio nem localizadas em planta. Não apresenta informações, registros fotográficos ou avaliação das cercas patrimoniais. Conforme afirmado no texto, a análise não inclui diligências complementares cartorárias nem qualquer diligência in loco.</t>
  </si>
  <si>
    <t>Apresenta a divisão do zoneamento civil/militar. DECEA.
Avaliou PZPA e sugeriu ajustes nas distancias declaradas. 
Avaliou obstáculos (arvores) e sugeriu sua remoção. 
Avalia criticamente o PZR existente e propõe novo Plano.
Elabora PEZR e na conclusão aponta impacto das curvas 60 e 70 dB na comunidade (no Apêndice 8) mas o Relatório não corrobora essa informação.</t>
  </si>
  <si>
    <t xml:space="preserve">Apresenta apenas as não conformidades apontadas pela ANAC (PAC CertOp).
Pesquisou o historico de NOTAM desde 01/01/2014 a 30/06/2019 e obteve o n de dias em que alguns equipamentos estiveram inoperantes (RWY fechada por manutençao, com PAPI inoperante, com farol de aerodromo inoperante, com TWY fechada para manutenção). </t>
  </si>
  <si>
    <t>Não apresenta cálculo da capacidade de pista. Menciona a metodologia que deve ser usada no Relatório do Estudo de Mercado. Há informações inconsistentes no Apêndice 2. Faz a avaliação de capacidade com base no valor disponibilizado pela Infraero na declaração de capacidade no Apêndice 2, mas utiliza outro valor para a mesma comparação no Estudo de Mercado. Não avalia a capacidade instalada das pistas de táxi, somente afirma não haver valor declarado de capacidade das mesmas.</t>
  </si>
  <si>
    <t>Análise apresentada em Apêndice do Estudo de Mercado. Apresenta avaliação de capacidade estática e dinâmica dos pátios. Apresenta comparação com a demanda. Há inconsistência nos valores apresentados para a demanda. Os dados apresentados para o cálculo da capacidade dinâmica não são suficientes para a reprodução dos resultados finais pela CAE.</t>
  </si>
  <si>
    <t>Calcula e avalia a capacidade instalada do sistema Terminal de Cargas somente em apêndice específico do relatório de mercado, onde apresenta a metodologia utilizada. A avaliação de capacidade do sistema de aviação geral só é apresentada em uma tabela que resume todos os componentes no Relatório do Estudo de Engenharia. No Apêndice 2 do Estudo de Engenharia e no Relatório do Estudo de Mercado são apresentadas informações retiradas do Plano Diretor do Aeroporto, sem avaliação de capacidade.</t>
  </si>
  <si>
    <t xml:space="preserve">Faz referência no Apêndice 3 ao PDIR Infraero, elaborado em 2012.
Entende que suas premissas podem levar a superdimensionamento da infraestrutura. Não obstante, utiliza o PDIR como referência para elaborar alternativas de desenvolvimento.
No mesmo Apêndice, menciona o PAN (item 1.2.1); o Plano Aeroviário Estadual (item 1.2.2) e o sistema Horus (item 1.3.3) sem extrair informações desses documentos.  Faz considerações sobre o Estudo de Viabilidade Técnica encontrado no referido sistema; apresenta 2 alternativas para desenvolvimento do aeroporto, uma vinculada ao que é proposto no PDIR e outra - a escolhida - que tem base no EVT e no próprio grupo.
No Apêndice 4 (pág. 23) apresenta a opção que considera mais adequada.
</t>
  </si>
  <si>
    <t xml:space="preserve">Apresenta no Apêndice 5 um plano de desenvolvimento.
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“SBPL – Dimensionamento aeroportuário”. Afirma ainda que as origens técnica/ teórica das definições dos parâmetros utilizados encontram-se listadas nas tabelas dispostas na sequência. 
A relação das fases de desenvolvimento propostas com a previsão de demanda não é evidente, mas sub-entendida na planilha SBPL - Dimensionamento Aeroportuário v03.xlsx.  </t>
  </si>
  <si>
    <t>Não foi encontrada referência a estudo geotécnico. 
Item 10.4 do Relatório (fls. 54) declara que obra de grande vulto nos termos da lei (na definição do art. 23 da lei 8666/93) não será realizada, logo não há necessidade de estudo geotécnico. Nota integral no item.</t>
  </si>
  <si>
    <t>Aponta obras em andamento no aeroporto e prazo de conclusão (setembro/2019) no item 9.3. Adicionalmente, no item 7 Limitações Físicas e Operacionais, apresenta informações do Termo de Ajustamento de Conduta, o que inclui obras previstas pelo atual operador.</t>
  </si>
  <si>
    <t>Apresenta avaliação das instalações existentes de forma bem ilustrada por fotos e bem organizada, por sistema. Descreve com detalhes as estruturas existentes, apresenta em planta a sua localização e ilustra pontos levantados com fotos. Apresenta o sistema de pistas com suas dimensões, croqui de localização, características do pavimento, fluxo dos acessos e avalação de suas instalações. Na avaliação do TPS, lista as áreas por componente. Na avaliação do acesso viário, apresenta o fluxo de acesso aos terminais e aos demais componentes. O aeroporto não dispõe de TECA. Também foram apresentados os componentes de infraestrutura aeronáutica verificados no aeroporto. Na avaliação do sistema de aviação geral apresenta a localização e situação verificada in loco para os hangares e pátios associados, além das condições do acesso viário. Sistema de administração e manutenção bem como sistema de apoio às operações e às companhias aéreas e, finalmente, sistema de infraestrutura básica também encontram-se apresentados e avaliados.</t>
  </si>
  <si>
    <t>Apresenta zoneamento civil/militar (DTCEA-IZ e  uma vila militar) e funcional.
Elaborou PBZPA e PZPANA, foram elaboradas as Superfícies de Proteção do aeródromo e analisados os obstáculos que possam interferir em tais superfícies. Foram apresentados, localizados e analisados os obstáculos  (naturais e objetos projetados: antenas, edificações, etc) constantes nos planos elaborados.
PZR: existe, está aprovado na ANAC. Avaliado basicamente, sem nenhuma consideração de seu impacto.</t>
  </si>
  <si>
    <t>Apresenta as não conformidades apontadas pela ANAC.
Não menciona as NC constantes do PAC 029P/SIA-GFIC/2019 encaminhado à ANAC em 02/08/2019 pelo Ofício N. SEDE-OFI-2019/01983.
Verificada inconsistência na referência a normas de SESCINC: na pág. 521 a referência está atualizada (RBAC 153-G) mas algumas inferências não se sustentam.</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</si>
  <si>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Na avaliação da capacidade das pistas de táxi, levou-se em conta a largura das pistas. Considera a utilização de uma pista de táxi que está fechada.</t>
  </si>
  <si>
    <t>Apresenta avaliação de capacidade estática e dinâmica do pátio único. Não compara a capacidade instalada com a demanda. No item referente à capacidade de pátio de aviação geral, considera que não há área destinada a esse fim e não faz menção às posições para aviação geral consideradas na avaliação contida no item de sistema de pistas e pátios.  Foi apresentada avaliação de capacidade para o pátio de equipamentos de rampa.</t>
  </si>
  <si>
    <t>Apresenta metodologias de cálculo de capacidade do sistema Terminal de Cargas. Algumas considerações utilizadas nos cálculos de capacidade não são justificadas. Na avaliação do pátio lado ar, a avaliação de demanda é baseada nas posições do pátio de carga. Há inconsistência na análise de capacidade do estacionamento do TECA.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</si>
  <si>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 xml:space="preserve">Atendido no item 2.2 Análise de Tráfego Aéreo e Possíveis Restrições. É feita análise de possíveis restrições considerando a operação atual e a futura planejada, não sendo identificado efeito adverso quanto à capacidade de pista. O relatório então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2-21 Melhorias de Tráfego Aéreo por Fase. 
</t>
  </si>
  <si>
    <t>Aponta obras em andamento no aeroporto e prazo de conclusão no item 2.1.1 . Apresenta informações sobre a obra no período da visita realizada, mas não menciona a data. Não apresenta inforações sobre obras previstas para antes da concessão.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</si>
  <si>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(SBIZ_CR-2Fases). </t>
  </si>
  <si>
    <t xml:space="preserve">Não foi possível rastrear, a partir dos projetos apresentados, os quantitativos utilizados nas composições de custo unitário inseridas dentro das "Planilhas Referenciais".  
A avaliação da capacidade instalada indica sobrecarga nas Instalações de Administração. No entanto, não há previsão de investimento em tal componente.
A área de terraplenagem prevista para a expansão do TPS é a mesma da área construída, que inclui mais de um pavimento. Dessa forma, entende-se que os quantitativos deveriam ser ajustados de forma a representar a quantidade mais adequada do serviço a ser realizado.
Não foram apresentadas justificativas para demolições de pavimentos não necessários nas fases de expansão da infraestrutura e cujas áreas não serão utilizadas.
</t>
  </si>
  <si>
    <t xml:space="preserve">Due diligence dos contratos operacionais celebrados com a Infraero para o SBIZ encontra-se reproduzido no item 3.2.8 Due Diligence dos Contratos Operacionais. Não foi localizada análise dos contratos comerciais celebrados para o aeroporto, somente planilha com a disposição de suas principais características (planilha do relatório econômico-financeiro: SBIZ_Analise_contratos_comerciais_1.00). Não foi identificada análise dos contratos no tocante ao que dispõe a Portaria MTPA nº 143, de 6 de abril de 2017 (substituída pela Portaria MInfra nº 577, de 8 de novembro de 2019).  </t>
  </si>
  <si>
    <t>Apresenta coleção de informações dos componentes dos sistemas de pistas e pátios (não identifica a pista de táxi B no Apêndice 1 nem no Apêndice 2 nem no caderno de plantas, somente ao final do Anexo 1, sem registro fotográfico), incluindo equipamentos de rampa; sistema de geranciamento de tráfego aéreo; sistema terminal de passageiros, com acesso viário e estacionamento de veículos (apresenta planta do pavimento do TPS); sistema de aviação geral (número de hangares inferior ao constante na planta do Anexo 01. Não apresenta fotos dos hangares individualmente nem a avaliação dos mesmos); sistema de administração e manutenção; sistema de apoio; sistema das companhias aéreas; sistema industrial de apoio; sistema de infraestrutura básica e sistema comercial externo. O Apêndice 1 conclui que as condições observadas nas instalações são aquelas apresentadas no relatório fotográfico (Anexo 1), que apresenta análise suscinta de cada componente de cada sistema, sendo que alguns sistemas são apresentados de forma generalizada, como é o caso das pistas de táxi. Algumas infraestruturas constantes na Planta de Situação Atual do aeroporto não permitem sua identificação (sem legenda).</t>
  </si>
  <si>
    <t>O relatório de engenharia afirma que a avaliação patrimonial do aeroporto é apresentada no Apêndice 9. Não foram analisadas as áreas que compõem o sítio nem localizadas em planta. Não apresenta informações ou avaliação das cercas patrimoniais além das fotos do Anexo 1 (relatório fotográfico). Conforme afirmado no texto, a análise não inclui diligências complementares cartorárias nem qualquer diligência in loco.</t>
  </si>
  <si>
    <t>Apresenta a divisão do zoneamento civil/militar (DTCEA-IZ e  uma vila militar).
Elaborou PBZPA e PZPANA.
Obstáculos: não avaliados individualmente. Apendice 10 menciona obstaculos de forma generica e não faz avaliação.
Avalia criticamente o PZR existente e propõe novo Plano: elabora PEZR e na conclusão aponta impacto das curvas 60 e 70 dB na comunidade (no Apêndice 8) mas o Relatório não corrobora essa informação.</t>
  </si>
  <si>
    <t>Além das NC (não conformidades) ANAC referentes ao SESCINC (não há visão da area de movto; não há atenuação acustica) e a IGF+PGRF; a consultoria elencou: implantação de RESA; ajustar o codigo de referencia da pista; redimensionar o posicionamento dos boxes e da TWY; corrigir a faixa  de pista para 140m a partir do eixo; tudo isso feito corrigir o cadastro; tudo isso feito apresentar novo PBZPA. 
Não menciona as NC constantes do PAC 029P/SIA-GFIC/2019 encaminhado à ANAC em 02/08/2019 pelo Ofício N. SEDE-OFI-2019/01983.
Adicionalmente, levantou série histórica de NOTAM e dias de  ao longo de 2006 dias de registro.Pesquisou o historico de NOTAM desde 01/01/2014 a 30/06/2019 e obteve o n de dias em que alguns equipamentos estiveram inoperantes (pista fechada por chuva ou por obras/manutenção; além de farol de aeródromo inoperante por 5 dias).</t>
  </si>
  <si>
    <t>Não apresenta cálculo da capacidade de pista. Menciona a metodologia que deve ser usada no Relatório do Estudo de Mercado. Faz a avaliação de capacidade com base no valor disponibilizado pelo CGNA para um aeroporto de infraestrutura similar, mas utiliza outro valor para a mesma comparação no Estudo de Mercado. Não avalia a capacidade instalada das pistas de táxi, somente afirma não haver valor declarado de capacidade das mesmas.</t>
  </si>
  <si>
    <t>Análise apresentada em Apêndice do Estudo de Mercado. Há inconsistência na apresentação da quantidade de posições nos pátios. Apresenta avaliação de capacidade estática e dinâmica dos pátios. Apresenta comparação com a demanda. Os dados apresentados para o cálculo da capacidade dinâmica não são suficientes para a reprodução dos resultados finais pela CAE.</t>
  </si>
  <si>
    <t xml:space="preserve">Calcula e avalia a capacidade instalada do sistema de aviação geral somente em apêndice específico do relatório de mercado. A avaliação de capacidade do TECA só é apresentada em uma tabela que resume todos os componentes no Relatório do Estudo de Engenharia. No Apêndice 2, que compila informaçõs de capacidade, há a informação de que não é aplicável para o sistema de cargas. No Relatório do Estudo de Mercado, há a informação de que não há capacidade instalada no processamento de carga. Na avaliação do sistema de aviação geral, os Hangares são avaliados somente quanto à ocupação. </t>
  </si>
  <si>
    <t xml:space="preserve">Apresenta planilha de cálculo da capacidade instalada das instalações de administração, de manutenção  bem como do sistema de apoio às operações (PAA, SESCINC, Sistema das CIAS áereas, sistema insdutrial de apoio, sistema de infraestrutura básica, áreas especiais e sistema comercial externo). Para o cálculo da capacidade do SESCINC foram consideradas normas desatualizadas. </t>
  </si>
  <si>
    <t>Faz referência no Apêndice 3 ao PDIR Infraero, elaborado em 2012 e revisto em 2013. 
Entende que suas premissas podem levar a superdimensionamento da infraestrutura. Não obstante, utiliza o PDIR como referência para elaborar alternativas de desenvolvimento.
No mesmo Apêndice, menciona o PAN (item 1.2.1); o Plano Aeroviário Estadual (item 1.2.2) e o sistema Horus (item 1.3.3) sem extrair informações desses documentos.  Faz considerações sobre o Estudo de Viabilidade Técnica encontrado no referido sistema; apresenta três alternativas para desenvolvimento do aeroporto, uma vinculada ao que é proposto no PDIR.
No Apêndice 4 (pág. 23) avalia que a melhor opção é modificar o código de referência para 3C.</t>
  </si>
  <si>
    <t xml:space="preserve">Apresenta no Apêndice 5 um plano de desenvolvimento.
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“SBIZ – Dimensionamento aeroportuário”. Afirma ainda que as origens técnica/ teórica das definições dos parâmetros utilizados encontram-se listadas nas tabelas dispostas na sequência. 
A relação das fases de desenvolvimento propostas com a previsão de demanda não é evidente, mas sub-entendida na planilha SBIZ - Dimensionamento Aeroportuário v03.xlsx.  </t>
  </si>
  <si>
    <t>Capítulo 8.</t>
  </si>
  <si>
    <t>Capítulos 5, 9 e 10.</t>
  </si>
  <si>
    <t>Capítulo 10.</t>
  </si>
  <si>
    <t xml:space="preserve">Capítulos 3, 5 e 7. </t>
  </si>
  <si>
    <t>Capítulo 9.</t>
  </si>
  <si>
    <t>Capítulo 10</t>
  </si>
  <si>
    <t xml:space="preserve">Capítulos 5 e 6. Anexo 3. </t>
  </si>
  <si>
    <t>Anexo 10. Capítulo 7.</t>
  </si>
  <si>
    <t xml:space="preserve">Capítulo 7. </t>
  </si>
  <si>
    <t xml:space="preserve">Capítulo 8. </t>
  </si>
  <si>
    <t xml:space="preserve">Capítulo 6. </t>
  </si>
  <si>
    <t xml:space="preserve">Capítulo 10. </t>
  </si>
  <si>
    <t xml:space="preserve">Capítulos 4 e 5. </t>
  </si>
  <si>
    <t xml:space="preserve">Capítulos 4 e 8. </t>
  </si>
  <si>
    <t>Capítulo 7.</t>
  </si>
  <si>
    <t>Capítulos 5 e 8.</t>
  </si>
  <si>
    <t>Capítulo 3, 5 e 7.</t>
  </si>
  <si>
    <t>Capítulos 5 e 6. Anexo 3.</t>
  </si>
  <si>
    <r>
      <t xml:space="preserve">Capítulos 5 e 6. Anexo 3. </t>
    </r>
    <r>
      <rPr>
        <sz val="11"/>
        <color theme="1"/>
        <rFont val="Times New Roman"/>
        <family val="1"/>
      </rPr>
      <t/>
    </r>
  </si>
  <si>
    <t>Capítulo 6.</t>
  </si>
  <si>
    <r>
      <t xml:space="preserve">Capítulo 3, 5 e 7. </t>
    </r>
    <r>
      <rPr>
        <sz val="11"/>
        <color rgb="FFFF0000"/>
        <rFont val="Times New Roman"/>
        <family val="1"/>
      </rPr>
      <t/>
    </r>
  </si>
  <si>
    <r>
      <t xml:space="preserve">Capítulos 4 e 8. </t>
    </r>
    <r>
      <rPr>
        <b/>
        <sz val="11"/>
        <color rgb="FFFF0000"/>
        <rFont val="Times New Roman"/>
        <family val="1"/>
      </rPr>
      <t/>
    </r>
  </si>
  <si>
    <t>Capítulo 6. Anexos 2 e 3.</t>
  </si>
  <si>
    <t xml:space="preserve">Capítulos 5 e 7. </t>
  </si>
  <si>
    <t>Capítulo 11.</t>
  </si>
  <si>
    <t>Capítulos 5 e 7.</t>
  </si>
  <si>
    <t xml:space="preserve">Capítulo 4. </t>
  </si>
  <si>
    <t>Considera o reembolso de despesas recebidas dos cessionários referentes ao compartilhamento de custos com utilidades públicas como receitas, bem como a incidência de tributos sobre esses recebimentos.
Não considerou adequadamente os efeitos da due dilligence contratual, tendo em vista que não incorpora receitas adicionais que poderão ser auferidas em razão do encerramento de contratos comerciais subrogados celebrados pela Infraero. (ex. TECA, em 2028). 
O consórico considerou equivocadamente no relatório que, enquanto a Infraero operar o Aeroporto, as despesas de IPTU correrão por conta do novo Concessionário, em que pese não considerar essa premissa na planilha financeira.</t>
  </si>
  <si>
    <t xml:space="preserve">A modelagem econônimo-financeira não apresenta prazo suficiente para contemplar o pagamento de todo o fluxo de outorga variável - considera o pagamento da última parcela da outorga variável em 2051 e não em 2052, conforme se depreende de diretriz emanada da SAC para observância de modelo adotado no contrato de concessão da quinta rodada.   </t>
  </si>
  <si>
    <t>ok</t>
  </si>
  <si>
    <t>A modelagem financeira não considera o custo com pessoal referente a fase de transição da concessão</t>
  </si>
  <si>
    <t xml:space="preserve">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t>
  </si>
  <si>
    <t xml:space="preserve">
A modelagem financeira não possibilita análise dos ganhos de escala para financiamento. 
</t>
  </si>
  <si>
    <t xml:space="preserve">A planilha financeira do consórcio apresenta erros ao ser aberta, dificultando a checagem dos dados e memórias de cálculo. Tal fato se deve a vinculação feita, pelo consórcio, da planilha a arquivos em formato https, o que faz com que diversas caixas de texto sejam abertas e erros de vinculação apontados. </t>
  </si>
  <si>
    <t xml:space="preserve">Não apresenta análise detalhada da real necessidade de pessoal para gestão dos ativos em bloco. A projeção para operação individual dos aeroportos não contempla os ganhos advindos da operação privada ( é estimado, por exemplo, custo com pessoal cedido a outros órgãos).
</t>
  </si>
  <si>
    <t xml:space="preserve">Não observou diretriz emanada da SAC referente a sistemática para pagamento da contribuição variável, conforme disposto nos contratos de concessão da 5ª rodada (itens 2.15, 2.16 e 2.17 dos contratos). Isso porque, de forma equivocada, aloca o pagamento da primeira parcela da outorga variável em 2026 e não em maio de 2027, conforme se deriva da diretriz.  </t>
  </si>
  <si>
    <t xml:space="preserve">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t>
  </si>
  <si>
    <t>Não apresenta Provisão Estimada para Créditos de Liquidação Duvidosa (PECLD). 
Não foi apresentado embasamento para o reconhecimento de diferença temporária para efeitos fiscais relativos ao pagamento da contribuição inicial, o que gerou o reconhecimento de ativo fiscal diferido e passivo fiscal diferido.
As rubricas empréstimos/serviço da dívida/juros pagos, na planilha financeira, ultrapassam o prazo contratual.
Não realiza a capitalização de custos de empréstimos aos ativos qualificáveis de acordo com as práticas contábeis adotadas no Brasil.</t>
  </si>
  <si>
    <t xml:space="preserve">A modelagem financeira não considera o custo com pessoal referente a fase de transição da concessão
</t>
  </si>
  <si>
    <t xml:space="preserve">A planilha financeira do consórcio apresenta erros ao ser aberta, dificultando a checagem dos dados e memórias de cálculo. Tal fato se deve a vinculação feita pelo consórcio da planilha a arquivos em formato https, o que faz com que diversas caixas de texto sejam abertas e erros de vinculação apontados. </t>
  </si>
  <si>
    <t xml:space="preserve">
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Não considerou adequadamente os efeitos da due dilligence contratual, tendo em vista que não incorpora receitas adicionais que poderão ser auferidas em razão do encerramento de contratos comerciais subrogados pela Infraero (ex. TECA)</t>
  </si>
  <si>
    <t xml:space="preserve">
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respectivos ativos qualificáveis de acordo com as práticas contábeis adotadas no Brasil.
As rubricas empréstimos/serviço da dívida/juros pagos, na planilha financeira, ultrapassam o prazo contratual.</t>
  </si>
  <si>
    <t>A modelagem financeira não considera o custo com pessoal na fase de transição da concessão.</t>
  </si>
  <si>
    <t xml:space="preserve">A modelagem financeira não possibilita análise dos ganhos de escala para financiamento. </t>
  </si>
  <si>
    <t>OK</t>
  </si>
  <si>
    <t xml:space="preserve">Considera o reembolso de despesas recebidas dos cessionários referentes ao compartilhamento de custos com utilidades públicas como receitas, bem como a incidência de tributos sobre esses recebimentos.
Não considerou adequadamente os efeitos da due dilligence contratual, tendo em vista que não incorpora receitas adicionais que poderão ser auferidas em razão do encerramento de contratos comerciais subrogados celebrados pela infraero. (ex. TECA). Ademais, as projeções de subconcessão do TECA não modelam adequadamente as receitas variáveis conforme contrato.
O consórico considerou equivocadamente no relatório que, enquanto a Infraero operar o Aeroporto, as despesas de IPTU correrão por conta do novo Concessionário, em que pese não considerar essa premissa na planilha financeira.
</t>
  </si>
  <si>
    <t xml:space="preserve">A modelagem financeira não considera o custo com pessoal referente a fase de transição da concessão
Não considerou adequadamente os efeitos da due dilligence contratual, tendo em vista que não incorpora receitas adicionais que poderão ser auferidas em razão do encerramento de contratos comerciais subrogados celebrados pela Infraero. (ex. TECA). </t>
  </si>
  <si>
    <t xml:space="preserve">
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t>
  </si>
  <si>
    <t xml:space="preserve">A planilha financeira do consórcio, apresentada anexa ao relatório econômico financeiro  com toda a memória de cálculo das projeções, sempre apresentou problemas para ser aberta e quando de sua utilização, dificultando a checagem dos dados.  Tal fato se deve a vinculação feita pelo consórcio a arquivos em formato https, o que faz com que diversas caixas de texto sejam abertas e erros de vinculação apontados. Tal fato fez com que a abertura da planilha levasse vários minutos dificultando sobremaneira o trabalho da comissão. </t>
  </si>
  <si>
    <t xml:space="preserve">
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Não considerou adequadamente os efeitos da due dilligence contratual, tendo em vista que não incorpora receitas adicionais que poderão ser auferidas em razão do encerramento de contratos comerciais subrogados pela Infraero (ex. TECA).</t>
  </si>
  <si>
    <t>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t>
  </si>
  <si>
    <t>Não foi apresentado embasamento para o reconhecimento de diferença temporária para efeitos fiscais relativos ao pagamento da contribuição inicial, o que gerou o reconhecimento de ativo fiscal diferido.
Passa a considerar a ocorrência de despesa com contribuição variável somente no ano de 2027. Essa despesa começa a incidir no ano de 2026, com reflexos na apuração do resultado e impostos incidentes nesse e nos demais anos de acordo com o regime contábil de competência, em que pese o desembolso financeiro ocorrer somente no ano subsequente.
Não inclui as obrigações pré-contratuais  (ressarcimento dos estudos, condução do leilão e Programa de Adequação do Efetivo da Infraero) no ativo intangível. 
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avalia a possibilidade de tributação por meio do lucro presumido.
Não realiza a capitalização de custos de empréstimos aos respectivos ativos qualificáveis de acordo com as práticas contábeis adotadas no Brasil.</t>
  </si>
  <si>
    <t>Não apresenta análise detalhada da real necessidade de pessoal para a gestão dos ativos em bloco. A projeção para operação individual dos aeroportos não contempla os ganhos advindos da operação privada (é estimado, por exemplo, custo com pessoal cedido a outros órgãos)</t>
  </si>
  <si>
    <t xml:space="preserve">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t>
  </si>
  <si>
    <t xml:space="preserve">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ativos qualificáveis de acordo com as práticas contábeis adotadas no Brasil.
</t>
  </si>
  <si>
    <t xml:space="preserve">A modelagem financeira não considera o custo com pessoal referente a fase de transição da concessão
</t>
  </si>
  <si>
    <t>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t>
  </si>
  <si>
    <t xml:space="preserve">
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t>
  </si>
  <si>
    <t xml:space="preserve">Não apresenta Provisão Estimada para Créditos de Liquidação Duvidosa (PECLD). </t>
  </si>
  <si>
    <t xml:space="preserve">
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t>
  </si>
  <si>
    <t xml:space="preserve">A modelagem financeira não possibilita análise dos ganhos de escala para financiamento. 
</t>
  </si>
  <si>
    <t xml:space="preserve">Não avalia a possibilidade de tributação por meio do lucro presumido.
Não inclui as obrigações pré-contratuais  (ressarcimento dos estudos, condução do leilão e Programa de Adequação do Efetivo da Infraero) no ativo intangível.
Não apresenta Provisão Estimada para Créditos de Liquidação Duvidosa (PECLD). </t>
  </si>
  <si>
    <t xml:space="preserve">
Não apresenta Provisão Estimada para Créditos de Liquidação Duvidosa (PECLD). 
</t>
  </si>
  <si>
    <t xml:space="preserve">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t>
  </si>
  <si>
    <t>Não avalia a possibilidade de tributação por meio do lucro presumido.
Não inclui as obrigações pré-contratuais  (ressarcimento dos estudos, condução do leilão e Programa de Adequação do Efetivo da Infraero) no ativo intangível.
Não apresenta Provisão Estimada para Créditos de Liquidação Duvidosa (PECLD).</t>
  </si>
  <si>
    <t>Considera o reembolso de despesas recebidas dos cessionários referentes ao compartilhamento de custos com utilidades públicas como receitas, bem como a incidência de tributos sobre esses recebimentos.
Classifica serviços acessórios como receitas tarifárias, ao passo que essas receitas não são previstas pela Lei nº 6.009/1973. 
O consórico considerou equivocadamente no relatório que, enquanto a Infraero operar o Aeroporto, as despesas de IPTU correrão por conta do novo Concessionário, em que pese não considerar essa premissa na planilha financeira.</t>
  </si>
  <si>
    <t xml:space="preserve">A Tabela 7-1: "aliquota de ISSQN por aeroporto", apresenta de forma equivocada a alíquota para Rio Branco de 4% e também de forma equivocada a alíquota para Boa Vista de 5%, em que pese os valores utilizados na planilha estarem corretos. 
</t>
  </si>
  <si>
    <t xml:space="preserve">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t>
  </si>
  <si>
    <t xml:space="preserve">
Os dados apresentados na tabela "Tabela 14:2: Balanço Patrimonial (R$ mil)" do relatório econômico financeiro do bloco, a partir da rubrica ativos não circulantes, estão incorretos, em que pese a planilha financeira anexa apresentar os dados corretos. 
Os dados apresentados na tabela "Tabela 14.3: Demonstração de Resultados do Exercício (R$ mil)" do relatório econômico financeiro do bloco estão incorretos, pois apresenta os resultados do ano de 2021 em 2022 e deixa de apresentar os resultados do ano de 2051, em que pese a planilha financeira anexa apresentar os dados corretos..
Na Tabela 9:6 do relatório consolidado, a descrição dos percentuais de ISS se refere aos aeroportos do bloco central e não do norte.
A modelagem financeira não possibilita análise dos ganhos de escala para financiamento. 
</t>
  </si>
  <si>
    <t xml:space="preserve">
Apresenta a modelagem econômico-financeira do projeto pelo método de fluxo de caixa descontado, porém,  não apresenta com clareza, no relatório, qual o VPL do projeto antes das outorgas, tampouco o percentual da outorga variável sobre a receita bruta necessário para zerar o VPL, em que pese ser possível identificar os valores da análise da planilha financeira.
Não observou diretriz emanada da SAC referente a sistemática para pagamento da contribuição variável, conforme disposto nos contratos de concessão da 5ª rodada (itens 2.15, 2.16 e 2.17 dos contratos). Isso porque, de forma equivocada, aloca o pagamento da primeira parcela da outorga variável em 2026 e não em maio de 2027, conforme se deriva da diretriz.  
O número de períodos utilizado para desconto do fluxo na modelagem de aeroportos individuais não é o mesmo utilizado para a modelagem do bloco. A modelagem utilizada para aeroportos individuais realiza cálculo de fluxo de caixa para data base diferente da modelagem do bloco. 
</t>
  </si>
  <si>
    <t xml:space="preserve">Prevê assunção definitiva do aeroporto em julho de 2021, desconsiderando o período de transição. A assunção definitiva ocorre na verdade ao fim do estágio 2 da fase I-A. Portanto, o concessionário só fará jus a receitas a partir de novembro de 2021. Igualmente, as despesas e impostos durante a fase de transição serão somente aquelas relacionadas a equipe de transição.
A modelagem econônimo-financeira não apresenta prazo suficiente para contemplar o pagamento de todo o fluxo de outorga variável - considera o pagamento da última parcela da outorga variável em 2051 e não em 2052, conforme se depreende de diretriz emanada da SAC para observância de modelo adotado no contrato de concessão da quinta rodada. 
</t>
  </si>
  <si>
    <t>A modelagem econômico-financeira não contempla a distribuição de dividendos aos acionistas, quando atendidos os requisitos regulatórios e legais aplicáveis.
O cálculo da TIR do projeto, TIRM do projeto e VPL do projeto é realizado após a inclusão das outorgas no fluxo de caixa. Assim, toda TIR e TIRM do projeto serão iguais à taxa de desconto e todo o VPL do projeto será apresentado como R$ 0,00, conforme se depreende da tabela 31..</t>
  </si>
  <si>
    <t>Os dados apresentados na DRE, tanto no relatório quanto na planilha financeira, não correspondem aos dados consolidados dos aeroportos do bloco Norte ( apresentam uma série de inconsistências, como a apuração de receitas de navegação aérea, etc.), devido a algum erro na planilha, tornando impossível a análise da DRE
Os dados projetados no Balanço Patrimonial (BP) do bloco norte não são coerentes com a Demonstração do Resultado do Exercício (DRE). A DRE consolidada do bloco não apura lucro contábil em nenhum período, ao passo que o BP apura saldo crescente de lucros acumulados em todos os períodos da concessão.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Não apresenta análise e embasamento detalhado para as economias de OPEX advindas das sinergias e ganhos de escala na operação conjunta dos aeroportos em Bloco.
Aponta ganhos na redução de CAPEX pela operação conjunta dos aeroportos sem qualquer embasamento.
Desconsidera a existência de diferentes alíquotas de ISSQN nos municípios que compõe o bloco. 
Não realiza análise destalhada dos ganhos tributários advindos da operação conjunto dos aeroportos.</t>
  </si>
  <si>
    <t xml:space="preserve">Não foi apresentado embasamento para o reconhecimento de diferença temporária para efeitos fiscais relativos ao pagamento da contribuição inicial, o que gerou o reconhecimento de ativo fiscal diferido.
Passa a considerar a ocorrência de despesa com contribuição variável somente no ano de 2027. Essa despesa começa a incidir no ano de 2026, com reflexos na apuração do resultado e impostos incidentes nesse e nos demais anos de acordo com o regime contábil de competência, em que pese o desembolso financeiro ocorrer somente no ano subsequente.
Não inclui as obrigações pré-contratuais  (ressarcimento dos estudos, condução do leilão e Programa de Adequação do Efetivo da Infraero) no ativo intangível. 
Não apresenta Provisão Estimada para Créditos de Liquidação Duvidosa (PECLD). 
Não realiza a capitalização de custos de empréstimos aos ativos qualificáveis de acordo com as práticas contábeis adotadas no Brasil.
</t>
  </si>
  <si>
    <t>Não apresenta Provisão Estimada para Créditos de Liquidação Duvidosa (PECLD). 
Não realiza a capitalização de custos de empréstimos aos ativos qualificáveis de acordo com as práticas contábeis adotadas no Brasil.
As rubricas empréstimos/serviço da dívida/juros pagos, na planilha financeira, ultrapassam o prazo contratual.</t>
  </si>
  <si>
    <t xml:space="preserve">O número de períodos utilizado para desconto do fluxo na modelagem de aeroportos individuais não é o mesmo utilizado para a modelagem do bloco. A modelagem utilizada para aeroportos individuais realiza cálculo de fluxo de caixa para data base diferente da modelagem do bloco. </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</si>
  <si>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t>
  </si>
  <si>
    <t>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</si>
  <si>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 xml:space="preserve">Prevê assunção definitiva do aeroporto em julho de 2021, desconsiderando o período de transição. A assunção definitiva ocorre na verdade ao fim do estágio 2 da fase I-A. Portanto, o concessionário só fará jus a receitas a partir de outubro de 2021. Igualmente, as despesas e impostos durante a fase de transição serão somente aquelas relacionadas a equipe de transição.
</t>
  </si>
  <si>
    <t>Os dados apresentados na DRE, tanto no relatório quanto na planilha financeira, não correspondem aos dados consolidados dos aeroportos do bloco Norte (apresentam uma série de inconsistências, como a apuração de receitas de navegação aérea, etc.), devido a algum erro na planilha, tornando impossível a análise da DRE.
Os dados projetados no Balanço Patrimonial (BP) do bloco norte não são coerentes com a Demonstração do Resultado do Exercício (DRE). A DRE consolidada do bloco não apura lucro contábil em nenhum período, ao passo que o BP apura saldo crescente de lucros acumulados em todos os períodos da concessão.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Não apresenta análise e embasamento detalhado para as economias de OPEX advindas das sinergias e ganhos de escala na operação conjunta dos aeroportos em Bloco.
Aponta ganhos na redução de CAPEX pela operação conjunta dos aeroportos sem qualquer embasamento.
Desconsidera a existência de diferentes alíquotas de ISSQN nos municípios que compõe o bloco. 
Não realiza análise destalhada dos ganhos tributários advindos da operação conjunto dos aeroportos.</t>
  </si>
  <si>
    <r>
      <t>Considera indevidamente recuperação de crédito PIS/COFINS sobre os gastos com pessoal. Ademais, não apresenta embasamento detalhado para a definição da premissa de aproveitamento de créditos PIS/COFINS.
Traz uma análise demsasiadamente simplificada para as receitas comerciais identificando apenas as rubricas de concessões de áreas e combustíveis
Os valores apresentados no Relatório financeiro ( Tabela 5-12) para ressarcimento dos estudos, condução do leilão e Programa de Adequação do Efetivo não condizem com os valores emanados de diretriz da SAC.
Não apresenta efeitos da due diligence dos contratos comerciais na projeção de receitas.</t>
    </r>
    <r>
      <rPr>
        <strike/>
        <sz val="12"/>
        <rFont val="Times New Roman"/>
        <family val="1"/>
      </rPr>
      <t xml:space="preserve">
</t>
    </r>
  </si>
  <si>
    <t>Não inclui as obrigações pré-contratuais  (ressarcimento dos estudos, condução do leilão e Programa de Adequação do Efetivo da Infraero) no ativo intangível.
Não apresenta Provisão Estimada para Créditos de Liquidação Duvidosa (PECLD). 
Não avalia a possibilidade de tributação por meio do lucro presumido</t>
  </si>
  <si>
    <t xml:space="preserve">A Tabela 3-1: "Quantidade de funcionários e custo anual no cenário individual x bloco" não reflete as explicações trazidas para os ganhos operacionais advindos da gestão em bloco. Ademais, não realiza análise detalhada da real necessidade de pessoal para gestão dos ativos em bloco.
</t>
  </si>
  <si>
    <t xml:space="preserve">Não apresenta Provisão Estimada para Créditos de Liquidação Duvidosa (PECLD). 
</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</si>
  <si>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t>
  </si>
  <si>
    <t xml:space="preserve">
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t>
  </si>
  <si>
    <t xml:space="preserve">
Não apresenta Provisão Estimada para Créditos de Liquidação Duvidosa (PECLD). </t>
  </si>
  <si>
    <t xml:space="preserve">A Tabela 7-1 do Relatório do Bloco "aliquota de ISSQN por aeroporto", apresenta de forma equivocada a alíquota para Rio Branco de 4% e também de forma equivocada a alíquota para Boa Vista de 5%, em que pese os valores utilizados na planilha estarem corretos. 
</t>
  </si>
  <si>
    <t>Não inclui as obrigações pré-contratuais  (ressarcimento dos estudos, condução do leilão e Programa de Adequação do Efetivo da Infraero) no ativo intangível.
Não apresenta Provisão Estimada para Créditos de Liquidação Duvidosa (PECLD). 
Não avalia a possibilidade de tributação por meio do lucro presumido.</t>
  </si>
  <si>
    <t xml:space="preserve">
Não apresenta Provisão Estimada para Créditos de Liquidação Duvidosa (PECLD). 
</t>
  </si>
  <si>
    <t>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</si>
  <si>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Não foi apresentada planilha eletrônica para o referido aeroporto, o que torna inviável a averiguação da correcão dos dados, tampouco sua reproducao ou manipulação</t>
  </si>
  <si>
    <t xml:space="preserve">
Não foi apresentada planilha eletrônica para o referido aeroporto, o que torna inviável a averiguação da correcão dos dados, tampouco sua reprodução ou manipulação
</t>
  </si>
  <si>
    <t>Não foi apresentada planilha eletrônica para o referido aeroporto, o que torna inviável a averiguação da correcão dos dados, tampouco sua reprodução ou manipulação</t>
  </si>
  <si>
    <t xml:space="preserve">Os dados apresentados na DRE, tanto no relatório quanto na planilha financeira, não correspondem aos dados consolidados dos aeroportos do bloco Norte (apresentam uma série de inconsistências, como a apuração de receitas de navegação aérea, etc.), devido a algum erro na planilha, tornando impossivel a análise da DRE.
Os dados projetados no Balanço Patrimonial (BP) do bloco norte não são coerentes com a Demonstração do Resultado do Exercício (DRE). A DRE consolidada do bloco não apura lucro contábil em nenhum período, ao passo que o BP apura saldo crescente de lucros acumulados em todos os períodos da concessão.
O fator de desconto anual utilizado na planilha financeira para cálculo do Valor Presente Liquido do projeto está incorreto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Não apresenta análise e embasamento detalhado para as economias de OPEX advindas das sinergias e ganhos de escala na operação conjunta dos aeroportos em Bloco.
Aponta ganhos na redução de CAPEX pela operação conjunta dos aeroportos sem qualquer embasamento.
Desconsidera a existência de diferentes alíquotas de ISSQN nos municípios que compõe o bloco. 
Não realiza análise destalhada dos ganhos tributários advindos da operação conjunto dos aeroportos.
Não apresenta avaliação quanto ao impacto da adoção de regimes diferentes de tributação de impostos sobre o lucro na viabilidade do aeroporto.
</t>
  </si>
  <si>
    <t xml:space="preserve">Não inclui as obrigações pré-contratuais  (ressarcimento dos estudos, condução do leilão e Programa de Adequação do Efetivo da Infraero) no ativo intangível. 
Não apresenta Provisão Estimada para Créditos de Liquidação Duvidosa (PECLD).
Não avalia a possibilidade de tributação por meio do lucro presumido. 
</t>
  </si>
  <si>
    <t xml:space="preserve">
Não apresenta Provisão Estimada para Créditos de Liquidação Duvidosa (PECLD). 
</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</si>
  <si>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Não considerou adequadamente os efeitos da due dilligence contratual, tendo em vista que não incorpora receitas adicionais que poderão ser auferidas em razão do encerramento de contratos comerciais subrogados pela Infraero.</t>
  </si>
  <si>
    <t>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considerou corretamente a alíquota de ISSQN vigente no município incidente sobre serviços aeroportuários.
Não realiza a capitalização de custos de empréstimos aos respectivos ativos qualificáveis de acordo com as práticas contábeis adotadas no Brasil.</t>
  </si>
  <si>
    <t>Não inclui as obrigações pré-contratuais  (ressarcimento dos estudos, condução do leilão e Programa de Adequação do Efetivo da Infraero) no ativo intangível. 
Não apresenta Provisão Estimada para Créditos de Liquidação Duvidosa (PECLD). 
Não avalia a possibilidade de tributação por meio do lucro presumido.</t>
  </si>
  <si>
    <t>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Não considerou adequadamente os efeitos da due dilligence contratual, tendo em vista que não incorpora receitas adicionais que poderão ser auferidas em razão do encerramento de contratos comerciais subrogados pela Infraero (ex. subconcessão do TPS e TECA).</t>
  </si>
  <si>
    <t>Não apresenta Provisão Estimada para Créditos de Liquidação Duvidosa (PECLD). 
Não foi apresentado embasamento para o reconhecimento de diferença temporária para efeitos fiscais relativos ao pagamento da contribuição inicial, o que gerou o reconhecimento de ativo fiscal diferido e passivo fiscal diferido.
Não realiza a capitalização de custos de empréstimos aos respectivos ativos qualificáveis de acordo com as práticas contábeis adotadas no Brasil.
As rubricas empréstimos/serviço da dívida/juros pagos, na planilha financeira, ultrapassam o prazo contratual.
O capex financiável inserido na tabela 13-2 não coincide com os valores trazidos na planilha.</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</si>
  <si>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Não considerou adequadamente os efeitos da due dilligence contratual, tendo em vista que não incorpora receitas adicionais que poderão ser auferidas em razão do encerramento de contratos comerciais subrogados pela Infraero (ex. TECA).
Realiza projeção de receitas advindas de cessão comercial para lojas francas, entretanto a projeção de demanda não contempla voôs internacionais.</t>
  </si>
  <si>
    <t>A modelagem econômico-financeira não contempla a distribuição de dividendos aos acionistas, quando atendidos os requisitos regulatórios e legais aplicáveis.
O cálculo da TIR do projeto, TIRM do projeto e VPL do projeto é realizado após a inclusão das outorgas no fluxo de caixa. Assim, toda TIR e TIRM do projeto serão iguais à taxa de desconto e todo o VPL do projeto será apresentado como R$ 0,00.</t>
  </si>
  <si>
    <t>Os dados apresentados na DRE, tanto no relatório quanto na planilha financeira, não correspondem aos dados consolidados dos aeroportos do bloco central ( apresentam uma série de inconsistências, como a apuração de receitas de navegação aérea, a DRE aponta a inviabilidade financeira do projeto, enquanto o relatório apresenta a viabilidade do bloco com VPL positivo, etc.), devido a algum erro na planilha, tornando impossivel a análise da DRE.
Os dados projetados no Balanço Patrimonial (BP) do bloco central não são coerentes com a Demonstração do Resultado do Exercício (DRE). A DRE consolidada do bloco não apura lucro contábil em nenhum período, ao passo que o BP apura saldo crescente de lucros acumulados em todos os períodos da concessão.
Não apresenta análise e embasamento detalhado para as economias de OPEX advindas das sinergias e ganhos de escala na operação conjunta dos aeroportos em Bloco.
Aponta ganhos na redução de CAPEX pela operação conjunta dos aeroportos sem qualquer embasamento.
Desconsidera a existência de diferentes alíquotas de ISSQN nos municípios que compõe o bloco. 
Não realiza análise detalhada dos ganhos tributários advindos da operação conjunto dos aeroportos.</t>
  </si>
  <si>
    <t>Considera o reembolso de despesas recebidas dos cessionários referentes ao compartilhamento de custos com utilidades públicas como receitas, bem como a incidência de tributos sobre esses recebimentos.
Não considerou adequadamente os efeitos da due dilligence contratual, tendo em vista que não incorpora receitas adicionais que poderão ser auferidas em razão do encerramento de contratos comerciais subrogados celebrados pela Infraero. Ademais, as projeções de subconcessão do TECA não modelam adequadamente as receitas variáveis conforme contrato.
O consórico considerou equivocadamente no relatório que, enquanto a Infraero operar o Aeroporto, as despesas de IPTU correrão por conta do novo Concessionário, em que pese não considerar essa premissa na planilha financeira.</t>
  </si>
  <si>
    <t>Não apresenta Provisão Estimada para Créditos de Liquidação Duvidosa (PECLD). 
Não foi apresentado embasamento para o reconhecimento de diferença temporária para efeitos fiscais relativos ao pagamento da contribuição inicial, o que gerou o reconhecimento de ativo fiscal diferido e passivo fiscal diferido.
Não realiza a capitalização de custos de empréstimos aos ativos qualificáveis de acordo com as práticas contábeis adotadas no Brasil.
As rubricas empréstimos/serviço da dívida/juros pagos, na planilha financeira, ultrapassam o prazo contratual.</t>
  </si>
  <si>
    <t xml:space="preserve">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A modelagem não contempla a quitação dos financiamentos obtidos para a realização de investimentos na infraestrutura aeoportuária dentro do prazo contratual.
Não apresenta Provisão Estimada para Créditos de Liquidação Duvidosa (PECLD). 
A estrutura de crédito apresentada para o projeto é simplória não levando em consideração instrumentos de financiamento como as debêntures incentivadas, conforme diretriz emanada da SAC. 
O gráfico apresentado para a ilutração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avalia a possibilidade de tributação por meio do lucro presumido. </t>
  </si>
  <si>
    <t xml:space="preserve">
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Não considerou adequadamente os efeitos da due dilligence contratual, tendo em vista que não incorpora receitas adicionais que poderão ser auferidas em razão do encerramento de contratos comerciais subrogados pela Infraero.</t>
  </si>
  <si>
    <t xml:space="preserve">
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respectivos ativos qualificáveis de acordo com as práticas contábeis adotadas no Brasil.
</t>
  </si>
  <si>
    <t xml:space="preserve">
Apresenta a modelagem econômico-financeira do projeto pelo método de fluxo de caixa descontado, porém,  não apresenta com clareza, no relatório, qual o VPL do projeto antes das outorgas, tampouco o percentual da outorga variável sobre a receita bruta necessário para zerar o VPL, em que pese ser possível identificar os valores da análise da planilha financeira.
Não observou diretriz emanada da SAC referente a sistemática para pagamento da contribuição variável, conforme disposto nos contratos de concessão da 5ª rodada (itens 2.15, 2.16 e 2.17 dos contratos). Isso porque, de forma equivocada, aloca o pagamento da primeira parcela da outorga variável em 2026 e não em maio de 2027, conforme se deriva da diretriz.
O número de períodos utilizado para desconto do fluxo na modelagem de aeroportos individuais não é o mesmo utilizado para a modelagem do bloco. A modelagem utilizada para aeroportos individuais realiza cálculo de fluxo de caixa para data base diferente da modelagem do bloco. </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</si>
  <si>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Não considerou adequadamente os efeitos da due dilligence contratual, tendo em vista que não incorpora receitas adicionais que poderão ser auferidas em razão do encerramento de contratos comerciais subrogados pela Infraero.</t>
  </si>
  <si>
    <t>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Não apresenta Provisão Estimada para Créditos de Liquidação Duvidosa (PECLD). 
Não considerou corretamente a alíquota de ISSQN vigente no município incidente sobre serviços aeroportuários.
Não avalia a possibilidade de tributação por meio do lucro presumido.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</si>
  <si>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Não considerou adequadamente os efeitos da due dilligence contratual, tendo em vista que não considera a existência de contratos de subconcessão do TECA que prevê o pagamento de valores não condizentes com os apresentados na planilha e no relatório.</t>
  </si>
  <si>
    <t>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inclui as obrigações pré-contratuais (Programa de adequação do efetivo da Infraero, ressarcimento dos estudos e condução do leilão)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Não avalia a possibilidade de tributação por meio do lucro presumido. 
Não considerou corretamente a alíquota de ISSQN vigente no município incidente sobre serviços aeroportuários.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</si>
  <si>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 xml:space="preserve">
A modelagem econômico-financeira não contempla a distribuição de dividendos aos acionistas, quando atendidos os requisitos regulatórios e legais aplicáveis.</t>
  </si>
  <si>
    <t xml:space="preserve">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Não considerou adequadamente os efeitos da due dilligence contratual, tendo em vista que não incorpora receitas adicionais que poderão ser auferidas em razão do encerramento de contratos comerciais subrogados pela Infraero </t>
  </si>
  <si>
    <t>Não inclui as obrigações pré-contratuais (Programa de adequação do efetivo da Infraero, ressarcimento dos estudos e condução do leilão)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A modelagem não contempla a viabilidade da fonte de financiamento indicada, tendo em vista o não atendimento ao covenat ICSD.  
Não avalia a possibilidade de tributação por meio do lucro presumido. 
Não considerou corretamente a alíquota de ISSQN vigente no município incidente sobre serviços aeroportuários.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</si>
  <si>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 xml:space="preserve">
A modelagem econômico-financeira não contempla a distribuição de dividendos aos acionistas, quando atendidos os requisitos regulatórios e legais aplicáveis.
</t>
  </si>
  <si>
    <t xml:space="preserve">
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ativos qualificáveis de acordo com as práticas contábeis adotadas no Brasil.</t>
  </si>
  <si>
    <t xml:space="preserve">Não inclui as obrigações pré-contratuais (Programa de adequação do efetivo da Infraero, ressarcimento dos estudos e condução do leilão)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A modelagem não contempla a viabilidade da fonte de financiamento indicada, tendo em vista o não atendimento ao covenat ICSD.  
Não avalia a possibilidade de tributação por meio do lucro presumido. </t>
  </si>
  <si>
    <t>Análise limitada de aspectos relacionados ao turismo</t>
  </si>
  <si>
    <t>_não é abordada no relatório a existência de eventuais restrições de ordem ambiental
_ Ausência de avaliações quanto a eventuais restrições de capacidade de processamento e/ou armazenamento da demanda projetada de carga para TECA. 
_ Inconsistência interna na seção ao indicar que, com relação a possíveis restições no que compete a passageiros, "compara-se a projeção de passageiros na hora-pico (PHP) em seus diversos fluxos à capacidade de processamento do TPS nos fluxos correspondentes", enquanto, na verdade, apresenta apenas "Comparativo entre demanda e capacidade de processamento na hora-pico simultânea". Adicionalmente, não se identificou no Relatório de Engenharia e Afins os valores de restrição de TPS apresentados na seçcão, apenas aspectos restritivos por componente e fluxo.</t>
  </si>
  <si>
    <t>_premissas pouco fundamentadas para definição de aeroportos competidores
_análise de competição intermodal não é refletida nas projeções
_análise intermodal majoritariamente genérica, em poucos casos específica do aeroporto
_premissas pouco fundamentadas para definição de competição intermodal</t>
  </si>
  <si>
    <t xml:space="preserve">_ Não foram identificados indicadores de benchmarking para comparações relativas a necessidade de investimentos, indicadores limitados quanto aos tipos de serviços oferecidos, poucos indicadores para análise de lucratividade.
</t>
  </si>
  <si>
    <t xml:space="preserve">_dados desatualizados/limitados de origem/destino real de passageiros
</t>
  </si>
  <si>
    <t>_análise de competição intramodal é pouco refletida nas projeções
_análise de competição intramodal não considera RIs definidas anteriormente no estudo, adotando metodologia menos acurada baseada em isócronas
_premissas pouco fundamentadas para definição de aeroportos competidores
_análise de competição intermodal não é refletida nas projeções
_análise intermodal majoritariamente genérica, em poucos casos específica do aeroporto</t>
  </si>
  <si>
    <t>_análise de inserção na malha com pouco impacto na projeção de demanda - não são avaliados as novas rotas potenciais</t>
  </si>
  <si>
    <t>_ Identificada incoerência entre elementos avaliados e considerados na projeção de receita não tarifária de estacionamento. Enquanto considera potencial para ampliar comissão de faturamento, não adota na projeção por indicar que o valor histórico encontra-se em patamar satisfatório e traduz potencial de geração de receitas.</t>
  </si>
  <si>
    <t>_Projeção de hora pico de ocupação de pátio não foi segregada para diferentes tipos de tráfego
_Projeção de hora pico de passageiros relativamente pouco detalhada, considerando apenas intervalos horários.</t>
  </si>
  <si>
    <t xml:space="preserve">_Análise insuficiente em relação à inserção na malha local e à forma de acesso dos passageiros ao aeroporto.
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t>
  </si>
  <si>
    <t xml:space="preserve">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t>
  </si>
  <si>
    <t>_ O estudo limita-se a informar que a capacidade instalada após as intervenções propostas é compatível com as projeções de demanda e que tal análise consta do "Capítulo de Engenharia e Afins", sem apresentar neste relatório quaisquer dados de capacidade que demonstrem a compatibilidade.
_ Discorre de forma genérica sobre fluxos de processos de projeção de demanda com restrições sem abordar de forma específica resultados obtidos e pertinentes ao aeroporto em avaliação.</t>
  </si>
  <si>
    <t>_ Não foi identificada a metodologia própria da participante na análise de competição intramodal.
_ Foram apenas apresentados os fatores ponderados em trabalhos desenvolvidos pela SAC (tais como "Projeções de demanda para os aeroportos brasileiros 2017-2037" e "Plano Aeroviário Nacional - PAN") no tocante ao tema.
_ Diante disso, não se observou análises esperadas como identificação de possíveis aeroportos competidores, com fundamentos em dados, tanto para passageiros quanto para cargas, nem de que forma a competição poderia impactar na projeção de demanda.
_ Quanto à competição intermodal, foi realizada uma descrição teórica geral do desempenho e de características de modais potencialmente competidores, sem que se aplicasse os conceitos à realidade do aeroporto.</t>
  </si>
  <si>
    <t>_ O estudo discorre apenas de forma limitada e genérica sobre modelos de negócios para aeroportos. Não foi descrita nenhuma potencialidade ou vocação específica do aeroporto em análise ou realizada avaliação de pontos positivos e negativos (análise SWOT, por exemplo ) para possíveis estratégias de atuação do futuro concessionário.
_ Não foram analisadas rotas atuais e potenciais, conectividades possíveis ou perfil de fluxos de deslocamento dos passageiros para avaliação de inserção na malha.</t>
  </si>
  <si>
    <t>_Relatório apenas apresenta os resultados das receitas tarifárias e as tabelas tarifárias, sem detalhar as premissas de modelagem, a metodologia empregada e os aspectos técnicos pertinentes.
_Não são analisadas as receitas das tarifas de armazenagem e capatazia.</t>
  </si>
  <si>
    <t xml:space="preserve">_ Não há descrição do racional utilizado para projeção das receitas,  apenas descrições genéricas e insuficientes de comportamento histórico de receitas não tarifárias. 
_ Premissas são assumidas sem exposição da fundamentação, tais como assunção de acréscimos percentuais generalizados na arrecadação proveniente de exploração de novos espaços em diferentes decênios.
_ Não há análises pormenorizadas por tipo de atividade geradora de receitas não tarifácias, com excessão de abastecimento de combustíveis.
_ Reproduz as análises referentes a outros aeroportos no relatório.
</t>
  </si>
  <si>
    <t>_ Análise de benchmarking restrita a alguns aeroportos da Infraero. Não há análise de benchmarks internacionais ou dos aeroportos concedidos. 
_ Análise de benchmarking insuficiente em relação aos indicadores avaliados.
_ WLU, utilizado como base para os indicadores apresentados, calculado de forma equivocada.</t>
  </si>
  <si>
    <t>_Projeções de hora-pico pouco detalhadas e baseadas em premissas por vezes não fundamentadas.
_Não apresentou efeitos de sazonalidade na demanda histórica, tampouco desenvolveu seus efeitos para a demanda projetada ou realizou projeções em base mensal (além do anual) como forma de refletir a sazonalidade.</t>
  </si>
  <si>
    <t>_Não cita se há ou não a presença de pedágios no trajeto para o aeroporto.</t>
  </si>
  <si>
    <t>_ O relatório apresenta o racional para projeção das receitas e as variáveis utilizadas como drivers de crescimento, mas não detalha como essas variáveis foram efetivamente utilizadas no cálculo e tampouco referencia anexos que contenham o detalhamento.</t>
  </si>
  <si>
    <t>_ Não foram identificados indicadores de benchmarking para comparações relativas a necessidade de investimentos, indicadores limitados quanto aos tipos de serviços oferecidos, poucos indicadores para análise de lucratividade.</t>
  </si>
  <si>
    <t>_dados desatualizados/limitados de origem/destino real de passageiros</t>
  </si>
  <si>
    <t>_ Identificada incoerência entre elementos avaliados e considerados na projeção de receita não tarifária de estacionamento. Enquanto considera potencial para ampliar comissão de faturamento, não adota na projeção por indicar que o valor histórico encontra-se em patamar satisfatório e traduz potencial de geração de receitas.
_Premissas pouco realistas para ausência de receitas de lojas francas no aeroporto.</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</si>
  <si>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_Identifica o Aeroporto internacional Foz do Iguaçú inicialmente como Metropolitano Primário e depois com Regional Primário.</t>
  </si>
  <si>
    <t>_ O estudo limita-se a informar que a capacidade instalada após as intervenções propostas é compatível com as projeções de demanda e que tal análise consta do "Capítulo de Engenharia e Afins", sem apresentar neste relatório quaisquer dados de capacidade que demonstrem a compatibilidade.
_ Discorre de forma genérica sobre fluxos de processos de projeção de demanda com restrições sem abordar de forma específica resultados obtidos e pertinentes ao aeroporto em avaliação.
_Afirma que o Capítulo Engenharia e Afins apresenta análise de Capacidade (instalada e projetada) x Demanda, para o Aeroporto de Petrolina (SBPL).</t>
  </si>
  <si>
    <t>_Análise insuficiente em relação à inserção na malha local e à forma de acesso dos passageiros ao aeroporto.
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_faz referência ao Aeroporto de Foz de Iguaçu</t>
  </si>
  <si>
    <t>_Relatório apenas apresenta os resultados das receitas tarifárias e as tabelas tarifárias, sem detalhar as premissas de modelagem, a metodologia empregada e os aspectos técnicos pertinentes.
_Não são analisadas as receitas das tarifas de armazenagem e capatazia.
_Utiliza as tarifas de 2ª Categoria, divergindo de diretriz para aplicação das tarifas de 1ª Categoria no SBNF</t>
  </si>
  <si>
    <t xml:space="preserve">_ Não há descrição do racional utilizado para projeção das receitas,  apenas descrições genéricas e insuficientes de comportamento histórico de receitas não tarifárias. 
_ Premissas são assumidas sem exposição da fundamentação, tais como assunção de acréscimos percentuais generalizados na arrecadação proveniente de exploração de novos espaços em diferentes decênios.
_ Não há análises pormenorizadas por tipo de atividade geradora de receitas não tarifácias, com excessão de abastecimento de combustíveis.
_ Reproduz as análises referentes a outros aeroportos no relatório.
_ Faz referência ao SBFI ao apresentar a projeção de receitas não tarifárias
</t>
  </si>
  <si>
    <t>_ Identificada incoerência entre elementos avaliados e considerados na projeção de receita não tarifária de estacionamento. Enquanto considera potencial para ampliar comissão de faturamento, não adota na projeção por indicar que o valor histórico encontra-se em patamar satisfatório e traduz potencial de geração de receitas.
_Inconsistência na justificativa para redução das receitas de armazenagem e capatazia após o encerramento do contrato da subconcessão do TECA. Justifica premissa de retomada da operação do TECA pelo operador aeroportuário após o período do contrato de subconcessão com base nas maiores tarifas cobradas de cargas importadas, que tornariam a operação vantajosa ao concessionário. Contudo, projeta receitas tarifárias com importação de cargas mais baixas do que as obtidas na vigência do contrato, invalidando a justificativa da premissa adotada.</t>
  </si>
  <si>
    <t>_Relatório apenas apresenta os resultados das receitas tarifárias e as tabelas tarifárias, sem detalhar as premissas de modelagem, a metodologia empregada e os aspectos técnicos pertinentes.
_Utiliza as tarifas de 2ª Categoria, divergindo de diretriz para aplicação das tarifas de 1ª Categoria no SBLO</t>
  </si>
  <si>
    <t>_Indica participação de 7% em SBRJ nas rotas do Aeroporto, mas não indica no mapa de rotas domésticas (conflito de informação)</t>
  </si>
  <si>
    <t>_Relatório apenas apresenta os resultados das receitas tarifárias e as tabelas tarifárias, sem detalhar as premissas de modelagem, a metodologia empregada e os aspectos técnicos pertinentes.
_Utiliza as tarifas de 1ª Categoria, divergindo de diretriz para aplicação das tarifas de 2ª Categoria no SBJV</t>
  </si>
  <si>
    <t>_ Análise pouco detalhada de dados socieconômicos e variáveis regionais focados na demanda específica por aviação geral. 
_ Premissas assumidas para formulação da Região de Influência com poucas referências técnicas.</t>
  </si>
  <si>
    <t xml:space="preserve">_ não projeta o tempo de permanência da aeronave no pátio.
</t>
  </si>
  <si>
    <t>_não é abordada no relatório a existência de eventuais restrições de ordem ambiental.</t>
  </si>
  <si>
    <t>_ Premissas assumidas para identificação de aspectos competitivos com outros aeroportos com poucas fundamentação técnica.
_ Descreve fatores de competição entre aviação geral e comercial, mas explora de forma limitada se há impacto no caso concreto, bem como simplifica tendências para o período de concessão.</t>
  </si>
  <si>
    <t>_ Embora tenha adaptado a análise do modelo de negógio do aeroporto para os principais fluxos de AVG, já que o aeroporto não tem perspectiva de movimentação de aviação comercial, manteve no descritivo da seção aspectos relacionados a possíveis upsides futuros mas que não se aplicariam a este caso concreto.</t>
  </si>
  <si>
    <t>_ O relatório apresenta o racional para projeção das receitas e as variáveis utilizadas como drivers de crescimento, mas não detalha como essas variáveis foram efetivamente utilizadas no cálculo e tampouco referencia anexos que contenham o detalhamento.
_ Descritivo da seção traz alguns aspectos relacionados à aviação comercial.
_ Análise histórica das receitas comerciais com Varejo/Alimentação revela que houve uma significativa participação deste segmento no passado. No entanto, não analisa possíveis razões para seu enfraquecimento, tampouco projeta tendência para o futuro.
_ Não analisa detalhadamente as receitas com aluguel de hangares e possibilidades para o futuro.</t>
  </si>
  <si>
    <t>_ Indicadores limitados quanto aos tipos de serviços oferecidos em aeroportos vocacionados à aviação geral (em especial a oferta de hangares), poucos indicadores para análise de lucratividade.</t>
  </si>
  <si>
    <t>_ Não há no relatório análise sobre a demanda por posições de pátio ou ocupação hora-pico de pátio de aeronaves, nem justificativa para sua ausência.</t>
  </si>
  <si>
    <t xml:space="preserve">Análise insuficiente em relação a:
_malha rodoviária
_linhas de ônibus de longa distância / terminais rodoviárias
_custo de transporte rodoviário (pedágio, gasolina, passagem de onibus, taxi/app)
</t>
  </si>
  <si>
    <t>Definição da RI desconsidera especifidade do perfil do aeroporto, exclusivo de aviação geral, adotando a mesma RI do Aeroporto de Curitiba - SBCT, um aeroporto internacional.</t>
  </si>
  <si>
    <t xml:space="preserve">_não é abordada no relatório a existência de eventuais restrições de ordem ambiental
</t>
  </si>
  <si>
    <t>_modelo para projeção de demanda não considera especificidades da aviação geral. Projeção baseada na projeção da aviação comercial de Curitiba,</t>
  </si>
  <si>
    <t>_ Tendo em visa a especificidade do aeroporto vocacionado para aviação geral, há Indicadores limitados quanto aos tipos de serviços oferecidos (em especial a oferta de hangares).</t>
  </si>
  <si>
    <t xml:space="preserve">_Análise insuficiente em relação à inserção na malha local e à forma de acesso dos passageiros ao aeroporto.
Análise insuficiente em relação a:
_malha rodoviária
_linhas de ônibus de longa distância / terminais rodoviárias
_custo de transporte rodoviário (pedágio, gasolina, passagem de onibus, taxi/app)
</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</si>
  <si>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_Indica as cidades que geram a origem e destino principais dos passageiros domésticos que se utilizam do Aeroporto de Curitiba, caracterizando assim, a região de influência desse aeroporto, ao invés de Bacacheri.</t>
  </si>
  <si>
    <t>_ Não foi identificada a metodologia própria da participante na análise de competição intramodal.
_ Foram apenas apresentados os fatores ponderados em trabalhos desenvolvidos pela SAC (tais como "Projeções de demanda para os aeroportos brasileiros 2017-2037") no tocante ao tema.
_ Diante disso, não se observou análises esperadas como identificação de possíveis aeroportos competidores, com fundamentos em dados, tanto para passageiros quanto para cargas, nem de que forma a competição poderia impactar na projeção de demanda.
_ Quanto à competição intermodal, foi realizada uma descrição teórica geral do desempenho e de características de modais potencialmente competidores, sem que se aplicasse os conceitos à realidade do aeroporto.</t>
  </si>
  <si>
    <t>_Relatório apenas apresenta os resultados das receitas tarifárias e as tabelas tarifárias, sem detalhar as premissas de modelagem, a metodologia empregada e os aspectos técnicos pertinentes.</t>
  </si>
  <si>
    <t xml:space="preserve">_ Não há descrição do racional utilizado para projeção das receitas,  apenas descrições genéricas e insuficientes de comportamento histórico de receitas não tarifárias. 
_ Premissas são assumidas sem exposição da fundamentação, tais como assunção de acréscimos percentuais generalizados na arrecadação proveniente de exploração de novos espaços em diferentes decênios.
_ Não há projeções pormenorizadas por tipo de atividade geradora de receitas não tarifácias, com excessão de abastecimento de combustíveis.
_ Reproduz as análises referentes a outros aeroportos no relatório, mas não apresenta as análises referentes ao aeroporto estudado no relatório.
</t>
  </si>
  <si>
    <t>_não projeta passageiros de bordo (escala), com implicações p/ projeção de movimento de aeronaves</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</si>
  <si>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_Identifica o Aeroporto de Pelotas equivocadamente como Metropolitano Primário.</t>
  </si>
  <si>
    <t>_Inconsistência na justificativa para redução das receitas de armazenagem e capatazia após o encerramento do contrato da subconcessão do TECA. Justifica premissa de retomada da operação do TECA pelo operador aeroportuário após o período do contrato de subconcessão com base nas maiores tarifas cobradas de cargas importadas, que tornariam a operação vantajosa ao concessionário. Contudo, projeta a inexistência de movimento de cargas internacionais e, consequentemente, de receitas tarifárias com importação de cargas, invalidando a justificativa da premissa adotada.</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</si>
  <si>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_Identifica o Aeroporto de Uruguaiana equivocadamente como Metropolitano Primário.</t>
  </si>
  <si>
    <t>_não é abordada no relatório a existência de eventuais restrições de ordem ambiental
_ Inconsistência interna na seção ao indicar que, com relação a possíveis restições no que compete a passageiros, "compara-se a projeção de passageiros na hora-pico (PHP) em seus diversos fluxos à capacidade de processamento do TPS nos fluxos correspondentes", enquanto, na verdade, apresenta apenas "Comparativo entre demanda e capacidade de processamento na hora-pico simultânea". Adicionalmente, não se identificou no Relatório de Engenharia e Afins os valores de restrição de TPS apresentados na seçcão, apenas aspectos restritivos por componente e fluxo.</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</si>
  <si>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_Identifica o Aeroporto de Bagé equivocadamente como Metropolitano Regional.</t>
  </si>
  <si>
    <t xml:space="preserve">_ O relatório apresenta o racional para projeção das receitas e as variáveis utilizadas como drivers de crescimento, mas não detalha como essas variáveis foram efetivamente utilizadas no cálculo e tampouco referencia anexos que contenham o detalhamento.
</t>
  </si>
  <si>
    <t>_dados desatualizados/limitados de origem/destino real de passageiros.</t>
  </si>
  <si>
    <t>_análise de competição intramodal é pouco refletida nas projeções.
_análise de competição intramodal não considera RIs definidas anteriormente no estudo, adotando metodologia menos acurada baseada em isócronas.
_premissas pouco fundamentadas para definição de aeroportos competidores.
_análise de competição intermodal não é refletida nas projeções.
_análise intermodal majoritariamente genérica, em poucos casos específica do aeroporto.</t>
  </si>
  <si>
    <t>_análise de inserção na malha com pouco impacto na projeção de demanda - não são avaliados as novas rotas potenciais.</t>
  </si>
  <si>
    <t>_ Indicadores limitados quanto ao gerenciamento da capacidade; e poucos indicadores sobre outros aspectos além do escopo mínimo sugerido no item de avaliação.</t>
  </si>
  <si>
    <t xml:space="preserve"> 
_Exposição limitada dos dados históricos de movimento (gráficos, tabelas).
_Apresenta lista de bases de dados a serem utilizadas no estudo, mas falta  clareza sobre qual base de dados foi utilizada em cada projeção.
_dados desatualizados/limitados de origem/destino real de passageiros.</t>
  </si>
  <si>
    <t>_ausência de análise de restrição de rotas potenciais em função de restrições operacionais da PPD (comprimento da PPD x alcance das rotas).</t>
  </si>
  <si>
    <t>_ O relatório explica de maneira simplificada e insuficiente o modelo estatístico a ser adotado e o conjunto de testes a serem realizados, apenas indicando o conjunto de variáveis a serem testadas. Os apêndices apresentam os extratos das regressões, sem, contudo, explicar as premissas da modelagem, metodologia empregada e aspéctos técnicos pertinentes.</t>
  </si>
  <si>
    <t>_ No que se refere à análise intramodal, utiliza classsificação dos aeroportos em Hub e não-Hub sem detalhar a metodologia pertinente. 
_ Avaliação de competição intramodal apresenta uma análise colaborativa entre aeródromos próximos, ao invés de explorar aspectos de competição entre os mesmos.
_ Ilustra a densidade de aeródromos na área de captação, porém sem indicar possíveis competidores e de que forma a competição poderia impactar na projeção de demanda.
_ Quanto à competição intermodal, realizada descrição simplificada de características de modais potencialmente competidores. 
_Desenvolve modelo gravitacional para avaliar competição intermodal, sem no entanto aproveitar resultados do modelo na projeção de demanda. Resultado da análise é apenas conceitual e não apresenta reflexo nas projeções de demanda.</t>
  </si>
  <si>
    <t>_ Avaliação pouco abrangente de pontos positivos e negativos (análise SWOT, por exemplo ) para possíveis estratégias de atuação do futuro concessionário. Limita-se a uma análise simplificada e pouco fundamentada sobre potencialidades de inserção do aeroporto na malha.</t>
  </si>
  <si>
    <t>Relatório apenas apresenta os resultados das receitas tarifárias sem indicar as premissas de modelagem, a metodologia empregada e os aspectos técnicos pertinentes.</t>
  </si>
  <si>
    <t>Relatório apenas apresenta os resultados das receitas não tarifárias sem indicar as premissas de modelagem, a metodologia empregada e os aspectos técnicos pertinentes.</t>
  </si>
  <si>
    <t>_Análise de benchmarking restrita aos aeroportos objeto de estudo pelo consórcio (blocos norte e central). Não há análise de benchmarking internacional, dos aeroportos concedidos ou dos demais aeroportos da Infraero.
_Análise de benchmarking pouco abrangente em relação aos indicadores avaliados.</t>
  </si>
  <si>
    <t xml:space="preserve">_Não apresentou efeitos de sazonalidade na demanda histórica, tampouco desenvolveu seus efeitos para a demanda projetada ou realizou projeções em base mensal (além do anual) como forma de refletir a sazonalidade.
_Projeção dos períodos de pico da demanda tem seus aspectos técnicos explicados de maneira simplificada e insuficiente em relação ao modelo estatístico a ser adotado e ao conjunto de testes a serem realizados. Apenas apresenta o conjunto de variáveis a serem testadas. Os apêndices apresentam os extratos das regressões, sem, contudo, explicar as premissas da modelagem, metodologia empregada e aspéctos técnicos pertinentes.
</t>
  </si>
  <si>
    <t>_ O estudo limita-se a informar que a capacidade instalada após as intervenções propostas é compatível com as projeções de demanda e que tal análise consta do "Capítulo de Engenharia e Afins", sem apresentar neste relatório quaisquer dados de capacidade que demonstrem a compatibilidade.
_ Discorre de foram genérica sobre fluxos de processos de projeção de demanda com restrições sem abordar de forma específica resultados obtidos e pertinentes ao aeroporto em avaliação.</t>
  </si>
  <si>
    <t>_Relatório apenas apresenta os resultados das receitas tarifárias e as tabelas tarifárias, sem detalhar as premissas de modelagem, a metodologia empregada e os aspectos técnicos pertinentes.
_Não são analisadas as receitas das tarifas de armazenagem e capatazia.
_Indica as categorias tarifárias dos aeroportos do Bloco Sul, ao invés do Bloco Norte, de forma que a categoria do aeroporto estudado no relatório não é informada</t>
  </si>
  <si>
    <t>_ Não há descrição do racional utilizado para projeção das receitas,  apenas descrições genéricas e insuficientes de comportamento histórico de receitas não tarifárias. 
_ Premissas são assumidas sem exposição da fundamentação, tais como assunção de acréscimos percentuais generalizados na arrecadação proveniente de exploração de novos espaços em diferentes decênios.
_ Não há análises pormenorizadas por tipo de atividade geradora de receitas não tarifácias, com excessão de abastecimento de combustíveis.</t>
  </si>
  <si>
    <t>_Projeções de hora-pico pouco detalhadas e baseadas em premissas por vezes não fundamentadas. 
_Não apresentou efeitos de sazonalidade na demanda histórica, tampouco desenvolveu seus efeitos para a demanda projetada ou realizou projeções em base mensal (além do anual) como forma de refletir a sazonalidade.</t>
  </si>
  <si>
    <t>_não projeta passageiros de bordo (escala), com implicações p/ projeção de movimento de aeronaves.</t>
  </si>
  <si>
    <t>_não projeta passageiros de bordo (escala), com implicações p/ projeção de movimento de aeronaves.
_não projeta o tempo de permanência da aeronave no pátio.</t>
  </si>
  <si>
    <t xml:space="preserve">_Análise insuficiente em relação à inserção na malha local e à forma de acesso dos passageiros ao aeroporto.
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Refere-se ao Aeroporto de Teresina em sua análise
</t>
  </si>
  <si>
    <t>_Relatório apenas apresenta os resultados das receitas tarifárias e as tabelas tarifárias, sem detalhar as premissas de modelagem, a metodologia empregada e os aspectos técnicos pertinentes.
_Indica as categorias tarifárias dos aeroportos do Bloco Sul, ao invés do Bloco Norte, de forma que a categoria do aeroporto estudado no relatório não é informada</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</si>
  <si>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</si>
  <si>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_Relatório apenas apresenta os resultados das receitas tarifárias e as tabelas tarifárias, sem detalhar as premissas de modelagem, a metodologia empregada e os aspectos técnicos pertinentes.
_Indica as categorias tarifárias dos aeroportos do Bloco Sul, ao invés do Bloco Norte, de forma que a categoria do aeroporto estudado no relatório não é informada.</t>
  </si>
  <si>
    <t xml:space="preserve">
_não projeta passageiros de bordo (escala), com implicações p/ projeção de movimento de aeronaves.
_não projeta o tempo de permanência da aeronave no pátio.</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</si>
  <si>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__Identifica o Aeroporto de Cruzeiro do Sul equivocadamente como Metropolitano Primário.</t>
  </si>
  <si>
    <t xml:space="preserve">_Relatório apenas apresenta os resultados das receitas tarifárias e as tabelas tarifárias, sem detalhar as premissas de modelagem, a metodologia empregada e os aspectos técnicos pertinentes.
_Indica as categorias tarifárias dos aeroportos do Bloco Sul, ao invés do Bloco Norte, de forma que a categoria do aeroporto estudado no relatório não é informada
</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</si>
  <si>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__Identifica o Aeroporto de Tabatinga equivocadamente como Metropolitano Primário.</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</si>
  <si>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__Identifica o Aeroporto de Tefé equivocadamente como Metropolitano Primário.</t>
  </si>
  <si>
    <t>_ Identificada incoerência entre elementos avaliados e considerados na projeção de receita não tarifária de estacionamento. Enquanto considera potencial para ampliar comissão de faturamento, não adota na projeção por indicar que o valor histórico encontra-se em patamar satisfatório e traduz potencial de geração de receitas.
__Inconsistência na justificativa para redução das receitas de armazenagem e capatazia após o encerramento do contrato da subconcessão do TECA. Justifica premissa de retomada da operação do TECA pelo operador aeroportuário após o período do contrato de subconcessão com base nas maiores tarifas cobradas de cargas importadas, que tornariam a operação vantajosa ao concessionário. Contudo, projeta receitas tarifárias com importação de cargas mais baixas do que as obtidas na vigência do contrato, invalidando a justificativa da premissa adotada.</t>
  </si>
  <si>
    <t>_Análise de benchmarking restrita aos aeroportos objeto de estudo pelo consórcio (blocos norte e central). Não há análise de benchmarking internacional, dos aeroportos concedidos ou dos demais aeroportos da Infraero. (40%)
_Análise de benchmarking pouco abrangente em relação aos indicadores avaliados.</t>
  </si>
  <si>
    <t>_Ausência de descrição e mapa de rotas cargueiras internacionais.</t>
  </si>
  <si>
    <r>
      <t xml:space="preserve"> 
Considera indevidamente recuperação de crédito PIS/COFINS sobre os gastos com pessoal. Ademais, não apresenta embasamento detalhado para a definição da premissa de aproveitamento de créditos PIS/COFINS.
Traz uma análise demasiadamente simplificada para as receitas comerciais identificando apenas as rubricas de concessões de áreas e combustíveis.
Não apresenta os efeitos da due dilligence dos contratos comerciais na projeção de receitas.
Os valores apresentados no Relatório financeiro ( Tabela 5-12) para ressarcimento dos estudos, condução do leilão e Programa de Adequação do Efetivo não condizem com os valores emanados de diretriz da SAC.
</t>
    </r>
    <r>
      <rPr>
        <strike/>
        <sz val="12"/>
        <rFont val="Times New Roman"/>
        <family val="1"/>
      </rPr>
      <t xml:space="preserve">
</t>
    </r>
  </si>
  <si>
    <r>
      <t xml:space="preserve">Não apresenta Provisão Estimada para Créditos de Liquidação Duvidosa (PECLD). 
</t>
    </r>
    <r>
      <rPr>
        <strike/>
        <sz val="12"/>
        <rFont val="Times New Roman"/>
        <family val="1"/>
      </rPr>
      <t xml:space="preserve">
</t>
    </r>
    <r>
      <rPr>
        <sz val="12"/>
        <rFont val="Times New Roman"/>
        <family val="1"/>
      </rPr>
      <t>Não foi apresentado embasamento para o reconhecimento de diferença temporária para efeitos fiscais relativos ao pagamento da contribuição inicial, o que gerou o reconhecimento de ativo fiscal diferido e passivo fiscal diferido.
Não realiza a capitalização de custos de empréstimos aos ativos qualificáveis de acordo com as práticas contábeis adotadas no Brasil.
As rubricas empréstimos/serviço da dívida/juros pagos, na planilha financeira, ultrapassam o prazo contratual.
O CAPEX financiável inserido na tabela 13-2 do relatório não coincide com os valores trazidos na planilha</t>
    </r>
  </si>
  <si>
    <r>
      <t xml:space="preserve">Não foi apresentado embasamento para o reconhecimento de diferença temporária para efeitos fiscais relativos ao pagamento da contribuição inicial, o que gerou o reconhecimento de ativo fiscal diferido.
Passa a considerar a ocorrência de despesa com contribuição variável somente no ano de 2027. Essa despesa começa a incidir no ano de 2026, com reflexos na apuração do resultado e impostos incidentes nesse e nos demais anos de acordo com o regime contábil de competência, em que pese o desembolso financeiro ocorrer somente no ano subsequente.
Não inclui as obrigações pré-contratuais  (ressarcimento dos estudos, condução do leilão e Programa de Adequação do Efetivo da Infraero) no ativo intangível. </t>
    </r>
    <r>
      <rPr>
        <strike/>
        <sz val="12"/>
        <rFont val="Times New Roman"/>
        <family val="1"/>
      </rPr>
      <t xml:space="preserve">
</t>
    </r>
    <r>
      <rPr>
        <sz val="12"/>
        <rFont val="Times New Roman"/>
        <family val="1"/>
      </rPr>
      <t xml:space="preserve">Não realiza a capitalização de custos de empréstimos aos ativos qualificáveis de acordo com as práticas contábeis adotadas no Brasil.
</t>
    </r>
    <r>
      <rPr>
        <strike/>
        <sz val="12"/>
        <rFont val="Times New Roman"/>
        <family val="1"/>
      </rPr>
      <t xml:space="preserve">
</t>
    </r>
    <r>
      <rPr>
        <sz val="12"/>
        <rFont val="Times New Roman"/>
        <family val="1"/>
      </rPr>
      <t xml:space="preserve">Na modelagem de financiamento proposta, no ano de 2036, o covenant ICSD não atende aos requisitos mínimos estabelecidos, ficando em 1,28. 
A estrutura de crédito apresentada para o projeto é simplória não levando em consideração instrumentos de financiamento como as debêntures incentivadas, conforme diretriz emanada da SAC. 
Não apresenta Provisão Estimada para Créditos de Liquidação Duvidosa (PECLD). </t>
    </r>
  </si>
  <si>
    <t>Capítulos 3 e 4. Anexo 1. 1) O estudo deixa de apresentar algumas licenças e autorizações emitidas para ampliação ou adequação do aeroporto (Ex. DLAE nº 16.967 que se encontra vigente e Outorgas - ÁGUASPARANÁ); 2) Não restou identificada na análise quanto à conformidade do aeroporto perante à ANAC, os processos administrativos e autos de infração emitidos para o aeroporto; 3) O estudo não identifica relação de processos junto ao MP; 4) Não restou identificada algumas autorizações para manejo de fauna emitidas para o aeroporto (Ex. IBAMA - Autorização 005-F e IAP - Autorização nº 082-2015); 5) O estudo não informa da existência de processos judiciais sob a temática ambiental (Ex. regularização de áreas, desapropriações, reintegração de posse), o que possui relação com análise de regularidade ambiental e de análise em relação ao uso do solo no aeroporto.</t>
  </si>
  <si>
    <t>Capítulo 6. Anexo 2. 1) Em uma análise comparativa dos estudos apresentados, verifica-se que o relatório identifica, analisa e precifica um total de 29 passivos ambientais. O relatório analisa de forma segmentada os passivos por: i) localização; ii) categoria; iii) origem; iv) aspectos; v) nível de risco; vi) dinâmica atual; e vi) área. No entanto, em que pese ter mapeado um maior número de passivos, não indentifica, analisa e precifica todos os passivos ambientais para o aeroporto.</t>
  </si>
  <si>
    <t>Capítulo 4. Anexos 6 e 7 - Banco de Dados.  1) Em uma análise comparativa dos estudos apresentados, verifica-se que o relatório identifica, analisa e precifica um total de 26 passivos ambientais. O relatório analisa de forma segmentada os passivos por: i) localização; ii) tipo; iii) origem; iv) nível de risco; e, v) dinâmica atual. No entanto, não indentifica, analisa e precifica todos os passivos ambientais existentes no aeroporto.</t>
  </si>
  <si>
    <t xml:space="preserve">Anexo 2. Capítulo 6.  1) Em uma análise comparativa dos estudos apresentados, verifica-se que o relatório identifica e analisa um total de 10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</si>
  <si>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2, 5 e 7. 1) O estudo não considera nos cenários apresentados para o desenvolvimento do sítio, a área de expansão ao sul do sítio aeroportuário indicada no PDIR  como área de expansão de uma 3ª Pista para o Aeroporto. Contudo, considerando que tal área faz parte do sítio aeroportuário, entende-se que o relatório deveria identificar e analisar destinação da mesma, ainda que, repita-se, que não a considere como área necessária ao desenvolvimento do sítio; 2) O estudo não identifica a disponibilidade de eventuais fornecedores de insumos e matérias primas necessárias para a implantação do Plano de Desenvolvimeno escolhido, o que possui influência direta no custo da implantação; 3) O estudo não identifica locais de destinação de resíduos gerados na obra de ampliação; 4) O estudo carece de detalhamento e maiores informações, por exemplo ao identificar 3 sítios arqueológicos - Afonso Pena I, II e III no aeroporto, mas, não trazer maiores informações quanto à necessidade ou não de adoção de providências em relação a eles por parte do futuro operador. 5) O estudo trata de recursos hídricos, mas não detalha localidades, abrangência, não apresenta mapas, dentre outras adequações a serem feitas no sítio; 6) O estudo apresenta e analisa apenas 5 critérios sócioambientais para o plano de desevovimento proposto, o que não incorpora todos os componentes e restrições ambientais presentes no aeroporto.</t>
  </si>
  <si>
    <t>Capítulos 6, 7 e 8. 1) O estudo não identifica a disponibilidade de eventuais fornecedores de insumos e matérias primas necessárias para a implantação do Plano de Desenvolvimeno escolhido, que possui influência direta no custo da implantação; 2) O estudo não identifica locais de destinação de resíduos gerados na obra de ampliação; 3) O estudo não identifica e nem analisa a existência de 3 sítios arqueológicos - Afonso Pena I, II e III dentro do sítio aeroportuário; 4) O estudo apresenta e analisa apenas 7 critérios sócioambientais para o plano de desevovimento proposto, o que não incorpora todos os componentes e restrições ambientais presentes no aeroporto.</t>
  </si>
  <si>
    <t xml:space="preserve">Capítulo 6.  1) O estudo apresenta descrição de medidas preventivas e mitigadoras dos planos propostos, sem, contudo, apresentar informações-recomendações para a implantação de um Sistema de Gestão Aeroportuária (SGA), seguindo a padronização da NBR ISO 14.001-2015. </t>
  </si>
  <si>
    <t>Capítulos 9 e 10. 1) O estudo recomenda a elaboração de um SGA pela futura concessionária, seguindo a padronização da NBR ISO 14001/2015, e que o aeroporto deverá contar com uma equipe própria, a ser dimensionada de acordo com o porte de classificação do aeroporto. Porém, o estudo não analisa a correlação entre os itens da mencionada ISO com o SGA proposto para o aeroporto.</t>
  </si>
  <si>
    <t>Capítulos 2 e 5. Anexos 2, 4, 5 , 8 e 9. 1) O estudo não considera na análise do uso do solo, a Lei Ordinária Municipal nº 14.771 de 17/12/2015 que dispõe sobre a revisão do Plano Diretor de Curitiba; 2) O estudo não considera na anáise, a Lei nº 15.511 de 10/10/2019, que dispõe sobre o zoneamento e uso e ocupação do solo em Curitiba; 3) Não restou verificado no relatório análise do Plano de Zona de Proteção do Aeroporto e da Navegação Aérea (PBZPA e PZPANA); 4) O estudo não identifca ocupações irregulares na área patrimonial localizadas ao sul do sítio aeroportuário.</t>
  </si>
  <si>
    <t>Capítulo 6. 1) O estudo não considera na análise do uso do solo, a Lei Ordinária Municipal nº 14.771 de 17/12/2015 que dispõe sobre a revisão do Plano Diretor de Curitiba; 2) O estudo não considera na anáise, a Lei nº 15.511 de 10/10/2019, que dispõe sobre o zoneamento e uso e ocupação do solo em Curitiba; 3) O estudo não identifica áreas ocupadas irregularmentes no sítio aeroportuário, localizadas ao sul do sítio, área designada para construção da nova PPD.</t>
  </si>
  <si>
    <t>Capítulo 11. Anexo 3. 1) Considerando a não identificação de todos os passivos ambientais no aeroporto, o estudo deixa de apresentar seus respectivos custos.</t>
  </si>
  <si>
    <t>Capítulo 8. Anexo 11 e 12. 1) O estudo deixa de apresentar custos previstos para elaboração do Plano Básico de Proteção de Aeródromos – PBZPA e do Plano de Zona de Proteção de Auxílios à Navegação Aérea – PZPANA, necessários para o aeroporto considerando o projeto apresentado; 2) Considerando a não identificação de todos os passivos ambientais no aeroporto, o estudo deixa de apresentar seus respectivos custos.</t>
  </si>
  <si>
    <t>Capítulo 10. Anexo 3. 1) O estudo não apresenta custos previstos para elaboração do Plano Básico de Proteção de Aeródromos – PBZPA, do Plano de Zona de Proteção de Auxílios à Navegação Aérea – PZPANA e Plano de Ruído (PZR/PEZR), necessários para o aeroporto considerando o projeto apresentado; 2) Considerando a não identificação de todos os passivos ambientais no aeroporto, o estudo deixa de apresentar seus respectivos custos.</t>
  </si>
  <si>
    <t xml:space="preserve">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t>
  </si>
  <si>
    <t>_RI única delimitada para serviços com diferentes alcances (carga, pax comercial, AG)
_RI considerada na projeção de demanda (RID) é subdimensionada, tendo em vista que, conforme análise de OD real do BQV, há usuários do aeroporto fora da RID</t>
  </si>
  <si>
    <t>_não projeta o tempo de permanência da aeronave no pátio
_Figura 6-22 cita mensal do título e apresenta dado anual.</t>
  </si>
  <si>
    <t>_não projeta o tempo de armazenagem da carga
_não destaca da projeção de cargas importação/exportação aquelas em trânsito aduaneiro
_não projeta passageiros de bordo (escala), com implicações p/ projeção de movimento de aeronaves</t>
  </si>
  <si>
    <t>_não é abordada no relatório a existência de eventuais restrições de ordem ambiental
_ausência de análise de restrição de rotas potenciais em função de restrições operacionais da PPD (comprimento da PPD x alcance das rotas)
_ausência de análise de eventuais restrições sobre a demanda projetada de processamento de cargas</t>
  </si>
  <si>
    <t xml:space="preserve">_ O relatório apresenta o racional para projeção das receitas e as variáveis utilizadas como drivers de crescimento, mas não detalha como essas variáveis foram efetivamente utilizadas no cálculo e tampouco referencia anexos que contenham o detalhamento.
_ Não modelou as receitas tarifárias de armazenagem e capatazia após o término do contrato de concessão do TECA do aeroporto. </t>
  </si>
  <si>
    <t>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concessão do TECA até o fim do período de concessão, diferentemente do que aponta a due diligence comercial. O contrato encerra-se em 2027, passando a compor as receitas tarifárias de armazenagem e capatazia do futuro operador.</t>
  </si>
  <si>
    <r>
      <t xml:space="preserve">Atendido nos subitens do item 3.2 Estimativa de Custos de Operação (OPEX). </t>
    </r>
    <r>
      <rPr>
        <i/>
        <sz val="12"/>
        <rFont val="Times New Roman"/>
        <family val="1"/>
      </rPr>
      <t>Benchmark</t>
    </r>
    <r>
      <rPr>
        <sz val="12"/>
        <rFont val="Times New Roman"/>
        <family val="1"/>
      </rPr>
      <t xml:space="preserve">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que processaram mais de 1 Milhão de passageiros em 2018 e não propõe tratamento dos dados de modo a excluir </t>
    </r>
    <r>
      <rPr>
        <i/>
        <sz val="12"/>
        <rFont val="Times New Roman"/>
        <family val="1"/>
      </rPr>
      <t>outliers</t>
    </r>
    <r>
      <rPr>
        <sz val="12"/>
        <rFont val="Times New Roman"/>
        <family val="1"/>
      </rPr>
      <t xml:space="preserve">. Não foram considerados aeroportos internacionais em qualquer dos </t>
    </r>
    <r>
      <rPr>
        <i/>
        <sz val="12"/>
        <rFont val="Times New Roman"/>
        <family val="1"/>
      </rPr>
      <t>benchmarks</t>
    </r>
    <r>
      <rPr>
        <sz val="12"/>
        <rFont val="Times New Roman"/>
        <family val="1"/>
      </rPr>
      <t xml:space="preserve"> apresentados.</t>
    </r>
  </si>
  <si>
    <r>
      <t xml:space="preserve">Apresenta, com base em literatura, alguns dados históricos de custos operacionais em aeroportos norte-americanos e europeus e compara com os aeroportos concedidos enquanto eram operados pela Infraero. Afirma utilizar somente </t>
    </r>
    <r>
      <rPr>
        <i/>
        <sz val="12"/>
        <rFont val="Times New Roman"/>
        <family val="1"/>
      </rPr>
      <t>benchmarks</t>
    </r>
    <r>
      <rPr>
        <sz val="12"/>
        <rFont val="Times New Roman"/>
        <family val="1"/>
      </rPr>
      <t xml:space="preserve"> de aeroportos brasileiros (Infraero) para projetar os custos operacionais, mas apresenta justificativa para tanto e, após os cálculos, buscando validar os resultados, compara o índice de produtividade do aeroporto com aeroportos internacionais contidos na base de dados da ACI. Para o item de custos com pessoal, apresenta ganhos de eficiência associados à administração privada e faz considerações específicas para cada área de atuação. Considera ganhos de eficiência contratuais em 10% dos custos com serviços de terceiros para todos os aeroportos, sem maior detalhamento de como alcançou tal valor. </t>
    </r>
  </si>
  <si>
    <r>
      <t xml:space="preserve">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t>
    </r>
    <r>
      <rPr>
        <i/>
        <sz val="12"/>
        <rFont val="Times New Roman"/>
        <family val="1"/>
      </rPr>
      <t>benchmark</t>
    </r>
    <r>
      <rPr>
        <sz val="12"/>
        <rFont val="Times New Roman"/>
        <family val="1"/>
      </rPr>
      <t xml:space="preserve"> para projeção de tais custos ao longo da concessão. Não há detalhamento de como alcançou o valor proposto para os ganhos associados aos custos com pessoal (queda de 11.51% para todos os aeroportos, independente da localização e porte). Considera que o concessionário somente passará a arcar com os custos e despesas operacionais após 95 dias (40 + 40 + 15), quando na verdade a diretriz estabelecida prevê para aeroportos com movimentação de passageiros igual ou superior a 1 MM/pax/ano prazo de 45 dias para o estágio II da Fase I-A (40 + 40 + 45). Afirma que "[A] metodologia proposta a partir de patamares atuais da média de custos e despesas para a operação do aeroporto garante a consistência com as projeções dos demais custos", contudo, em decorrência do modelo adotado, para o item custos e despesas com pessoal prevê já para o primeiro ano completo de operação pelo concessionário redução brusca com relação ao histórico verificado (de 46MM em 2018 para 32MM em 2022). Não esclarece porque aplica o </t>
    </r>
    <r>
      <rPr>
        <i/>
        <sz val="12"/>
        <rFont val="Times New Roman"/>
        <family val="1"/>
      </rPr>
      <t>benchmarking</t>
    </r>
    <r>
      <rPr>
        <sz val="12"/>
        <rFont val="Times New Roman"/>
        <family val="1"/>
      </rPr>
      <t xml:space="preserve">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r>
  </si>
  <si>
    <t>Capítulos 2 e 3. 1) Não restou verificado no estudo análise de conformidade do aeroporto perante à ANVISA (processos e notificações); 2) Não foram identificadas informações relevantes quanto aos contratos comerciais vigentes, com atividades passíveis de licenciamento, cabendo ao novo operador o acompanhamento; 3) Quanto ao status de licenças e autorizações, o estudo não detalha se todas as disposições foram atendidas pelo aeroporto; 4) O estudo não informa da existência de processos judiciais sob a temática ambiental (Ex. regularização de áreas, desapropriações, reintegração de posse), o que possui relação com análise de regularidade ambiental e de análise em relação ao uso do solo no aeroporto.</t>
  </si>
  <si>
    <t>Capítulo 5. 1) Não restou identificado no estudo, detalhe e histórico de licenças e autorizações emitidas para ampliação ou adequação do aeroporto; 2) O estudo deixa de listar autos de infração e alguns processos de irregularidade sanitária do aeroporto perante a ANVISA; 3) O estudo lista as Licenças ambientais das concessionárias, sem, contudo, descrever o objeto e observações ambientais; 4) Não foram identificadas informações quanto aos contratos comerciais vigentes, cujas características das atividades desevolvidas são passíveis de licenciamento, cabendo ao novo operador o acompanhamento; 5) Não restou identificada algumas autorizações para manejo de fauna emitidas para o aeroporto (Ex. IBAMA - Autorização 005-F e IAP - Autorização nº 082-2015).</t>
  </si>
  <si>
    <t xml:space="preserve">Não observou diretriz emanada da SAC referente a sistemática para pagamento da contribuição variável, conforme disposto nos contratos de concessão da 5ª rodada (itens 2.15, 2.16 e 2.17 dos contratos). Isso porque, de forma equivocada, aloca o pagamento da primeira parcela da outorga variável em 2026 e não em maio de 2027, conforme se deriva da diretriz.  
</t>
  </si>
  <si>
    <t xml:space="preserve">Não observou diretriz emanada da SAC referente a sistemática para pagamento da contribuição variável, conforme disposto nos contratos de concessão da 5ª rodada (itens 2.15, 2.16 e 2.17 dos contratos). Isso porque, de forma equivocada, aloca o pagamento da primeira parcela da outorga variável em 2026 e não em maio de 2027, conforme se deriva da diretriz.  A Tabela 10:1  reproduz de forma equivocada o teor do contrato de concessão da 5ª rodada, o qual disciplina a carência no pagamento da outorga. Isso porque o periodo de carência é válido até o quarto ano ano-calendário completo e não o quinto. 
</t>
  </si>
  <si>
    <t>Explica a metodologia utilizada na análise de capacidade da PPD. Não apresenta referência ou justificativa para algumas das considerações adotadas. Apresenta planilha em anexo com o detalhamento dos cálculos, considerações e resultados. Há inconsistência na geometria considerada.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 Há inconsistência nas informações apresentadas para as larguras das pistas. Identifica limitações na utilização do sistema de pistas em item específico.</t>
  </si>
  <si>
    <t>Apresenta avaliação de capacidade estática do pátio. Há inconsistência nas informações apresentadas.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Não considera todas as possibilidades de utilização do pátio. Apresenta avaliação de capacidade para pátio de equipamentos de rampa.</t>
  </si>
  <si>
    <t>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3.3.1, menciona como premissa a adequação da infraestrutura para operações IFR precisão CAT I de aeronaves 4D, apesar de utilizar aeronave crítica 4C.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No item 3.4.1.1, há inconsistência entre o deslocamento de cabeceira proposto e a motivação apresentada, uma vez que desconsidera a distância requerida para a faixa de pista. Aponta para a necessidade de implantar acostamentos nas pistas de táxi para adequação ao RBAC 154, apesar de ter identificado todas as pistas como adequadas na análise de capacidade apresentada anteriormente no relatório. Propõe a implantação de diversas posições código D, mesmo tendo considerado a movimentação apenas eventual de aeronaves código D. Há inconsistência entre as alterações mencionadas para os pátios no item 3.4.1.2 e a planta referente ao primeiro ciclo de intervenções.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calibração de auxílios em função do deslocamento de cabeceira e que adições não serão necessárias, mas não há detalhamento. Não apresenta comparação entre áeas requeridas e áreas disponibilizadas na implantação final. O detalhamento apresentado no relatório e nas plantas não permite identificar com clareza o sequenciamento da expansão prevista. Para algumas das expansões propostas, não são mencionadas as infraestruturas que atualmente ocupam o espaço utilizado.</t>
  </si>
  <si>
    <r>
      <t xml:space="preserve">O estudo avalia, individualmente, a situação patrimonial das áreas que compõem o sítio aeroportuário, verificando a sua regularidade jurídica/imobiliária. O resultado encontra-se consolidado em tabela apresentada ao final do anexo 2. Realizou </t>
    </r>
    <r>
      <rPr>
        <i/>
        <sz val="12"/>
        <rFont val="Times New Roman"/>
        <family val="1"/>
      </rPr>
      <t>due diligence</t>
    </r>
    <r>
      <rPr>
        <sz val="12"/>
        <rFont val="Times New Roman"/>
        <family val="1"/>
      </rPr>
      <t xml:space="preserve"> e obteve matrículas atualizadas. Apresenta em planta a localização das áreas e a sua regularidade. Apresenta levantamento sobre cercas e acessos trazendo fotos e avaliação de suas condições.</t>
    </r>
  </si>
  <si>
    <r>
      <t xml:space="preserve">Atendido nos subitens do item 3.2 Estimativa de Custos de Operação (OPEX). </t>
    </r>
    <r>
      <rPr>
        <i/>
        <sz val="12"/>
        <rFont val="Times New Roman"/>
        <family val="1"/>
      </rPr>
      <t>Benchmark</t>
    </r>
    <r>
      <rPr>
        <sz val="12"/>
        <rFont val="Times New Roman"/>
        <family val="1"/>
      </rPr>
      <t xml:space="preserve"> de Ganho de Escala nos Custos Administrativos, nos custos com embarque e desembarque de passageiros e nos custos com operação de aeronaves encontram-se nas figuras 3-6, 3-9 e 3-11, entre outros. </t>
    </r>
    <r>
      <rPr>
        <i/>
        <sz val="12"/>
        <rFont val="Times New Roman"/>
        <family val="1"/>
      </rPr>
      <t xml:space="preserve">Benchmark </t>
    </r>
    <r>
      <rPr>
        <sz val="12"/>
        <rFont val="Times New Roman"/>
        <family val="1"/>
      </rPr>
      <t xml:space="preserve">de custo com embarque e desembarque de passageiros unitário e de custo com operação de aeronaves encontram-se representados nas figuras 3-10 e 3-12, entre outros. Todavia, considera aeroportos "comparáveis" como todos aqueles que processaram mais de 1 Milhão de passageiros em 2018 e não propõe tratamento dos dados de modo a excluir </t>
    </r>
    <r>
      <rPr>
        <i/>
        <sz val="12"/>
        <rFont val="Times New Roman"/>
        <family val="1"/>
      </rPr>
      <t>outliers</t>
    </r>
    <r>
      <rPr>
        <sz val="12"/>
        <rFont val="Times New Roman"/>
        <family val="1"/>
      </rPr>
      <t xml:space="preserve">. Não foram considerados aeroportos internacionais em qualquer dos </t>
    </r>
    <r>
      <rPr>
        <i/>
        <sz val="12"/>
        <rFont val="Times New Roman"/>
        <family val="1"/>
      </rPr>
      <t>benchmarks</t>
    </r>
    <r>
      <rPr>
        <sz val="12"/>
        <rFont val="Times New Roman"/>
        <family val="1"/>
      </rPr>
      <t xml:space="preserve"> apresentados.</t>
    </r>
  </si>
  <si>
    <t>Capítulos 3 e 4. Anexo 1 1) Em que pese analisar a situação ambiental de alguns concessionários do Aeroporto, o estudo não identificou o Certificado de Dispensa de
Licenciamento Ambiental Estadual Nº 159137 que se encontra vigente; 2) O estudo não informa da existência de processos judiciais sob a temática ambiental.</t>
  </si>
  <si>
    <t>Capítulo 6. Anexo 2. 1) Em uma análise comparativa dos estudos apresentados, verifica-se que o relatório identifica, analisa e precifica um total de 23 passivos ambientais. O relatório analisa de forma segmentada os passivos por: i) localização; ii) categoria; iii) origem; iv) aspectos; v) nível de risco; vi) dinâmica atual; e vi) área. No entanto, não indentifica, analisa e precifica todos os passivos ambientais para o aeroporto.</t>
  </si>
  <si>
    <t>Capítulos 2 e 3. 1) O estudo não identificou a existência e consequentemente deixa de analisar a LI nº 43.057, válida até 2024, emitida para obras de ampliação da PPD; 2) Em que pese analisar a situação ambiental de alguns concessionários do Aeroporto, o estudo não identificou a DLAE 156350 que se encontra vigente; 3) Não foram identificadas informações quanto aos contratos comerciais vigentes, cujas características das atividades desevolvidas são passíveis de licenciamento, cabendo ao novo operador o acompanhamento;  4) O estudo não identificou todas as ocorrências de irregularidade sanitária do aeroporto perante a ANVISA (Ex. Processo nº 25743.583534/2016-18); 5) O estudo não informa da existência de processos judiciais sob a temática ambiental.</t>
  </si>
  <si>
    <t>Capítulo 4. Anexos 6 e 7 - Banco de Dados. 1) Em uma análise comparativa dos estudos apresentados, verifica-se que o relatório identifica, analisa e precifica um total de 31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</si>
  <si>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2, 5 e 7. 1) O estudo não identifica a disponibilidade de eventuais fornecedores de insumos e matérias primas necessárias para a implantação do Plano de Desenvolvimeno escolhido, o que possui influência direta no custo da implantação; 2) O estudo não identifica locais de destinação de resíduos gerados na obra de ampliação; 3) O estudo apresenta e analisa apenas 5 critérios sócioambientais para o plano de desevovimento proposto, o que não incorpora todos os componentes e restrições ambientais presentes no aeroporto; 4) O estudo não identifica títulos minerários emitidos no sítio e no entorno imediato do Aeroporto, que demandará providências por parte do futuro operador.</t>
  </si>
  <si>
    <t>Capítulos 2 e 5. Anexos 2, 4, 5 , 8 e 9. 1) Não restou identificado no estudo análise do Plano Diretor de Desenvolvimento Integrado Sustentável para o Município de Foz do Iguaçu/PR, previsto no Lei Complementar nº 271, de 18/07/2017; 2) Não restou verificado no relatório análise do Plano de Zona de Proteção do Aeroporto e da Navegação Aérea (PBZPA e PZPANA), tão somente a constatação de sua inexistência para o aeroporto;</t>
  </si>
  <si>
    <t>Capítulo 8. Anexo 11 e 12. 1) O estudo deixa de apresentar custos previstos para elaboração do Plano Básico de Proteção de Aeródromos – PBZPA; do Plano de Zona de Proteção de Auxílios à Navegação Aérea – PZPANA, necessários para o aeroporto considerando o projeto apresentado; 2) Considerando a não identificação de todos os passivos ambientais no aeroporto, o estudo deixa de apresentar seus respectivos custos.</t>
  </si>
  <si>
    <r>
      <t>Relatório Imobiliário utilizou apenas informações constantes no</t>
    </r>
    <r>
      <rPr>
        <i/>
        <sz val="12"/>
        <rFont val="Times New Roman"/>
        <family val="1"/>
      </rPr>
      <t xml:space="preserve"> data room</t>
    </r>
    <r>
      <rPr>
        <sz val="12"/>
        <rFont val="Times New Roman"/>
        <family val="1"/>
      </rPr>
      <t xml:space="preserve">. Não apresenta </t>
    </r>
    <r>
      <rPr>
        <i/>
        <sz val="12"/>
        <rFont val="Times New Roman"/>
        <family val="1"/>
      </rPr>
      <t>due diligence</t>
    </r>
    <r>
      <rPr>
        <sz val="12"/>
        <rFont val="Times New Roman"/>
        <family val="1"/>
      </rPr>
      <t xml:space="preserve"> de matrículas e informações atualizadas. Reproduz em planta a localização das áreas consideradas regularizadas pelo PDir (Infraero). Não faz análise crítica da situação atual do imóvel. Apresenta levantamento sobre cercas e acessos, trazendo localização em croqui e registro fotográfico, com algumas observações sobre as condições verificadas. </t>
    </r>
  </si>
  <si>
    <r>
      <t xml:space="preserve">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t>
    </r>
    <r>
      <rPr>
        <i/>
        <sz val="12"/>
        <rFont val="Times New Roman"/>
        <family val="1"/>
      </rPr>
      <t>benchmark</t>
    </r>
    <r>
      <rPr>
        <sz val="12"/>
        <rFont val="Times New Roman"/>
        <family val="1"/>
      </rPr>
      <t xml:space="preserve"> para projeção de tais custos ao longo da concessão. Não há detalhamento de como alcançou o valor proposto para os ganhos associados aos custos com pessoal (queda de 11,51% para todos os aeroportos, independente da localização). Considera que o concessionário somente passará a arcar com os custos e despesas operacionais após 95 dias (40 + 40 + 15), quando na verdade a diretriz estabelecida prevê para aeroportos com movimentação de passageiros igual ou superior a 1 MM/pax/ano prazo de 45 dias para o estágio II da Fase I-A (40 + 40 + 45).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crescimento agressivo com relação ao histórico verificado (de 11,7MM em 2018 para 21,7MM em 2022). Não esclarece porque aplica o </t>
    </r>
    <r>
      <rPr>
        <i/>
        <sz val="12"/>
        <rFont val="Times New Roman"/>
        <family val="1"/>
      </rPr>
      <t xml:space="preserve">benchmarking </t>
    </r>
    <r>
      <rPr>
        <sz val="12"/>
        <rFont val="Times New Roman"/>
        <family val="1"/>
      </rPr>
      <t>na projeção de custos com pessoal somente no início da concessão e para os anos de 2026, 2031, 2036, 2041 e 2046, sendo que as fases de planejamento propostas divergem dessas datas, e não prevê tratamento dos dados quando da transição de classe III para Classe IV.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r>
  </si>
  <si>
    <r>
      <t xml:space="preserve"> 
Considera indevidamente recuperação de crédito PIS/COFINS sobre os gastos com pessoal. Ademais, não apresenta embasamento detalhado para a definição da premissa de aproveitamento de créditos PIS/COFINS.
Traz uma análise demsasiadamente simplificada para as receitas comerciais identificando apenas as rubricas de concessões de áreas e combustíveis
Os valores apresentados no Relatório financeiro ( Tabela 5-12) para ressarcimento dos estudos, condução do leilão e Programa de Adequação do Efetivo não condizem com os valores emanados de diretriz da SAC.
Não apresenta efeitos da due diligence dos contratos comerciais na projeção de receitas.</t>
    </r>
    <r>
      <rPr>
        <strike/>
        <sz val="12"/>
        <rFont val="Times New Roman"/>
        <family val="1"/>
      </rPr>
      <t xml:space="preserve">
</t>
    </r>
  </si>
  <si>
    <r>
      <t xml:space="preserve">Não foi apresentado embasamento para o reconhecimento de diferença temporária para efeitos fiscais relativos ao pagamento da contribuição inicial, o que gerou o reconhecimento de ativo fiscal diferido.
Passa a considerar a ocorrência de despesa com contribuição variável somente no ano de 2027. Essa despesa começa a incidir no ano de 2026, com reflexos na apuração do resultado e impostos incidentes nesse e nos demais anos de acordo com o regime contábil de competência, em que pese o desembolso financeiro ocorrer somente no ano subsequente.
Não inclui as obrigações pré-contratuais  (ressarcimento dos estudos, condução do leilão e Programa de Adequação do Efetivo da Infraero) no ativo intangível. </t>
    </r>
    <r>
      <rPr>
        <strike/>
        <sz val="12"/>
        <rFont val="Times New Roman"/>
        <family val="1"/>
      </rPr>
      <t xml:space="preserve">
</t>
    </r>
    <r>
      <rPr>
        <sz val="12"/>
        <rFont val="Times New Roman"/>
        <family val="1"/>
      </rPr>
      <t xml:space="preserve">
Não realiza a capitalização de custos de empréstimos aos ativos qualificáveis de acordo com as práticas contábeis adotadas no Brasil.</t>
    </r>
    <r>
      <rPr>
        <strike/>
        <sz val="12"/>
        <rFont val="Times New Roman"/>
        <family val="1"/>
      </rPr>
      <t xml:space="preserve">
</t>
    </r>
    <r>
      <rPr>
        <sz val="12"/>
        <rFont val="Times New Roman"/>
        <family val="1"/>
      </rPr>
      <t xml:space="preserve">Não apresenta modelagem para o financiamento do 1 ciclo de investimentos do projeto.
</t>
    </r>
    <r>
      <rPr>
        <strike/>
        <sz val="12"/>
        <rFont val="Times New Roman"/>
        <family val="1"/>
      </rPr>
      <t xml:space="preserve">
</t>
    </r>
    <r>
      <rPr>
        <sz val="12"/>
        <rFont val="Times New Roman"/>
        <family val="1"/>
      </rPr>
      <t xml:space="preserve">A estrutura de crédito apresentada para o projeto é simplória não levando em consideração instrumentos de financiamento como as debêntures incentivadas, conforme diretriz emanada da SAC. 
Não apresenta Provisão Estimada para Créditos de Liquidação Duvidosa (PECLD). </t>
    </r>
  </si>
  <si>
    <t>Capítulos 4 e 5. 1) Não restou identificado no estudo, detalhe e histórico de licenças e autorizações emitidas para ampliação ou adequação do aeroporto; 2) O estudo não analisa de forma completa todas as condicionantes, atendimento e status da Licenca de Operação nº 6901; 3) O estudo não identificou a existência e consequentemente deixa de analisar a LI nº 43.057, válida até 2024, emitida para obras de ampliação da PPD; 4) Em que pese analisar a situação ambiental de alguns concessionários do Aeroporto, o estudo não identificou a DLAE 156350 e o Certificado de Dispensa de Licenciamento Ambiental Estadual Nº 159137, ambos documentos vigentes; 5) O estudo não identificou todas as ocorrências de irregularidade do aeroporto perante à ANAC (Ex. Processo nº 00065.046827/2018-42); 6) Não foram identificadas informações quanto aos contratos comerciais vigentes, cujas características das atividades desevolvidas são passíveis de licenciamento, cabendo ao novo operador o acompanhamento.</t>
  </si>
  <si>
    <t xml:space="preserve">Anexo 2. Capítulo 6.  1) Em uma análise comparativa dos estudos apresentados, verifica-se que o relatório identifica e analisa um total de 3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</si>
  <si>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6, 7 e 8. 1) O estudo não identifica a disponibilidade de eventuais fornecedores de insumos e matérias primas necessárias para a implantação do Plano de Desenvolvimeno escolhido, que possui influência direta no custo da implantação; 2) O estudo não identifica locais de destinação de resíduos gerados na obra de ampliação; 3) O estudo apresenta e analisa apenas 7 critérios sócioambientais para o plano de desevovimento proposto, o que não incorpora todos os componentes e restrições ambientais presentes no aeroporto; 4) O estudo não identifica títulos minerários emitidos no sítio e no entorno imediato do Aeroporto, que demandará providências por parte do futuro operador.</t>
  </si>
  <si>
    <t>Capítulo 10. Anexo 3. 1) O estudo deixa de apresentar custos previstos para elaboração do Plano Básico de Proteção de Aeródromos – PBZPA; do Plano de Zona de Proteção de Auxílios à Navegação Aérea – PZPANA; Identificação do Perigo da Fauna (IPF); do Programa de Gerenciamento do Risco de Fauna (PGRF) e do Plano de Ruído (PZR/PEZR), necessários para o aeroporto considerando o projeto apresentado; 2) O estudo indica a necessidade de desapropriação de área para implantação de nova PPD no aeroporto, sem apresentar custos correspondentes; 3) Considerando a não identificação de todos os passivos ambientais no aeroporto, o estudo deixa de apresentar seus respectivos custos.</t>
  </si>
  <si>
    <r>
      <t xml:space="preserve">AVALIAÇÃO - </t>
    </r>
    <r>
      <rPr>
        <b/>
        <sz val="11"/>
        <color rgb="FFFF0000"/>
        <rFont val="Times New Roman"/>
        <family val="1"/>
      </rPr>
      <t xml:space="preserve"> ENGEVIX / HV / LUNICA / MPB / QUANTA</t>
    </r>
  </si>
  <si>
    <r>
      <t xml:space="preserve">AVALIAÇÃO -  </t>
    </r>
    <r>
      <rPr>
        <b/>
        <sz val="11"/>
        <color rgb="FFFF0000"/>
        <rFont val="Times New Roman"/>
        <family val="1"/>
      </rPr>
      <t>ENGEVIX / HV / LUNICA / MPB / QUANTA</t>
    </r>
  </si>
  <si>
    <t>Capítulos 3 e 4. Anexo 1 1) O estudo não informa da existência de processos judiciais sob a temática ambiental (Ex. regularização de áreas, desapropriações, reintegração de posse), o que possui relação com análise de regularidade ambiental e de análise em relação ao uso do solo no aeroporto.</t>
  </si>
  <si>
    <t>Capítulo 6. Anexo 2. 1) Em uma análise comparativa dos estudos apresentados, verifica-se que o relatório identifica, analisa e precifica um total de 22 passivos ambientais. O relatório analisa de forma segmentada os passivos por: i) localização; ii) categoria; iii) origem; iv) aspectos; v) nível de risco; vi) dinâmica atual; e vi) área. No entanto, não indentifica, analisa e precifica todos os passivos ambientais para o aeroporto.</t>
  </si>
  <si>
    <r>
      <t xml:space="preserve">Atendido nos subitens do item 3.2 Estimativa de Custos de Operação (OPEX). </t>
    </r>
    <r>
      <rPr>
        <i/>
        <sz val="12"/>
        <rFont val="Times New Roman"/>
        <family val="1"/>
      </rPr>
      <t>Benchmark</t>
    </r>
    <r>
      <rPr>
        <sz val="12"/>
        <rFont val="Times New Roman"/>
        <family val="1"/>
      </rPr>
      <t xml:space="preserve"> de Ganho de Escala nos Custos Administrativos, nos custos com embarque e desembarque de passageiros e nos custos com operação de aeronaves encontram-se nas figuras 3-6, 3-9 e 3-11, entre outros.</t>
    </r>
    <r>
      <rPr>
        <i/>
        <sz val="12"/>
        <rFont val="Times New Roman"/>
        <family val="1"/>
      </rPr>
      <t xml:space="preserve"> Benchmark</t>
    </r>
    <r>
      <rPr>
        <sz val="12"/>
        <rFont val="Times New Roman"/>
        <family val="1"/>
      </rPr>
      <t xml:space="preserve"> de custo com embarque e desembarque de passageiros unitário e de custo com operação de aeronaves encontram-se representados nas figuras 3-10 e 3-12, entre outros. Todavia, considera aeroportos "comparáveis" como todos aqueles que processaram mais de 1 Milhão de passageiros em 2018 e não propõe tratamento dos dados de modo a excluir </t>
    </r>
    <r>
      <rPr>
        <i/>
        <sz val="12"/>
        <rFont val="Times New Roman"/>
        <family val="1"/>
      </rPr>
      <t>outliers</t>
    </r>
    <r>
      <rPr>
        <sz val="12"/>
        <rFont val="Times New Roman"/>
        <family val="1"/>
      </rPr>
      <t xml:space="preserve">. Não foram considerados aeroportos internacionais em qualquer dos </t>
    </r>
    <r>
      <rPr>
        <i/>
        <sz val="12"/>
        <rFont val="Times New Roman"/>
        <family val="1"/>
      </rPr>
      <t>benchmarks</t>
    </r>
    <r>
      <rPr>
        <sz val="12"/>
        <rFont val="Times New Roman"/>
        <family val="1"/>
      </rPr>
      <t xml:space="preserve"> apresentados.</t>
    </r>
  </si>
  <si>
    <r>
      <rPr>
        <i/>
        <sz val="12"/>
        <rFont val="Times New Roman"/>
        <family val="1"/>
      </rPr>
      <t>Due diligence</t>
    </r>
    <r>
      <rPr>
        <sz val="12"/>
        <rFont val="Times New Roman"/>
        <family val="1"/>
      </rPr>
      <t xml:space="preserve"> dos contratos operacionais celebrados com a Infraero para o SBNF encontram-se reproduzidos no item 3.2.8 Due Diligence dos Contratos Operacionais. Não foi localizada análise dos contratos comerciais celebrados para o aeroporto, somente planilha com a disposição de suas principais características (na pasta do relatório econômico-financeiro). Não foi identificada análise dos contratos no tocante ao que dispõe a Portaria MTPA nº 143, de 6 de abril de 2017 (substituída pela Portaria MInfra nº 577, de 8 de novembro de 2019).  </t>
    </r>
  </si>
  <si>
    <t>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concessão do TECA até o fim do período de concessão, diferentemente do que aponta a due diligence comercial. O contrato encerra-se em 2043, passando a compor as receitas tarifárias de armazenagem e capatazia do futuro operador.</t>
  </si>
  <si>
    <t>Explica a metodologia utilizada na análise de capacidade da PPD. Não apresenta referência ou justificativa para algumas das considerações adotadas. Apresenta planilha em anexo com o detalhamento dos cálculos, considerações e resultados. Há inconsistência na geometria considerada. Há inconsistência no cálculo de TOPD para a categoria de aeronave mais representativa do Mix do aeroporto.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 Identifica limitações na utilização do sistema de pistas em item específico.</t>
  </si>
  <si>
    <t>O item 3.2 apresenta a metodologia utilizada no dimensionamento e as necessidades futuras do aeroporto, estimadas a partir da projeção de demanda. Na definição de requisitos para a PPD (item 3.2.1.1.2), não considera nenhuma rota internacional, apesar de haver identificado demanda de passageiros. A tabela 3.46 resume as necessidades futuras identificadas. Não apresenta metodologia para a definição de área requerida para SESCINC. No item 3.3.1, menciona como premissa a adequação da infraestrutura para operações IFR não precisão de aeronaves 4C / 4D, apesar de utilizar aeronave crítica 4C e de não prever movimentação de aeronaves classe D na projeção de demanda apresentada na planilha de dimensionamento.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No item 3.4.1.1 aponta manutenção de stopway inexistente. O item 3.5 apresenta alguns detalhes do anteprojeto de engenharia proposto. Há inconsistência nas informações apresentadas na tabela 3.50 e na planilha de capacidade de pista com relação à configuração da PPD após intervenções. Com relação ao sistema de infraestrutura aeronáutica, apenas aponta a necessidade de recalibração de auxílios em função dos deslocamentos de cabeceira, mas não há detalhamento. Para o sistema de aviação geral, apenas informa a utilização da atual área terminal e suas instalações, mas não apresenta detalhamento, nem identifica essas áreas nas plantas. Para alguns dos componentes avaliados, identifica que não há necessidade de ampliação, mas não apresenta comparação entre área requerida, conforme identificado anteriormente, e área atualmente disponibilizada. Não apresenta comparação entre áeas requeridas e áreas disponibilizadas na implantação final.</t>
  </si>
  <si>
    <t>_dados desatualizados/limitados de origem/destino real de passageiros
_ gráfico de sazonalidade na movimentação de passageiros de 2018 apresenta valores incompatíveis, tendo em vista a movimentação anual de passageiros do aeroporto.</t>
  </si>
  <si>
    <r>
      <t xml:space="preserve">Apresenta informações sobre obras previstas a partir das informações disponíveis na declaração de capacidade do aeroporto e no </t>
    </r>
    <r>
      <rPr>
        <i/>
        <sz val="12"/>
        <rFont val="Times New Roman"/>
        <family val="1"/>
      </rPr>
      <t>dataroom</t>
    </r>
    <r>
      <rPr>
        <sz val="12"/>
        <rFont val="Times New Roman"/>
        <family val="1"/>
      </rPr>
      <t xml:space="preserve"> da SAC. Não apresenta avaliação sobre andamento das obras e sobre aproveitamento das obras no plano de desenvolvimento proposto.</t>
    </r>
  </si>
  <si>
    <t>Capítulos 2 e 3. 1) Não foram identificadas informações quanto aos contratos comerciais vigentes, cujas características das atividades desevolvidas são passíveis de licenciamento, cabendo ao novo operador o acompanhamento; 2) O estudo não detalha as licenças e autorizações emitidas para a ampliação ou adequação do aeroporto (Certidão nº 187.585/2011); 3) O estudo não identificou ocorrências de irregularidade sanitária do aeroporto perante a ANVISA; 4) O estudo não informa da existência de processos judiciais sob a temática ambiental (Ex. regularização de áreas, desapropriações, reintegração de posse), o que possui relação com análise de regularidade ambiental e de análise em relação ao uso do solo no aeroporto.</t>
  </si>
  <si>
    <t xml:space="preserve">Capítulos 4 e 5. 1) Não restou identificado no estudo, detalhe e histórico de licenças e autorizações emitidas para ampliação ou adequação do aeroporto; 2) O estudo não detalha informações realtivas à LAO nº 171/09, deixando de apresentar informações completas quanto às condicionantes e seus respectivos status; 3) O estudo não informa a existência do CNUA Nº 42100191065-25, entre a Infraero e o Governo de Santa Catarina para lançamento de efluente tratado em rede de drenagem pluvial; 4) Não foram identificadas informações quanto aos contratos comerciais vigentes, cujas características das atividades desevolvidas são passíveis de licenciamento, cabendo ao novo operador o acompanhamento. </t>
  </si>
  <si>
    <t>Capítulo 4. Anexos 6 e 7 - Banco de Dados. 1) Em uma análise comparativa dos estudos apresentados, verifica-se que o relatório identifica, analisa e precifica um total de 24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</si>
  <si>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 xml:space="preserve">Anexo 2. Capítulo 6.  1) Em uma análise comparativa dos estudos apresentados, verifica-se que o relatório identifica e analisa um total de 7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</si>
  <si>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2, 5 e 7. 1) O estudo não identifica a disponibilidade de eventuais fornecedores de insumos e matérias primas necessárias para a implantação do Plano de Desenvolvimeno escolhido, o que possui influência direta no custo da implantação; 2) O estudo não identifica locais de destinação de resíduos gerados na obra de ampliação; 3) O estudo apresenta e analisa apenas 5 critérios sócioambientais para o plano de desevovimento proposto, o que não incorpora todos os componentes e restrições ambientais presentes no aeroporto; 4) O estudo não identifica títulos minerários emitidos no sítio e no entorno imediato do Aeroporto de Navegantes, que demandará providências por parte do futuro operador.</t>
  </si>
  <si>
    <t>Capítulos 6, 7 e 8. 1) O estudo não identifica a disponibilidade de eventuais fornecedores de insumos e matérias primas necessárias para a implantação do Plano de Desenvolvimeno escolhido, que possui influência direta no custo da implantação; 2) O estudo não identifica locais de destinação de resíduos gerados na obra de ampliação; 3) O estudo apresenta e analisa apenas 7 critérios sócioambientais para o plano de desevovimento proposto, o que não incorpora todos os componentes e restrições ambientais presentes no aeroporto; 4) O estudo não identifica títulos minerários emitidos no sítio e no entorno imediato do Aeroporto de Navegantes, que demandará providências por parte do futuro operador.</t>
  </si>
  <si>
    <t>Capítulos 2 e 5. Anexos 2, 4, 5 , 8 e 9. 1) Não restou verificado no relatório análise do Plano de Zona de Proteção do Aeroporto e da Navegação Aérea (PBZPA e PZPANA).</t>
  </si>
  <si>
    <t>Capítulo 6. 1) O estudo identifica ocupações irregulares no sítio aeroportuário, considerando seu projeto de desenvolivimento, mas carece de informações quanto à regularidade de tal situação, especialmente no detalhamento de custos e providências a serem adotadas pela futura concessionária.</t>
  </si>
  <si>
    <t>Capítulo 10. Anexo 3. 1) O estudo não apresenta custos previstos para elaboração do Plano Básico de Proteção de Aeródromos – PBZPA, do Plano de Zona de Proteção de Auxílios à Navegação Aérea – PZPANA e do Plano de Ruído (PZR/PEZR), necessários para o aeroporto considerando o projeto apresentado; 2) Considerando a não identificação de todos os passivos ambientais no aeroporto, o estudo deixa de apresentar seus respectivos custos.</t>
  </si>
  <si>
    <t>Não apresenta análise da detalhada da real necessidade de pessoal para a gestão dos ativos em bloco. A projeção para operação individual dos aeroportos não contempla os ganhos advindos da operação privada (é estimado, por exemplo, custo com pessoal cedido a outros órgãos).</t>
  </si>
  <si>
    <t xml:space="preserve">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t>
  </si>
  <si>
    <t>Não inclui as obrigações pré-contratuais  (ressarcimento dos estudos, condução do leilão e Programa de Adequação do Efetivo da Infraero) no ativo intangível. 
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respectivos ativos qualificáveis de acordo com as práticas contábeis adotadas no Brasil.</t>
  </si>
  <si>
    <t>Capítulos 3 e 4. Anexo 1. 1) O estudo não informa da existência de processos judiciais sob a temática ambiental (Ex. regularização de áreas, desapropriações, reintegração de posse), o que possui relação com análise de regularidade ambiental e de análise em relação ao uso do solo no aeroporto; 2) O estudo não identifica a existência de contrato de concessão de uso para exploração do TECA, que se encontra vigente e cujas atividades desevolvidas são passíveis de licenciamento.</t>
  </si>
  <si>
    <t>Capítulos 2 e 3. 1) O estudo deixa de listar autos de infração e alguns processos de irregularidade sanitária do aeroporto perante a ANVISA; 2) O estudo não informa da existência de processos judiciais sob a temática ambiental (Ex. regularização de áreas, desapropriações, reintegração de posse), o que possui relação com análise de regularidade ambiental e de análise em relação ao uso do solo no aeroporto.</t>
  </si>
  <si>
    <t>Capítulo 5. 1) Não restou identificado no estudo, detalhe e histórico de licenças e autorizações emitidas para ampliação ou adequação do aeroporto; 2) O estudo deixa de listar autos de infração e alguns processos de irregularidade sanitária do aeroporto perante a ANVISA; 3) O estudo não identifica a existência de contrato de concessão de uso para exploração do TECA, que se encontra vigente e cujas atividades desevolvidas são passíveis de licenciamento.</t>
  </si>
  <si>
    <t>Capítulo 4. Anexos 6 e 7 - Banco de Dados. 1) Em uma análise comparativa dos estudos apresentados, verifica-se que o relatório identifica, analisa e precifica um total de 22 passivos ambientais. O relatório analisa de forma segmentada os passivos por: i) localização; ii) categoria; iii) origem; iv) aspectos; v) nível de risco; vi) dinâmica atual; e vi) área. No entanto, em que pese ter mapeado um maior número de passivos, não indentifica, analisa e precifica todos os passivos ambientais para o aeroporto.</t>
  </si>
  <si>
    <t>Capítulo 4. Anexos 6 e 7 - Banco de Dados. 1) Em uma análise comparativa dos estudos apresentados, verifica-se que o relatório identifica, analisa e precifica um total de 18 passivos ambientais. O relatório analisa de forma segmentada os passivos por: i) localização; ii) tipo; iii) origem; iv) nível de risco; e, v) dinâmica atual. No entanto, não indentifica, analisa e precifica todos os passivos ambientais existentes no aeroporto.</t>
  </si>
  <si>
    <t>Anexo 2. Capítulo 6.   1) Em uma análise comparativa dos estudos apresentados, verifica-se que o relatório identifica e analisa um total de 8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t>
  </si>
  <si>
    <t>Capítulos 2, 5 e 7. 1) O estudo não identifica a disponibilidade de eventuais fornecedores de insumos e matérias primas necessárias para a implantação do Plano de Desenvolvimeno escolhido, o que possui influência direta no custo da implantação; 2) O estudo não identifica locais de destinação de resíduos gerados na obra de ampliação; 3) O estudo apresenta e analisa apenas 5 critérios sócioambientais para o plano de desevovimento proposto, o que não incorpora todos os componentes e restrições ambientais presentes no aeroporto.</t>
  </si>
  <si>
    <t>Capítulos 6, 7 e 8. 1) O estudo não identifica a disponibilidade de eventuais fornecedores de insumos e matérias primas necessárias para a implantação do Plano de Desenvolvimeno escolhido, o que possui influência direta no custo da implantação; 2) O estudo não identifica locais de destinação de resíduos gerados na obra de ampliaçãoç 3) O estudo apresenta e analisa apenas 7 critérios sócioambientais para o plano de desevovimento proposto, o que não incorpora todos os componentes e restrições ambientais presentes no aeroporto.</t>
  </si>
  <si>
    <t>Capítulo 6.  1) Não restou verificado no relatório análise do Plano de Zona de Proteção da Navegação Aérea (PZPANA).</t>
  </si>
  <si>
    <r>
      <t>Não avalia a possibilidade de tributação por meio do lucro presumido 
Não inclui as obrigações pré-contratuais  (ressarcimento dos estudos, condução do leilão e Programa de Adequação do Efetivo da Infraero) no ativo intangível.</t>
    </r>
    <r>
      <rPr>
        <strike/>
        <sz val="12"/>
        <rFont val="Times New Roman"/>
        <family val="1"/>
      </rPr>
      <t xml:space="preserve">
</t>
    </r>
    <r>
      <rPr>
        <sz val="12"/>
        <rFont val="Times New Roman"/>
        <family val="1"/>
      </rPr>
      <t>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ativos qualificáveis de acordo com as práticas contábeis adotadas no Brasil.</t>
    </r>
  </si>
  <si>
    <t>Capítulos 3 e 4. Anexo 1. 1) O estudo não informa da existência de processos judiciais sob a temática ambiental (Ex. regularização de áreas, desapropriações, reintegração de posse), o que possui relação com análise de regularidade ambiental e de análise em relação ao uso do solo no aeroporto.</t>
  </si>
  <si>
    <t xml:space="preserve">Capítulos 2 e 3. 1) O estudo não informa da existência de processos judiciais sob a temática ambiental (Ex. regularização de áreas, desapropriações, reintegração de posse), o que possui relação com análise de regularidade ambiental e de análise em relação ao uso do solo no aeroporto; 2) Não foram identificadas informações quanto aos contratos comerciais vigentes, cujas características das atividades desevolvidas são passíveis de licenciamento, cabendo ao novo operador o acompanhamento. </t>
  </si>
  <si>
    <t xml:space="preserve">Capítulo 5. 1) Não restou identificado no estudo, detalhe e histórico de licenças e autorizações emitidas para ampliação ou adequação do aeroporto; 2) Não foram identificadas informações quanto aos contratos comerciais vigentes, cujas características das atividades desevolvidas são passíveis de licenciamento, cabendo ao novo operador o acompanhamento. </t>
  </si>
  <si>
    <t>Capítulo 4. Anexos 6 e 7 - Banco de Dados. 1) Em uma análise comparativa dos estudos apresentados, verifica-se que o relatório identifica, analisa e precifica um total de 30 passivos ambientais. O relatório analisa de forma segmentada os passivos por: i) localização; ii) categoria; iii) origem; iv) aspectos; v) nível de risco; vi) dinâmica atual; e vi) área. No entanto, em que pese ter mapeado um maior número de passivos, não indentifica, analisa e precifica todos os passivos ambientais para o aeroporto.</t>
  </si>
  <si>
    <t>Capítulo 4. Anexos 6 e 7 - Banco de Dados. 1) Em uma análise comparativa dos estudos apresentados, verifica-se que o relatório identifica, analisa e precifica um total de 29 passivos ambientais. O relatório analisa de forma segmentada os passivos por: i) localização; ii) tipo; iii) origem; iv) nível de risco; e, v) dinâmica atual. No entanto, não indentifica, analisa e precifica todos os passivos ambientais existentes no aeroporto.</t>
  </si>
  <si>
    <t>Anexo 2. Capítulo 6. 1) Em uma análise comparativa dos estudos apresentados, verifica-se que o relatório identifica e analisa um total de 5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t>
  </si>
  <si>
    <t>Capítulos 2 e 5. Anexos 2, 4, 5 , 8 e 9. 1) Não restou verificado no relatório análise do Plano de Zona de Proteção do Aeroporto e da Navegação Aérea (PBZPA e PZPANA); 2) O estudo não identifica áreas degradadas no sítio aeroportuário.</t>
  </si>
  <si>
    <t>Capítulo 6.  1) Não restou verificado no relatório análise do Plano de Zona de Proteção da Navegação Aérea (PZPANA); 2) O estudo não identifica áreas degradadas no sítio aeroportuário.</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</si>
  <si>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 Identifica limitações na utilização do sistema de pistas em item específico.</t>
  </si>
  <si>
    <t>_não projeta o tempo de permanência da aeronave no pátio
_Figura 6-20 cita mensal do título e apresenta dado anual.</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</si>
  <si>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t>
  </si>
  <si>
    <t xml:space="preserve">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Identifica necessidade de Seção Contraincêndio, apesar do aeroporto permanecer como Classe I. Há inconsistência nas distâncias declaradas para a PPD proposta apresentadas na tabela 2-4. Não apresenta alteração na capacidade de pista, apesar de propor alteração no comprimento da PPD. Há inconsistência entre a capacidade de pátio apresentada na figura 2-8 e a informação do item de avaliação da capacidade instalada. Há inconsistência entre a largura da pista de táxi B apresentada no item 2.3.3 e a representada nas plantas do plano de desenvolvimento.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na implantação final. O anteprojeto não apresenta justificativa para a implantação da área de teste de motores. </t>
  </si>
  <si>
    <r>
      <t xml:space="preserve">Não foi apresentado embasamento para o reconhecimento de diferença temporária para efeitos fiscais relativos ao pagamento da contribuição inicial, o que gerou o reconhecimento de ativo fiscal diferido.
Não avalia a possibilidade de tributação por meio do lucro presumido.
Passa a considerar a ocorrência de despesa com contribuição variável somente no ano de 2027. Essa despesa começa a incidir no ano de 2026, com reflexos na apuração do resultado e impostos incidentes nesse e nos demais anos de acordo com o regime contábil de competência, em que pese o desembolso financeiro ocorrer somente no ano subsequente.
Não inclui as obrigações pré-contratuais  (ressarcimento dos estudos, condução do leilão e Programa de Adequação do Efetivo da Infraero) no ativo intangível. </t>
    </r>
    <r>
      <rPr>
        <strike/>
        <sz val="12"/>
        <rFont val="Times New Roman"/>
        <family val="1"/>
      </rPr>
      <t xml:space="preserve">
</t>
    </r>
    <r>
      <rPr>
        <sz val="12"/>
        <rFont val="Times New Roman"/>
        <family val="1"/>
      </rPr>
      <t>A estrutura de crédito apresentada para o projeto é simplória não levando em consideração instrumentos de financiamento como as debêntures incentivadas, conforme diretriz emanada da SAC. 
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ativos qualificáveis de acordo com as práticas contábeis adotadas no Brasil.</t>
    </r>
  </si>
  <si>
    <t>Capítulos 3 e 4. Anexo 1. 1) O estudo não informa da existência de processos judiciais sob a temática ambiental (Ex. regularização de áreas, desapropriações, reintegração de posse), o que possui relação com análise de regularidade ambiental e de análise em relação ao uso do solo no aeroporto; 2) O estudo deixa de apresentar algumas licenças e autorizações emitidas para as concessionárias (Ex. Táxi Aéreo e Aeromecânica).</t>
  </si>
  <si>
    <t>Capítulos 3 e 4. Anexo 1. 1) O estudo não informa da existência de processos judiciais sob a temática ambiental (Ex. regularização de áreas, desapropriações, reintegração de posse), o que possui relação com análise de regularidade ambiental e de análise em relação ao uso do solo no aeroporto; 2) O estudo não detaha as conformidades perante à ANAC.</t>
  </si>
  <si>
    <t>Capítulo 5. 1) Não restou identificado no estudo, detalhe e histórico de licenças e autorizações emitidas para ampliação ou adequação do aeroporto; 2) O estudo deixa de apresentar algumas licenças e autorizações emitidas para as concessionárias (Ex. Aeromecânica e Gaplan Aeronáutica).</t>
  </si>
  <si>
    <t>Capítulo 4. Anexos 6 e 7 - Banco de Dados. 1) Em uma análise comparativa dos estudos apresentados, verifica-se que o relatório identifica, analisa e precifica um total de 18 passivos ambientais. O relatório analisa de forma segmentada os passivos por: i) localização; ii) categoria; iii) origem; iv) aspectos; v) nível de risco; vi) dinâmica atual; e vi) área. No entanto, em que pese ter mapeado um maior número de passivos, não indentifica, analisa e precifica todos os passivos ambientais para o aeroporto.</t>
  </si>
  <si>
    <t>Capítulo 4. Anexos 6 e 7 - Banco de Dados. 1) Em uma análise comparativa dos estudos apresentados, verifica-se que o relatório identifica, analisa e precifica um total de 9 passivos ambientais. O relatório analisa de forma segmentada os passivos por: i) localização; ii) tipo; iii) origem; iv) nível de risco; e, v) dinâmica atual. No entanto, não indentifica, analisa e precifica todos os passivos ambientais existentes no aeroporto.</t>
  </si>
  <si>
    <t>Anexo 2. Capítulo 6. 1) Em uma análise comparativa dos estudos apresentados, verifica-se que o relatório identifica e analisa um total de 4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</si>
  <si>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A comparação de capacidade instalada com demanda é apresentada no item de desenvolvimento do sítio aeroportuário. Avalia a capacidade da pista de táxi para a respectiva aeronave crítica considerada. Na avaliação da capacidade da pista de táxi, leva em consideração parâmetros geométricos das aeronaves que utilizam a infraestrutura e largura da pista.</t>
  </si>
  <si>
    <t>Apresenta avaliação de capacidade estática do pátio.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Apresenta avaliação de capacidade para pátio de equipamentos de rampa.</t>
  </si>
  <si>
    <r>
      <t xml:space="preserve">Análise insuficiente em relação a:
</t>
    </r>
    <r>
      <rPr>
        <sz val="12"/>
        <rFont val="Arial"/>
        <family val="2"/>
      </rPr>
      <t>_inserção na malha de transporte de cargas</t>
    </r>
    <r>
      <rPr>
        <sz val="12"/>
        <rFont val="Calibri"/>
        <family val="2"/>
        <scheme val="minor"/>
      </rPr>
      <t xml:space="preserve">
</t>
    </r>
    <r>
      <rPr>
        <sz val="12"/>
        <rFont val="Arial"/>
        <family val="2"/>
      </rPr>
      <t>_interface com modais ferroviário e portuário/hidroviário</t>
    </r>
    <r>
      <rPr>
        <sz val="12"/>
        <rFont val="Calibri"/>
        <family val="2"/>
        <scheme val="minor"/>
      </rPr>
      <t xml:space="preserve">
_malha rodoviária
_linhas de ônibus de longa distância / terminais rodoviárias
_custo de transporte rodoviário (pedágio, gasolina, passagem de onibus, taxi/app)
</t>
    </r>
  </si>
  <si>
    <r>
      <t>_RI única delimitada para serviços com diferentes alcances (</t>
    </r>
    <r>
      <rPr>
        <sz val="12"/>
        <rFont val="Arial"/>
        <family val="2"/>
      </rPr>
      <t>carga</t>
    </r>
    <r>
      <rPr>
        <sz val="12"/>
        <rFont val="Calibri"/>
        <family val="2"/>
        <scheme val="minor"/>
      </rPr>
      <t xml:space="preserve">, pax comercial, AG)
</t>
    </r>
    <r>
      <rPr>
        <sz val="12"/>
        <rFont val="Arial"/>
        <family val="2"/>
      </rPr>
      <t>_RI considerada na projeção de demanda (RID) é subdimensionada, tendo em vista que, conforme análise de OD real do BQV, há usuários do aeroporto fora da RID</t>
    </r>
  </si>
  <si>
    <r>
      <t xml:space="preserve">_não projeta o tempo de permanência da aeronave no pátio
</t>
    </r>
    <r>
      <rPr>
        <sz val="12"/>
        <rFont val="Arial"/>
        <family val="2"/>
      </rPr>
      <t>_Figura 6-21 cita mensal do título e apresenta dado anual.
_Projeção de Passageiros Domésticos em conexão não guarda coerência com a projeção de rotas domésticas.</t>
    </r>
  </si>
  <si>
    <r>
      <t xml:space="preserve">_não é abordada no relatório a existência de eventuais restrições de ordem ambiental
_ausência de análise de restrição de rotas potenciais em função de restrições operacionais da PPD (comprimento da PPD x alcance das rotas)
</t>
    </r>
    <r>
      <rPr>
        <sz val="12"/>
        <rFont val="Arial"/>
        <family val="2"/>
      </rPr>
      <t>_ausência de análise de eventuais restrições sobre a demanda projetada de processamento de cargas</t>
    </r>
  </si>
  <si>
    <t>_não projeta o tempo de permanência da aeronave no pátio
_Figura 6-21 cita mensal do título e apresenta dado anual.
_Projeção de Passageiros Domésticos em conexão não guarda coerência com a projeção de rotas domésticas.</t>
  </si>
  <si>
    <r>
      <t xml:space="preserve">_ O relatório apresenta o racional para projeção das receitas e as variáveis utilizadas como drivers de crescimento, mas não detalha como essas variáveis foram efetivamente utilizadas no cálculo e tampouco referencia anexos que contenham o detalhamento.
</t>
    </r>
    <r>
      <rPr>
        <sz val="12"/>
        <rFont val="Arial"/>
        <family val="2"/>
      </rPr>
      <t xml:space="preserve">_ Não modelou as receitas tarifárias de armazenagem e capatazia após o término do contrato de concessão do TECA do aeroporto. </t>
    </r>
  </si>
  <si>
    <r>
      <t xml:space="preserve">_ O relatório apresenta o racional para projeção das receitas e as variáveis utilizadas como drivers de crescimento, mas não detalha como essas variáveis foram efetivamente utilizadas no cálculo e tampouco referencia anexos que contenham o detalhamento.
</t>
    </r>
    <r>
      <rPr>
        <sz val="12"/>
        <rFont val="Arial"/>
        <family val="2"/>
      </rPr>
      <t>_ Considerou o contrato de concessão do TECA até o fim do período de concessão, diferentemente do que aponta a due diligence comercial. O contrato encerra-se em 2043, passando a compor as receitas tarifárias de armazenagem e capatazia do futuro operador.
_ Não projeta receitas de estacionamento, muito embora o Relatório de Enganharia e Afins preveja expansão do número de vagas, e não justifica a ausência.</t>
    </r>
  </si>
  <si>
    <r>
      <t xml:space="preserve">Não avalia a possibilidade de tributação por meio do lucro presumido.
Não inclui as obrigações pré-contratuais  (ressarcimento dos estudos, condução do leilão e Programa de Adequação do Efetivo da Infraero) no ativo intangível. </t>
    </r>
    <r>
      <rPr>
        <strike/>
        <sz val="12"/>
        <rFont val="Times New Roman"/>
        <family val="1"/>
      </rPr>
      <t xml:space="preserve">
</t>
    </r>
    <r>
      <rPr>
        <sz val="12"/>
        <rFont val="Times New Roman"/>
        <family val="1"/>
      </rPr>
      <t xml:space="preserve">Não apresenta Provisão Estimada para Créditos de Liquidação Duvidosa (PECLD). 
</t>
    </r>
  </si>
  <si>
    <t xml:space="preserve">Capítulos 2 e 3. 1) Não foram identificadas informações quanto aos contratos comerciais vigentes, cujas características das atividades desevolvidas são passíveis de licenciamento, cabendo ao novo operador o acompanhamento; 2) O estudo não apresenta análise de conformidade do aeroporto perante o sistema ANVISA, ANAC (processos e notificações); 3) Quanto aos status das licenças e autorizações, o estudo não detalha se todas as disposições foram atendidas pelo aeroporto (explicação sobre os motivos dos status finalizados das licenças); 4) O estudo não analiza a existência de processos judiciais, sob a temática ambiental. </t>
  </si>
  <si>
    <t>Capítulo 4. Anexos 6 e 7 - Banco de Dados. 1) Em uma análise comparativa dos estudos apresentados, verifica-se que o relatório identifica, analisa e precifica um total de 29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</si>
  <si>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 xml:space="preserve">Anexo 2. Capítulo 6.  1) Em uma análise comparativa dos estudos apresentados, verifica-se que o relatório identifica e analisa um total de 2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</si>
  <si>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6, 7 e 8. 1) O estudo não identifica a disponibilidade de eventuais fornecedores de insumos e matérias primas necessárias para a implantação do Plano de Desenvolvimeno escolhido, que possui influência direta no custo da implantação; 2) O estudo não identifica locais de destinação de resíduos gerados na obra de ampliação; 3) O estudo apresenta e analisa apenas 7 critérios sócioambientais para o plano de desevovimento proposto, o que não incorpora todos os componentes e restrições ambientais presentes no aeroporto.</t>
  </si>
  <si>
    <r>
      <t xml:space="preserve">Capítulos 3, 5 e 7. 1) O estudo não detalha a localização do aeroporto em área de mais de 60 espécies de aves migratórias, o que influencia na análise do risco de fauna do aeroporto. </t>
    </r>
    <r>
      <rPr>
        <i/>
        <sz val="11"/>
        <color rgb="FF0070C0"/>
        <rFont val="Times New Roman"/>
        <family val="1"/>
      </rPr>
      <t/>
    </r>
  </si>
  <si>
    <r>
      <t xml:space="preserve"> </t>
    </r>
    <r>
      <rPr>
        <sz val="12"/>
        <rFont val="Times New Roman"/>
        <family val="1"/>
      </rPr>
      <t xml:space="preserve">Capítulos 3 e 4. Anexo 1. 1) O estudo não analiza a existência de processos judiciais, sob a temática ambiental. </t>
    </r>
  </si>
  <si>
    <r>
      <t>Capítulos 4 e 5. 1) Não restou identificado no estudo, detalhe e histórico de licenças e autorizações emitidas para ampliação ou adequação do aeroporto; 2) Não foram identificadas informações quanto aos contratos comerciais vigentes, cujas características das atividades desevolvidas são passíveis de licenciamento, cabendo ao novo operador o acompanhamento;</t>
    </r>
    <r>
      <rPr>
        <i/>
        <sz val="12"/>
        <rFont val="Times New Roman"/>
        <family val="1"/>
      </rPr>
      <t xml:space="preserve"> </t>
    </r>
    <r>
      <rPr>
        <sz val="12"/>
        <rFont val="Times New Roman"/>
        <family val="1"/>
      </rPr>
      <t>3) O estudo não identifica processos e notificações perante o sistema ANVISA.</t>
    </r>
  </si>
  <si>
    <r>
      <rPr>
        <sz val="12"/>
        <rFont val="Times New Roman"/>
        <family val="1"/>
      </rPr>
      <t>Capítulos 2 e 5. Anexos 2, 4, 5 , 8 e 9. 1) Não restou verificado no relatório análise do Plano de Zona de Proteção do Aeroporto e da Navegação Aérea (PBZPA e PZPANA); 2) O estudo não informa a existência de áreas degradadas no sítio aeroportuário; 3) O estudo não identifica títulos minerários emitidos no sítio e no entorno imediato do Aeroporto, que demandará providências por parte do futuro operador; 4) O estudo não realizou análise detalhada sobre a área de 295.000 m2 sendo utilizada para exploração agropecuária</t>
    </r>
    <r>
      <rPr>
        <i/>
        <sz val="12"/>
        <rFont val="Times New Roman"/>
        <family val="1"/>
      </rPr>
      <t>.</t>
    </r>
  </si>
  <si>
    <r>
      <rPr>
        <sz val="12"/>
        <rFont val="Times New Roman"/>
        <family val="1"/>
      </rPr>
      <t>Capítulo 6. 1) O estudo não detalha a localização do aeroporto em área de mais de 60 espécies de aves migratórias, o que influencia na análise do risco de fauna do aeroporto; 2) O estudo não identifica títulos minerários emitidos no sítio e no entorno imediato do Aeroporto, que demandará providências por parte do futuro operador; 3) O estudo não realizou análise detalhada sobre a área de 295.000 m2 sendo utilizada para exploração agropecuária.</t>
    </r>
    <r>
      <rPr>
        <i/>
        <sz val="12"/>
        <rFont val="Times New Roman"/>
        <family val="1"/>
      </rPr>
      <t xml:space="preserve">    </t>
    </r>
  </si>
  <si>
    <t>Capítulos 3 e 4. Anexo 1.  1) O estudo não informa da existência de processos judiciais sob a temática ambiental (Ex. regularização de áreas, desapropriações, reintegração de posse), o que possui relação com análise de regularidade ambiental e de análise em relação ao uso do solo no aeroporto; 2) O estudo não detalha as recomendações e providências necessárias considerando o Ofício FEPAM/DISA-OFDFNS 00322/2019; 3) O estudo identifica duas notificações já deferidas sobre o poço tubular e a outorga de seu uso (Ofício 475/15-GAB/DIOUT/DRH/SEADS/2015), contudo não informm quanto providênicas a serem adotadas; 4) O estudo não apresenta histórico de portarias registradas junto à ANAC referentes ao Aeroporto e ao Município.</t>
  </si>
  <si>
    <t>Capítulos 2 e 3. 1) Não foram identificadas informações quanto aos contratos comerciais vigentes, cujas características das atividades desevolvidas são passíveis de licenciamento, cabendo ao novo operador o acompanhamento (Ex. Haras, serviços de handling e telefonia); 2) O estudo não apresenta análise de conformidade do aeroporto perante o sistema ANVISA, ANAC;  3) O estudo não informa da existência de processos judiciais sob a temática ambiental (Ex. regularização de áreas, desapropriações, reintegração de posse), o que possui relação com análise de regularidade ambiental e de análise em relação ao uso do solo no aeroporto; 4) O estudo não detalha as recomendações e providências necessárias considerando o Ofício FEPAM/DISA-OFDFNS 00322/2019; 5) O estudo identifica duas notificações já deferidas sobre o poço tubular e a outorga de seu uso (Ofício 475/15-GAB/DIOUT/DRH/SEADS/2015), contudo não informa quanto providênicas a serem adotadas; 6) O estudo não apresenta histórico de portarias registradas junto à ANAC referentes ao Aeroporto e ao Município.</t>
  </si>
  <si>
    <t>Capítulo 4. Anexos 6 e 7 - Banco de Dados. 1) Em uma análise comparativa dos estudos apresentados, verifica-se que o relatório identifica, analisa e precifica um total de 26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</si>
  <si>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 xml:space="preserve">Anexo 2. Capítulo 6.  1) Em uma análise comparativa dos estudos apresentados, verifica-se que o relatório identifica e analisa um total de 3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</si>
  <si>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r>
      <t xml:space="preserve">Capítulos 3, 5 e 7. </t>
    </r>
    <r>
      <rPr>
        <i/>
        <sz val="11"/>
        <color rgb="FF0070C0"/>
        <rFont val="Times New Roman"/>
        <family val="1"/>
      </rPr>
      <t/>
    </r>
  </si>
  <si>
    <t>Capítulos 2 e 5. Anexos 2, 4, 5 , 8 e 9. 1) Não restou verificado no relatório análise do Plano de Zona de Proteção do Aeroporto e da Navegação Aérea (PBZPA e PZPANA); 2) O estudo não informa a existência de áreas degradadas no sítio aeroportuário; 3) O estudo não informou a ocorrência de arroios, áreas úmidas com características de banhado, açudes com contribuição de arroios/nascentes e locais com acúmulo regular de água, o que indica nascentes e implica em APPs; 4) O estudo não informa quanto à apresentação ou não de Plano de Manejo de Fauna do Aeroporto; 5)  O estudo não informa na análise do Plano Diretor do Aeroporto a necessidade de alteração na drenagem das faixas de pista e remoção de açude; 6) O estudo não apresenta informações detalhadas quanto à concessão de área em favor do Haras Old Friends.</t>
  </si>
  <si>
    <t>Capítulo 6. 1) O estudo não identifica áreas degradadas no sítio aeroportuário.</t>
  </si>
  <si>
    <t xml:space="preserve">Capítulo 9. </t>
  </si>
  <si>
    <t xml:space="preserve">Para o sistema TPS, apresenta a localização das edificações, informações dos componentes verificados em cada nível do TPS, com registros fotográficos e avaliação das condições observadas quando da visita. Instalações mecânicas de acesso tais como escadas rolantes, elevadores e pontes de embarque foram apresentadas, representadas em foto e avaliadas. O TPS 2 (Eduardinho) também foi objeto de visita e de avaliação das instalações. Meio fio, estacionamentos de veículos e vias de acesso foram apresentados, ilustrados e avaliados. Para o sistema de pistas, as áreas foram identificadas em mapa, as estruturas foram caracterizadas e avaliadas. Cada um dos 5 pátios de aeronaves do aeroporto é apresentado individualmente, com ilustrações, croqui de localização e avaliação das condições observadas no local. Para o sistema TECA são apresentadas as edificações, como se dá o processamento da carga, o estacionamento de veículos associado e o acesso viário. Para o sistema de aviação geral, a descrição dos hangares e pátios associados traz a área total de hangares e alguns registros fotográficos. Sobre as instalações administrativas e de manutenção, as áreas foram ilustradas, localizadas em croqui e avaliadas pelas condições apresentadas. Sobre o sistema de apoio às operações, as áreas foram apresentadas, caracterizadas, ilustradas em foto(s) e avaliadas. Boa descrição dos sistemas de infraestrutura básica (energia elétrica, água potável, TI, ar condicionado, etc). Apresenta ainda as infraestruturas de aeronáutica identificadas no aeroporto, com suas características e registros fotográficos. Foram apresentadas ainda algumas instalações gerais não citadas pelos demais grupos: área de fumigação, área de guarda de bens de litígio da VASP e aquário de tartarugas. A localização de cada componente de sistema é apresentada satisfatoriamente no caderno de plantas (Situação atual). </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</si>
  <si>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Na avaliação da capacidade das pistas de táxi, leva em consideração parâmetros geométricos das aeronaves que utilizam a infraestrutura e largura das pistas.</t>
  </si>
  <si>
    <t>A avaliação de capacidade do pátio é apenas um levantamento das posições de pátio existentes. Não são considerados todos os pátios na análise. Não são consideradas as diferentes configurações possíveis. Não há cálculo para a capacidade dinâmica. Há um levantamento da área destinada a equipamento de rampa, mas não apresenta cálculo de capacidade.</t>
  </si>
  <si>
    <t>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A modelagem não contempla a quitação dos financiamentos obtidos para a realização de investimentos na infraestrutura aeoportuária dentro do prazo contratual.
Não apresenta Provisão Estimada para Créditos de Liquidação Duvidosa (PECLD). 
A estrutura de crédito apresentada para o projeto é simplória não levando em consideração instrumentos de financiamento como as debêntures incentivadas, conforme diretriz emanada da SAC.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</si>
  <si>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 xml:space="preserve">Capítulos 3 e 4. Anexo 1. 1) O estudo deixa de listar autos de infração e alguns processos de irregularidade sanitária do aeroporto perante a ANVISA; 2) O estudo deixa de listar e analisar o Auto de Infração nº 003281/2018, objeto do processo 00065.004561/2018-61 junto à ANAC; 4) O estudo deixa de listar e trazer informações quanto aos autos de infração emitidos pela Prefeitura Municipal de Manaus AI nº 023611 e pelo IPAAM AI nº 007928; 5) O Estudo não informa da existência de processos judiciais sob temática ambiental (Ex. regularização de áreas, desapropriações, reintegração de posse), o que possui relação tanto com análise de regularidade ambiental e de análise em relação ao uso do solo no aeroporto. </t>
  </si>
  <si>
    <t xml:space="preserve">Capítulos 2 e 3. 1) O estudo não apresenta histórico completo de licenças de ampliação emitidas para o aeroporto; 2) O estudo não identificou a existência do Ofício 106/2019/IPAAM-DT de 17 de janeiro de 2019, que autoriza a supressão de cobertura vegetal no aeroporto; 3) O estudo em que pese listar autos de infração e alguns processos de irregularidade sanitária do aeroporto perante a ANVISA não apresenta a situação atual dos mesmos; 4) Não foram identificadas informações quanto aos contratos comerciais vigentes, cujas características das atividades desevolvidas são passíveis de licenciamento, cabendo ao novo operador o acompanhamento; 5) O Estudo não informa da existência de processos judiciais sob temática ambiental (Ex. regularização de áreas, desapropriações, reintegração de posse).  </t>
  </si>
  <si>
    <t>Capítulos 2, 3 e 5. 1) Estudo não apresenta histórico e caracterísitcas do aeroporto; 2) O estudo não apresenta histórico completo das Licenças emitidas para o Aeroporto; 3) Estudo não analisa de forma completa as exigências técnicas das licenças emitidas, bem como os respectivos status; 4)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O estudo não informa a situação das Licenças Ambientais das Concessionárias atuantes no Aeroporto; 6) O estudo não avalia a existência de processos e autos de infração emitidos pela ANAC; 7) O Estudo não informa da existência de processos judiciais sob a temática ambiental (Ex. regularização de áreas, desapropriações, reintegração de posse), o que possui relação com análise de regularidade ambiental e de análise em relação ao uso do solo no aeroporto; 8) Não foram identificadas informações quanto aos contratos comerciais vigentes, cujas características das atividades desevolvidas são passíveis de licenciamento, cabendo ao novo operador o acompanhamento.</t>
  </si>
  <si>
    <t>Capitulos 4 e 5. 1) O estudo não apresenta histórico de licenças de ampliação emitidas para o aeroporto; 2) O estudo em que pese listar autos de infração e alguns processos de irregularidade sanitária do aeroporto perante a ANVISA não apresenta a situação atual dos mesmos; 3) O estudo deixa de listar e analisar o Auto de Infração nº 003281/2018, objeto do processo 00065.004561/2018-61 junto à ANAC; 4) O estudo deixa de listar e trazer informações quanto aos autos de infração emitidos pela Prefeitura Municipal de Manaus AI nº 023611 e pelo IPAAM AI nº 007928; 5) Não foram identificadas informações quanto aos contratos comerciais vigentes, cujas características das atividades desevolvidas são passíveis de licenciamento, cabendo ao novo operador o acompanhamento.</t>
  </si>
  <si>
    <t xml:space="preserve">Capítulo 4. Anexos 6 e 7. 1) Em uma análise comparativa dos estudos apresentados, verifica-se que o relatório identifica, analisa e precifica um total de 26 passivos ambientais. O relatório analisa de forma segmentada os passivos por: i) localização; ii) categoria; iii) origem; iv) aspectos; v) nível de risco; vi) dinâmica atual; e vi) área. No entanto, não indentifica, analisa e precifica todos os passivos ambientais para o aeroporto.3) Em que pese ter identificado ocupação irregular no sítio aeroportuário e a necessidade de reintegração dessa área ocupada (item 5.2), o relatório carece de informaçõs precisas sobre o assunto. Por exemplo, ao tempo que informa não ter obtido o número do processo judicial de reintegração de posse (item 5.2), informa que a Infraero perdeu a ação em primeira instância e que o processo está em grau de recurso (quadro 6-4), arbirando assim um valor de  R$ 1.547.510,95, a título de custo deste passivo, para que o novo operador possa dar continuidade ao processo. </t>
  </si>
  <si>
    <t>Capítulo 4. Anexos 6 e 7 - Banco de Dados. 1) Em uma análise comparativa dos estudos apresentados, verifica-se que o relatório identifica, analisa e precifica um total de 52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</si>
  <si>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3 e 8. 1) Em uma análise comparativa dos estudos apresentados, verifica-se que o relatório identifica e analisa um total de 18 passivos ambientais; 2) Não restou identificado custos específicos em relação aos passivos ambientais apresentados; 3) O relatório analisa de forma segmentada os passivos por: i) localização; ii) área especionada; iii) classificação; e iv) significância. No entanto, não indentifica, analisa e precifica todos os passivos ambientais para o aeroporto.</t>
  </si>
  <si>
    <t xml:space="preserve">Anexo 2. Capítulo 6.  1) Em uma análise comparativa dos estudos apresentados, verifica-se que o relatório identifica e analisa um total de 4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</si>
  <si>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2, 4 e 5. 1) Não há informações detalhadas quanto à utilização de alternativas ao projeto escolhido; 2) O estudo é muito conceitual ao indicar as legislações, porém, muitas vezes sem fazer uma análise de aplicação dessas ao aeroporto. 3) O estudo não identifica a disponibilidade de eventuais fornecedores de insumos e matérias primas necessárias para a implantação do Plano de Desenvolvimeno escolhido, que possui influência direta no custo da implantação; 4) O estudo não identifica locais de destinação de resíduos gerados na obra de ampliação.</t>
  </si>
  <si>
    <t xml:space="preserve">Capítulo 4. 1) O estudo apresenta descrição de medidas preventivas e mitigadoras dos planos propostos, sem, contudo, apresentar informações-recomendações para a implantação de um Sistema de Gestão Aeroportuária (SGA), seguindo a padronização da NBR ISO 14.001-2015. </t>
  </si>
  <si>
    <t xml:space="preserve">Capítulo 3, 5 e 7. 1) O relatório não considera na análise do uso do solo, a Lei Municipal nº 671 de 04/11/2002 que dispõe sobre o Plano Diretor Urbano e Abiental da Cidade de Manaus e Lei nº 1.838, de 16 de janeiro de 2014, que dispõe sobre as normas de uso e ocupação do solo no Município de Manaus. </t>
  </si>
  <si>
    <t>Capítulos 2 e 5. Anexos 2, 4, 5 , 8 e 9. 1) Não restou verificado no relatório análise do Plano de Zona de Proteção do Aeroporto e da Navegação Aérea (PBZPA e PZPANA); 2) O estudo não identifica os títulos minerários emitidos no sítio e no entorno imediato do Aeroporto, que demandará providências por parte do futuro operador.</t>
  </si>
  <si>
    <t>Capítulos 2 e 5. 1) Não restou identificada análise do Plano de Zoneamento de Ruído e das curvas de ruído atual e projetada; 2) O relatório informa da existênica de legislações Municipais que dispõem sobre o Plano Diretor do Município e sobre o Uso e Ocupação do Solo, sem, contudo, analisar tais ordenamentos legais face as intervenções e plano de desenvolvimento do aeroporto. 3) Não restou verificado no estudo, análise do Plano de Zona de Proteção do Aeroporto e da Navegação Aérea (PBZPA e PZPANA);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 6) O estudo não identifica os títulos minerários emitidos no sítio e no entorno imediato do Aeroporto, que demandará providências por parte do futuro operador.</t>
  </si>
  <si>
    <t>Capítulo 6. 1) O estudo não identifica os títulos minerários emitidos no sítio e no entorno imediato do Aeroporto, que demandará providências por parte do futuro operador.</t>
  </si>
  <si>
    <t>Capítulo 5. 1) Não restou identificado no estudo, cronograma para o licenciamento ambiental do empreendimento, principalmente considerando o plano de desenvolvimento para o aeropoto.</t>
  </si>
  <si>
    <t>Capítulo 6. 1) Não restou identificado custos individuais dos passivos ambientais; 2) O estudo não precifica alguns custos relacionados ao projeto (ex. Taxa de Controle de Fiscalização Ambiental (TCFA) que deverá ser paga pelo futuro operador); 3) O estudo não apresenta custos previstos para elaboração do Plano Básico de Proteção de Aeródromos – PBZPA, do Plano de Zona de Proteção de Auxílios à Navegação Aérea – PZPANA e do Plano de Ruído (PZR/PEZR), necessários para o aeroporto considerando o projeto apresentado; 4) Considerando a não identificação de todos os passivos ambientais no aeroporto, o estudo deixa de apresentar seus respectivos custos.</t>
  </si>
  <si>
    <t>Capítulo 10. Anexo 3. 1) O estudo não apresenta custos previstos para elaboração do Plano Básico de Proteção de Aeródromos – PBZPA, do Plano de Zona de Proteção de Auxílios à Navegação Aérea – PZPANA e do Plano de Ruído (PZR/PEZR), necessários para o aeroporto considerando o projeto apresentado; 2)  Considerando a não identificação de todos os passivos ambientais no aeroporto, o estudo deixa de apresentar seus respectivos custos.</t>
  </si>
  <si>
    <t xml:space="preserve">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t>
  </si>
  <si>
    <t>_Análise insuficiente em relação à inserção na malha local e à forma de acesso dos passageiros ao aeroporto.
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t>
  </si>
  <si>
    <t>_RI única delimitada para serviços com diferentes alcances (carga, pax comercial, AG).
_RI considerada na projeção de demanda (RID) é subdimensionada, tendo em vista que, conforme análise de OD real do BQV, há usuários do aeroporto fora da RID.</t>
  </si>
  <si>
    <t>_RI única delimitada para serviços com diferentes alcances (carga, pax comercial, AG)
_RI considerada na projeção de demanda (REGIC) é subdimensionada, tendo em vista que, conforme análise de OD real do BQV, há usuários do aeroporto fora da RI do REGIC.
_Análise limitada de aspectos relacionados ao turismo.
_Buscou-se ampliar RI por um "Modelo Gravitacional:", no entanto não se utiliza o resultado para projeção.</t>
  </si>
  <si>
    <t xml:space="preserve">_não projeta o tempo de permanência da aeronave no pátio
_Figura 6-20 cita mensal do título e apresenta dado anual.
</t>
  </si>
  <si>
    <t>_não projeta o tempo de armazenagem da carga.
_não destaca da projeção de cargas importação/exportação aquelas em trânsito aduaneiro.
_não projeta passageiros de bordo (escala), com implicações p/ projeção de movimento de aeronaves.</t>
  </si>
  <si>
    <t>_não projeta o tempo de armazenagem da carga.
_não destaca da projeção de cargas importação/exportação aquelas em trânsito aduaneiro.
_não projeta passageiros de bordo (escala), com implicações p/ projeção de movimento de aeronaves.
_não projeta o tempo de permanência da aeronave no pátio.</t>
  </si>
  <si>
    <t>_não é abordada no relatório a existência de eventuais restrições de ordem ambiental.
_ausência de análise de restrição de rotas potenciais em função de restrições operacionais da PPD (comprimento da PPD x alcance das rotas).
_ausência de análise de eventuais restrições sobre a demanda projetada de processamento de cargas.</t>
  </si>
  <si>
    <t xml:space="preserve">Apresenta coleção de informações obtidas para os componentes dos sistemas de pistas e pátios, incluindo vias de serviço e equipamentos de rampa. A tabela 2 do Apendice 1A apresenta breve registro fotográfico de algumas estruturas: pátio, uma das cabeceiras, um dos papi, localizer (com legenda de "glyde") e lateral da faixa de pista. Não foi localizada avaliação das condições dos sistema de pistas verificadas no local.  Na apresentação do sistema de gerenciamento de tráfego aéreo constam informações das estruturas que prestam serviços de tráfego aéreo e auxílios à navegação aérea. Para o sistema terminal de passageiros são apresentados: as plantas dos pavimentos com itens não identificados (caderno de plantas), os componentes do sistema, o principal acesso viário e suscinta caracterização do estacionamento de veículos principal. Os sistemas terminal de cargas, de aviação geral, de administração e manutenção, de apoio bem como o sistema das companhias aéreas são apresentados brevemente. O mesmo é verificado para o sistema industrial de apoio, sistema de infraestrutura básica e sistema comercial externo. Algumas infraestruturas constantes na Planta de Situação Atual do aeroporto não permitem sua identificação (sem legenda).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</si>
  <si>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Para o sistema TPS, apresenta a localização das edificações, informações dos componentes verificados em cada nível do TPS, com registros fotográficos e avaliação das condições observadas quando da visita. Instalações mecânicas de acesso tais como os corredores de acesso (sistema ELO), esteiras e pontes de embarque foram apresentadas, representadas em foto e avaliadas. Meio fio, estacionamentos de veículos e vias de acesso foram apresentados, ilustrados e avaliados. Para o sistema de pistas, as áreas foram identificadas em mapa, as estruturas foram caracterizadas e avaliadas. O Pátio de aeronaves do aeroporto (Pátio 1: aviação regular e geral) é apresentado com ilustrações, croqui de localização e avaliação das condições observadas no local. Para o sistema TECA (concedido a Azul) são apresentadas as instalações e o estacionamento de veículos associado bem como o acesso viário. Para o sistema de aviação geral os hangares e pátios associados são descritos. São apresentadas as áreas e alguns registros fotográficos. Sobre as instalações administrativas e de manutenção, as áreas encontram-se representadas em foto e avaliadas pelas condições apresentadas. Sobre o sistema de apoio às operações, as instalações foram apresentadas, caracterizadas, ilustradas em foto(s) e avaliadas. Breve descrição dos sistemas de apoio às companhias aéreas, com ilustrações e avaliação das instalações. Boa descrição dos sistemas de infraestrutura básica (energia elétrica, água potável, TI, ar condicionado, etc). Apresenta ainda as infraestruturas de aeronáutica identificadas no aeroporto, com suas características e registros fotográficos. A localização de cada componente de sistema é apresentada satisfatoriamente no caderno de plantas (Situação atual). Foi identificada divergência do valor da faixa de pista na tabela 1-8 bem como do número de balcões de check-in (tabela 1-3 e item 1.1.1.2.2).</t>
  </si>
  <si>
    <t>Explica a metodologia utilizada na análise de capacidade da PPD. Não apresenta referência ou justificativa para algumas das considerações adotadas. Apresenta planilha em anexo com o detalhamento dos cálculos, considerações e resultados. Não foi possível identificar todas saídas de pista consideradas no cálculo.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Na avaliação da capacidade das pistas de táxi, leva em consideração parâmetros geométricos das aeronaves que utilizam a infraestrutura e largura das pistas.</t>
  </si>
  <si>
    <t>A metodologia para cálculo da capacidade da PPD é apresentada em Apêndice do Relatório de Estudo de Mercado, mas não há resultados calculados. A planilha referente a dimensionamento aeroportuário traz algumas informações, mas há inconsistências no que diz respeito à capacidade da PPD. A avaliação quanto à adequabilidade do componente baseia-se em dado publicizado pelo CGNA.  Não avalia a capacidade instalada das pistas de táxi.</t>
  </si>
  <si>
    <t>Capítulos 3 e 4. Anexo 1. 1) O Estudo não informa da existência de processos judiciais sob temática ambiental; 2) O estudo não identifica todos os processos e notificações para o aeroporto (Ex. COMAER e COLMAMP).</t>
  </si>
  <si>
    <t>Capítulos 2 e 3. 1) O estudo não apresenta histórico completo de licenças de ampliação emitidas para o aeroporto; 2) O estudo não identifica todos os processos/autos de infração junto à ANVISA e ANAC; 3) Não foram identificadas informações quanto aos contratos comerciais vigentes, cujas características das atividades desevolvidas são passíveis de licenciamento, cabendo ao novo operador o acompanhamento; 4) O Estudo não informa da existência de processos judiciais sob temática ambiental; 5) O estudo não identifica todos os processos e notificações para o aeroporto (Ex. COMAER e COLMAMP).</t>
  </si>
  <si>
    <t>Capítulos 2, 3 e 5. 1) Estudo não apresenta histórico e caracterísitcas do aeroporto; 2) O estudo não apresenta histórico completo das Licenças emitidas para o Aeroporto; 3) Estudo não analisa de forma completa as exigências técnicas das licenças emitidas, bem como os respectivos status; 4)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O estudo não informa a situação das Licenças Ambientais das Concessionárias atuantes no Aeroporto; 6) O Estudo não informa a existência de todos os processos e notificações para o Aeroporto (Ex. Apenas dois processos judiciais e COLMAMP). 7) Não foram identificadas informações quanto aos contratos comerciais vigentes, cujas características das atividades desevolvidas são passíveis de licenciamento, cabendo ao novo operador o acompanhamento; 8) O estudo não apresenta informações relativas ao  cumprimento das condicionantes da LO vigente.</t>
  </si>
  <si>
    <t>Capitulos 4 e 5. 1) O estudo não apresenta histórico de licenças de ampliação emitidas para o aeroporto; 2) O estudo em que pese listar autos de infração e alguns processos de irregularidade sanitária do aeroporto perante a ANVISA não apresenta a situação atual dos mesmos; 3) O estudo não identifica todos os processos e notificações para o aeroporto (Ex. COMAER).</t>
  </si>
  <si>
    <t>Capítulo 4. Anexos 6 e 7. 1) Em uma análise comparativa dos estudos apresentados, verifica-se que o relatório identifica, analisa e precifica um total de 24 passivos ambientais. O relatório analisa de forma segmentada os passivos por: i) localização; ii) categoria; iii) origem; iv) aspectos; v) nível de risco; vi) dinâmica atual; e vi) área. No entanto, não indentifica, analisa e precifica todos os passivos ambientais para o aeroporto.</t>
  </si>
  <si>
    <t>Capítulo 4. Anexos 6 e 7. 1) Em uma análise comparativa dos estudos apresentados, verifica-se que o relatório identifica, analisa e precifica um total de 36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</si>
  <si>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3 e 8. 1) Em uma análise comparativa dos estudos apresentados, verifica-se que o relatório identifica e analisa um total de 13 passivos ambientais; 2) Não restou identificado custos específicos em relação aos passivos ambientais apresentados; 3) O relatório analisa de forma segmentada os passivos por: i) localização; ii) área especionada; iii) classificação; e iv) significância. No entanto, não indentifica, analisa e precifica todos os passivos ambientais para o aeroporto.</t>
  </si>
  <si>
    <t>Anexo 2. Capítulo 6.  1) Em uma análise comparativa dos estudos apresentados, verifica-se que o relatório identifica, analisa e precifica um total de 35 passivos ambientais. O relatório analisa de forma segmentada os passivos por: i) localização; ii) tipo; iii) responsável; iv) criticidade; v) situação; e iv) dimensão. No entanto, não indentifica, analisa e precifica todos os passivos ambientais existentes no aeroporto; 2) O estudo não precifica os passivos de forma individualizada, sendo orçado apenas o valor total para recuperação/remediação dos passivos.</t>
  </si>
  <si>
    <t>Capítulos 2, 5 e 7. 1) O estudo não identifica a disponibilidade de eventuais fornecedores de insumos e matérias primas necessárias para a implantação do Plano de Desenvolvimeno escolhido, o que possui influência direta no custo da implantação; 2) O estudo não identifica locais de destinação de resíduos gerados na obra de ampliação; 3) O estudo apresenta e analisa apenas quatro critérios sócioambientais para o plano de desevovimento proposto, o que não incorpora todos os componentes e restrições ambientais presentes no aeroporto.</t>
  </si>
  <si>
    <t>Capítulos 6, 7 e 8. 1) O estudo não identifica a disponibilidade de eventuais fornecedores de insumos e matérias primas necessárias para a implantação do Plano de Desenvolvimeno escolhido, que possui influência direta no custo da implantação; 2) O estudo não identifica locais de destinação de resíduos gerados na obra de ampliação; 3) O estudo apresenta e analisa apenas sete critérios sócioambientais para o plano de desevovimento proposto, o que não incorpora todos os componentes e restrições ambientais presentes no aeroporto.</t>
  </si>
  <si>
    <t>Capítulo 6. 1) Não restou verificado no estudo, análise do Plano de Zona de Proteção do Aeroporto e da Navegação Aérea (PBZPA e PZPANA) considerando o projeto de desenvovimento proposto.</t>
  </si>
  <si>
    <t>Capítulo 8. Anexo 11 e 12. 1) O estudo deixa de apresentar custos previstos para elaboração do Plano Básico de Proteção de Aeródromos – PBZPA e do Plano de Zona de Proteção de Auxílios à Navegação Aérea – PZPANA, necessários para o aeroporto considerando o planejamento; 2) Considerando a não identificação de todos os passivos ambientais no aeroporto, o estudo deixa de apresentar seus respectivos custos.</t>
  </si>
  <si>
    <t>Capítulo 6. 1) Não restou identificado custos individuais dos passivos ambientais; 2) O estudo não precifica alguns custos relacionados ao projeto (ex. Taxa de Controle de Fiscalização Ambiental (TCFA) que deverá ser paga pelo futuro operador); 3) O estudo não apresenta custos previstos para elaboração do Plano Básico de Proteção de Aeródromos – PBZPA, do Plano de Zona de Proteção de Auxílios à Navegação Aérea – PZPANA e do Plano de Ruído (PZR/PEZR), necessários para o aeroporto considerando o planejamento; 4) Considerando a não identificação de todos os passivos ambientais no aeroporto, o estudo deixa de apresentar seus respectivos custos.</t>
  </si>
  <si>
    <t>Capítulo 10. Anexo 3. 1) O estudo não apresenta custos previstos para elaboração do Plano Básico de Proteção de Aeródromos – PBZPA, do Plano de Zona de Proteção de Auxílios à Navegação Aérea – PZPANA e do Plano de Ruído (PZR/PEZR), necessários para o aeroporto considerando o planejamento; 2) Considerando a não identificação de todos os passivos ambientais no aeroporto, o estudo deixa de apresentar seus respectivos custos.</t>
  </si>
  <si>
    <t xml:space="preserve">_Análise simplificada em relação à inserção na malha local.
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_Não utilizou dados para caracterizar a forma de acesso dos passageiros ao aeroporto (BQV ou PSP)
</t>
  </si>
  <si>
    <t xml:space="preserve">Apresenta coleção de informações obtidas para os componentes dos sistemas de pistas e pátios, incluindo vias de serviço e equipamentos de rampa. A tabela 2 do Apendice 1A apresenta breve registro fotográfico de algumas estruturas: uma de pátio, uma das cabeceiras, um dos papi, localizer (com legenda de "glyde") e lateral da faixa de pista. Não foi localizada avaliação das condições dos sistema de pistas verificadas no local.  Na apresentação do sistema de gerenciamento de tráfego aéreo constam informações das estruturas que prestam serviços de tráfego aéreo e auxílios à navegação aérea. Para o sistema terminal de passageiros são apresentados: as plantas dos pavimentos (caderno de plantas), os componentes do sistema, o principal acesso viário e suscinta caracterização do estacionamento de veículos principal. Não apresenta avaliação das condições verificadas em visita para nenhum dos componentes internos ao TPS, apesar dos diversos registros fotográficos constantes no Apendice 1A. Os sistemas de aviação geral, de administração e manutenção, de apoio bem como o sistema das companhias aéreas são apresentados brevemente. O mesmo é verificado para o sistema industrial de apoio, sistema de infraestrutura básica e sistema comercial externo.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</si>
  <si>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 xml:space="preserve">Para o sistema TPS, apresenta a localização das edificações, informações dos componentes verificados em cada nível do TPS, com registros fotográficos e avaliação das condições observadas quando da visita. Instalações mecânicas de acesso tais como escadas rolantes e elevadores foram apresentadas, representadas em foto e avaliadas. Meio fio, estacionamentos de veículos e vias de acesso foram apresentados, ilustrados e avaliados satisfatoriamente. Para o sistema de pistas, as áreas foram identificadas em mapa, as estruturas foram caracterizadas e avaliadas. O Pátio de aeronaves do aeroporto (Pátio 1: aviação regular e geral) é apresentado com ilustrações, croqui de localização e avaliação das condições observadas no local. A configuração das posições no pátio 1 (principal) para aviação geral diverge em parte da carta PDC. Também são apresentados e avaliados os equipamentos de rampa e as vias de serviço. Para o sistema de aviação geral os hangares, pátios associados e sistema viário de acesso são descritos e localizados. São apresentadas as áreas e alguns registros fotográficos bem como apontadas as condições verificadas. Sobre as instalações administrativas e de manutenção, as áreas encontram-se representadas em foto e avaliadas pelas condições apresentadas. Sobre o sistema de apoio às operações, as instalações foram apresentadas, caracterizadas e ilustradas em foto(s). Boa descrição dos sistemas de infraestrutura básica (energia elétrica, água potável, TI, ar condicionado, etc). Apresenta ainda as infraestruturas de aeronáutica identificadas no aeroporto, com suas características e registros fotográficos. A localização de cada componente de sistema é apresentada satisfatoriamente no caderno de plantas (Situação atual). </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</si>
  <si>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Não apresenta comparação com valor de capacidade declarado. A comparação de capacidade instalada com demanda é apresentada no item de desenvolvimento do sítio aeroportuário. Avalia as capacidades das pistas de táxi para a respectiva aeronave crítica considerada. Na avaliação da capacidade das pistas de táxi, leva em consideração parâmetros geométricos das aeronaves que utilizam a infraestrutura e largura das pistas.</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</si>
  <si>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2.3.2 informa equivocadamente que o aeroporto é Classe I até 2030. Na tabela 2-27, que apresenta as necessidades futuras dos principais sistemas do aeroporto, há inconsistência nas informações apresentadas para o Sistema Terminal de Passageiros e para o Sistema Terminal de Carga.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Para o sistema de pátios, é considerada uma capacidade atual incompatível com as informações apresentadas na avaliação das instalações existentes e na avaliação da capacidade instalada.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</si>
  <si>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O item 3.5 apresenta alguns detalhes do anteprojeto de engenharia proposto. Há inconsistência nas informações apresentadas na tabela 3.51 com relação à configuração da PPD após intervenções. Para alguns dos componentes avaliados, identifica que não há necessidade de ampliação, mas não apresenta comparação entre área requerida, conforme identificado anteriormente, e área atualmente disponibilizada. Não apresenta comparação entre áeas requeridas, considerando a demanda, e áreas disponibilizadas na implantação final. </t>
  </si>
  <si>
    <t xml:space="preserve">Capítulos 3 e 4. Anexo 1. 1) O Estudo não identifica Licenças de Operações emitidas para empresas Concessionárias; 2) O estudo não identifica processo administrativo em curso junto ao MPF; 3) O Estudo não informa da existência de processos judiciais sob temática ambiental (Ex. regularização de áreas, desapropriações, reintegração de posse).  </t>
  </si>
  <si>
    <t xml:space="preserve">Capítulos 2 e 3. 1) O Estudo não identifica Licenças de Operações emitdas para empresas Concessionárias; 2) Não foram identificadas informações quanto aos contratos comerciais vigentes, cujas caracterídticas das atividades desevolvidas são passíveis de licenciamento, cabendo ao novo operador o acompanhamento; 3) O estudo não identifica todos os processos/autos de infração junto à ANVISA; 4) Em que pese informar processos/autos de infração existentes para o aeroporto (Ex. ANVISA e MPF), o estudo não traz informações completas quanto aos respectivos status; 5) O Estudo não informa da existência de processos judiciais sob temática ambiental (Ex. regularização de áreas, desapropriações, reintegração de posse).  </t>
  </si>
  <si>
    <t xml:space="preserve">Capítulos 2, 3 e 5. 1) O estudo não apresenta histórico do aeroporto; 2) O estudo  não realiza análise de forma completa das condicionantes e status relativos às licenças ambientais; 3) Em que pese informar processos/autos de infração existentes para o aeroproto, o estudo não traz informações completas quanto ao seu status (ANVISA, ANAC e MPF); 4) O Estudo não identifica Licenças de Operações emitdas para empresas Concessionárias; 5) Não foram identificadas informações quanto aos contratos comerciais vigentes, cujas caracterídticas das atividades desevolvidas são passíveis de licenciamento, cabendo ao novo operador o acompanhamento; 7) O Estudo não informa da existência de processos judiciais sob temática ambiental (Ex. regularização de áreas, desapropriações, reintegração de posse).  </t>
  </si>
  <si>
    <t>Capitulos 4 e 5. 1) O estudo não apresenta histórico de licenças emitidas para o aeroporto (anos 2007, 2008, 2009 etc); 2) O estudo apresenta informações incompletas quanto às condicionantes da LO nº 148/2016 o respectivo status e observações pertinentes; 3) Não foram identificadas informações quanto aos contratos comerciais vigentes, cujas caracterídticas das atividades desevolvidas são passíveis de licenciamento, cabendo ao novo operador o acompanhamento; 4) O estudo não identifica processo administrativo em curso junto ao MPF; 5) Em que pese informar processos/autos de infração existentes para o aeroporto (Ex. ANVISA), o estudo não traz informações completas quanto aos respectivos status.</t>
  </si>
  <si>
    <t>Capítulos 5 e 6. Anexo 3. 1) O estudo não apresenta informações quanto à existência de Convênio para abastecimento de água do Aeroporto.</t>
  </si>
  <si>
    <t>Capítulo 4. Anexos 6 e 7. 1) Em uma análise comparativa dos estudos apresentados, verifica-se que o relatório identifica, analisa e precifica um total de 19 passivos ambientais. O relatório analisa de forma segmentada os passivos por: i) localização; ii) categoria; iii) origem; iv) aspectos; v) nível de risco; vi) dinâmica atual; e vi) área. No entanto, não indentifica, analisa e precifica todos os passivos ambientais para o aeroporto.</t>
  </si>
  <si>
    <t>Capítulo 4. Anexos 6 e 7. 1) Em uma análise comparativa dos estudos apresentados, verifica-se que o relatório identifica, analisa e precifica um total de 43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</si>
  <si>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Anexo 2. Capítulo 6.  1) Em uma análise comparativa dos estudos apresentados, verifica-se que o relatório identifica, analisa e precifica um total de 14 passivos ambientais. O relatório analisa de forma segmentada os passivos por: i) localização; ii) tipo; iii) responsável; iv) criticidade; v) situação; e iv) dimensão. No entanto, não indentifica, analisa e precifica todos os passivos ambientais existentes no aeroporto; 2) O estudo não precifica os passivos de forma individualizada, sendo orçado apenas o valor total para recuperação/remediação dos passivos.</t>
  </si>
  <si>
    <t xml:space="preserve">Capítulos 2 e 5. Anexos 2, 4, 5 , 8 e 9. 1) O estudo Não restou verificado no relatório análise do Plano de Zona de Proteção do Aeroporto e da Navegação Aérea (PBZPA e PZPANA). </t>
  </si>
  <si>
    <t xml:space="preserve">Capítulos 2 e 5. 1) Não restou identificada análise do Plano de Zoneamento de Ruído e das curvas de ruído atual e projetada; 2) O relatório informa da existênica de legislações aplicáveis, sem, contudo, analisar tais ordenamentos legais face as intervenções e plano de desenvolvimento do aeroporto; 3) Não restou verificado no estudo, análise do Plano de Zona de Proteção do Aeroporto e da Navegação Aérea (PBZPA e PZPANA);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 </t>
  </si>
  <si>
    <t>Capítulo 10. Anexo 3. 1) O estudo não apresenta custos previstos para elaboração do Plano Básico de Proteção de Aeródromos – PBZPA, do Plano de Zona de Proteção de Auxílios à Navegação Aérea – PZPANA e do Plano de Ruído (PZR/PEZR),  necessários para o aeroporto considerando o projeto apresentado; 2) Considerando a não identificação de todos os passivos ambientais no aeroporto, o estudo deixa de apresentar seus respectivos custos.</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</si>
  <si>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Na tabela 2-29, que apresenta as necessidades futuras dos principais sistemas do aeroporto, há inconsistência nas informações apresentadas para o Sistema Terminal de Carga, quando comparado com as informações apresentadas na avaliação da capacidade instalada.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ampliações/reduções nas capacidades (obras).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Além disso, também há inconsistência entre as duas informações sobre a demanda de posições para o Pátio de Aviação Geral. O item 2.7 apresenta detalhes do anteprojeto de engenharia proposto para o aeroporto, segregado em 8 itens (dispostos nos subitens do item 2.7).</t>
  </si>
  <si>
    <t xml:space="preserve">O item 3.2 apresenta a metodologia utilizada no dimensionamento e as necessidades futuras do aeroporto, estimadas a partir da projeção de demanda. A tabela 3.46 resume as necessidades futuras identificadas. Nessa tabela, há inconsistência na informação a respeito da necessidade de posições no pátio de aeronaves de passageiros quando comparado com a projeção de demanda apresentada na tabela 3.15.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calibração de auxílios em função do deslocamento de cabeceira e que adições não serão necessárias, mas não há detalhamento. Além disso, o aeroporto só possui PAPI na cabeceira 28 e a cabeceira 10 é a única deslocada.  Para alguns dos componentes avaliados, identifica que não há necessidade de ampliação, mas não apresenta comparação entre área requerida, conforme identificado anteriormente, e área atualmente disponibilizada. Não apresenta comparação entre áeas requeridas, considerando a demanda, e áreas disponibilizadas na implantação final. </t>
  </si>
  <si>
    <t xml:space="preserve">Capítulos 3 e 4. Anexo 1. 1) O estudo não apresenta um histório completo do licencimento do Aeroporto (Ex. LO Nº 025/07 / LO-201/2008; LAR Nº 25/2013); 2) O estudo não identifica a existência de Licenças Ambientais emitidas em favor das concessionárias do aeroporto (Ex. LO nº 278/2018). </t>
  </si>
  <si>
    <t xml:space="preserve">Capítulos 2 e 3. 1) O estudo não identifica a existência de Licenças Ambientais emitidas em favor das concessionárias do aeroporto (Ex. LO nº 278/2018); 2) Não foram identificadas informações quanto aos contratos comerciais vigentes, cujas caracterídticas das atividades desevolvidas são passíveis de licenciamento, cabendo ao novo operador o acompanhamento;  3) O estudo não analisa a conformidade do Aeroporto perante à ANVISA e à ANAC;  </t>
  </si>
  <si>
    <t>Capítulos 2, 3 e 5. 1) O estudo não apresenta histórico do aeroporto; 2) O estudo  não realiza análise de forma completa das condicionantes e status relativos às licenças ambientais; 3) O estudo não identifica a existência de Licenças Ambientais emitidas em favor das concessionárias do aeroporto (Ex. LO nº 278/2018); 4) Não foram identificadas informações quanto aos contratos comerciais vigentes, cujas caracterídticas das atividades desevolvidas são passíveis de licenciamento, cabendo ao novo operador o acompanhamento; 5) O estudo não analisa a conformidade do Aeroporto perante à ANVISA e à ANAC; 6) O estudo não apresenta informações quanto à regularidade do Aeroporto no Cadastro Técnico Federal, emitido pelo Instituto Brasileiro do Meio Ambiente e Recursos Naturais Renováveis (IBAMA), bem como da necessidade da futura concessionária ter que se inscrever no Cadastro Federal e Estadual, bem como ter que pagar a Taxa de Controle de Fiscalização Ambiental (TCFA), o que deve ser refletido no Custo Socioambiental.</t>
  </si>
  <si>
    <t>Capitulos 4 e 5. 1) O estudo não apresenta histórico de licenças emitidas para o aeroporto (anos 2009, 2011); 2) Não foram identificadas informações quanto aos contratos comerciais vigentes, cujas caracterídticas das atividades desevolvidas são passíveis de licenciamento, cabendo ao novo operador o acompanhamento.</t>
  </si>
  <si>
    <t>Capítulo 4. Anexos 6 e 7. 1) Em uma análise comparativa dos estudos apresentados, verifica-se que o relatório identifica, analisa e precifica um total de 16 passivos ambientais. O relatório analisa de forma segmentada os passivos por: i) localização; ii) categoria; iii) origem; iv) aspectos; v) nível de risco; e, vi) dinâmica atual. No entanto, não indentifica, analisa e precifica todos os passivos ambientais para o aeroporto.</t>
  </si>
  <si>
    <t>Capítulo 4. Anexos 6 e 7. 1) Em uma análise comparativa dos estudos apresentados, verifica-se que o relatório identifica, analisa e precifica um total de 26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</si>
  <si>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3 e 8. 1) Em uma análise comparativa dos estudos apresentados, verifica-se que o relatório identifica e analisa um total de 9 passivos ambientais; 2) Não restou identificado custos específicos em relação aos passivos ambientais apresentados; 3) O relatório analisa de forma segmentada os passivos por: i) localização; ii) área especionada; iii) classificação; e iv) significância. No entanto, não indentifica, analisa e precifica todos os passivos ambientais para o aeroporto.</t>
  </si>
  <si>
    <t>Anexo 2. Capítulo 6.  1) Em uma análise comparativa dos estudos apresentados, verifica-se que o relatório identifica, analisa e precifica um total de 6 passivos ambientais. O relatório analisa de forma segmentada os passivos por: i) localização; ii) tipo; iii) responsável; iv) criticidade; v) situação; e iv) dimensão. No entanto, não indentifica, analisa e precifica todos os passivos ambientais existentes no aeroporto; 2) O estudo não precifica os passivos de forma individualizada, sendo orçado apenas o valor total para recuperação/remediação dos passivos.</t>
  </si>
  <si>
    <t>Capítulos 2 e 5. 1) Não restou identificada análise do Plano de Zoneamento de Ruído e das curvas de ruído atual e projetada; 2) O relatório informa da existênica de legislações Municipais que dispõem sobre o Plano Diretor do Município, Zoneamento Ecológico, sem, contudo, analisar tais ordenamentos legais face as intervenções e plano de desenvolvimento do aeroporto; 3) Não restou verificado no estudo, análise do Plano de Zona de Proteção do Aeroporto e da Navegação Aérea (PBZPA e PZPANA);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 6) O estudo não identifica os títulos minerários emitidos no sítio e no entorno imediato do Aeroporto, que demandará providências por parte do futuro operador.</t>
  </si>
  <si>
    <t>_premissas pouco fundamentadas para definição de aeroportos competidores
_análise de competição intermodal não é refletida nas projeções
_análise intermodal majoritariamente genérica, em poucos casos específica do aeroporto
_premissas pouco fundamentadas para definição de competição intermodal
_Cita trecho rodoviário Cruzeiro do Sul - Porto Alegre, bem como assentos oferecidos pelo model rodoviário. No entanto, não há comparação na análise intermodal com a referida cidade, uma vez que o aeroporto só oferece trechos para Rio Branco e Manaus.</t>
  </si>
  <si>
    <t xml:space="preserve">Apresenta coleção de informações obtidas para os componentes dos sistemas de pistas e pátios, incluindo vias de serviço e equipamentos de rampa. A tabela 2 do Apendice 1A apresenta breve registro fotográfico de algumas estruturas: pátio, papi, lateral da faixa de pista e outra sem legenda. Não foi localizada avaliação das condições dos sistema de pistas e pátios verificadas no local.  Na apresentação do sistema de gerenciamento de tráfego aéreo constam informações das estruturas que prestam serviços de tráfego aéreo e auxílios à navegação aérea. Para o sistema terminal de passageiros são apresentados: planta baixa do pavimento, os componentes do sistema com suas áreas e quantidades, o principal acesso viário e suscinta caracterização do estacionamento de veículos. São apresentados registros fotográficos das condições verificadas no Apêndice 1A. Os sistemas de administração e manutenção, de apoio bem como o sistema das companhias aéreas são apresentados brevemente. O mesmo é verificado para o sistema de infraestrutura básica.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</si>
  <si>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A comparação de capacidade instalada com demanda é apresentada no item de desenvolvimento do sítio aeroportuário. Avalia a capacidade da pista de táxi para a respectiva aeronave crítica considerada. Na avaliação da capacidade das pistas de táxi, leva em consideração parâmetros geométricos das aeronaves que utilizam a infraestrutura e largura da pista.</t>
  </si>
  <si>
    <t>Capítulos 3 e 4. Anexo 1. 1) O estudo não identifica a existência de todas as Licenças Ambientais emitidas em favor das concessionárias do aeroporto, listando apenas três.</t>
  </si>
  <si>
    <t xml:space="preserve">Capítulos 2 e 3. 1) O estudo não apresenta histórico completo de licenças de ampliação emitidas para o aeroporto; 2) O estudo em que pese listar autos de infração e alguns processos de irregularidade sanitária do aeroporto perante a ANVISA não apresenta a situação atual dos mesmos; 3) Não foram identificadas informações quanto aos contratos comerciais vigentes, cujas características das atividades desevolvidas são passíveis de licenciamento, cabendo ao novo operador o acompanhamento; 4) O Estudo não informa da existência de processos judiciais sob temática ambiental (Ex. regularização de áreas, desapropriações, reintegração de posse).  </t>
  </si>
  <si>
    <t xml:space="preserve">Capítulos 2, 3 e 5. 1) Estudo não apresenta histórico e caracterísitcas do aeroporto; 2) O estudo não apresenta histórico completo das Licenças emitidas para o Aeroporto; 3) Estudo não analisa de forma completa as exigências técnicas das licenças emitidas, bem como os respectivos status; 4)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O estudo não informa a situação das Licenças Ambientais das Concessionárias atuantes no Aeroporto; 6) O estudo não avalia a existência de processos e autos de infração emitidos pela ANAC; 7) O Estudo não informa todos os processos judiciais sob a temática ambiental (Ex. regularização de áreas, desapropriações, reintegração de posse), o que possui relação com análise de regularidade ambiental e de análise em relação ao uso do solo no aeroporto; 8) Não foram identificadas informações quanto aos contratos comerciais vigentes, cujas características das atividades desevolvidas são passíveis de licenciamento, cabendo ao novo operador o acompanhamento; 9) O estudo não apresenta informações quanto ao processo instaurado pelo MP sobre transito de indígenas e sobre a questão de conflito registrada pela IPAAM para supressão de árvores em área que se sobrepõe à terra indígena. </t>
  </si>
  <si>
    <t>Capitulos 4 e 5. 1)Não foram identificadas informações quanto aos contratos comerciais vigentes, cujas características das atividades desevolvidas são passíveis de licenciamento, cabendo ao novo operador o acompanhamento; 2) Em que pese informar processos/autos de infração existentes para o aeroporto (Ex. ANVISA), o estudo não traz informações completas quanto aos respectivos status;</t>
  </si>
  <si>
    <t>Capítulo 4. Anexos 6 e 7. 1) Em uma análise comparativa dos estudos apresentados, verifica-se que o relatório identifica, analisa e precifica um total de 22 passivos ambientais. O relatório analisa de forma segmentada os passivos por: i) localização; ii) categoria; iii) origem; iv) aspectos; v) nível de risco; e, vi) dinâmica atual. No entanto, não indentifica, analisa e precifica todos os passivos ambientais para o aeroporto.</t>
  </si>
  <si>
    <t>Capítulos 2 e 5. 1) Não restou identificada análise do Plano de Zoneamento de Ruído e das curvas de ruído atual e projetada; 2) O relatório informa da existênica de legislações Municipais que dispõem sobre o Plano Diretor do Município e sobre o Uso e Ocupação do Solo, sem, contudo, analisar tais ordenamentos legais face as intervenções e plano de desenvolvimento do aeroporto. 3) Não restou verificado no estudo, análise do Plano de Zona de Proteção do Aeroporto e da Navegação Aérea (PBZPA e PZPANA);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t>
  </si>
  <si>
    <r>
      <t xml:space="preserve"> 
Considera indevidamente recuperação de crédito PIS/COFINS sobre os gastos com pessoal. Ademais, não apresenta embasamento detalhado para a definicao da premissa de aproveitamento de créditos PIS/COFINS.
Traz uma análise demsasiadamente simplificada para as receitas comerciais identificando apenas as rubricas de concessões de áreas e combustiveis.
Não apresenta os efeitos da due dilligence dos contratos comerciais na projeção de receitas.
Os valores apresentados no Relatório financeiro ( Tabela 5-12) para ressarcimento dos estudos, condução do leilão e Programa de Adequação do Efetivo não condizem com os valores emanados de diretriz da SAC.
</t>
    </r>
    <r>
      <rPr>
        <strike/>
        <sz val="12"/>
        <rFont val="Times New Roman"/>
        <family val="1"/>
      </rPr>
      <t xml:space="preserve">
</t>
    </r>
  </si>
  <si>
    <t xml:space="preserve">_não projeta o tempo de permanência da aeronave no pátio
_Figura 6-19 cita mensal do título e apresenta dado anual.
_Projeção de Passageiros Domésticos em conexão não guarda coerência com a projeção de rotas domésticas.
</t>
  </si>
  <si>
    <t>_premissas pouco fundamentadas para definição de aeroportos competidores
_análise de competição intermodal não é refletida nas projeções
_análise intermodal majoritariamente genérica, em poucos casos específica do aeroporto
_premissas pouco fundamentadas para definição de competição intermodal
_Identificou-se incoerência nas informações constantes nos parágrafos do item "competição com aeroportos externos à RI de Tabatinga".</t>
  </si>
  <si>
    <t>_ O relatório apresenta o racional para projeção das receitas e as variáveis utilizadas como drivers de crescimento, mas não detalha como essas variáveis foram efetivamente utilizadas no cálculo e tampouco referencia anexos que contenham o detalhamento.
_ Não projeta receitas de estacionamento, muito embora o Relatório de Enganharia e Afins preveja expansão do número de vagas, e não justifica a ausência.</t>
  </si>
  <si>
    <r>
      <t xml:space="preserve">Considera indevidamente recuperação de crédito PIS/COFINS sobre os gastos com pessoal. Ademais, não apresenta embasamento detalhado para a definição da premissa de aproveitamento de créditos PIS/COFINS.
Traz uma análise demsasiadamente simplificada para as receitas comerciais identificando apenas as rubricas de concessões de áreas e combustíveis
Os valores apresentados no Relatório financeiro ( Tabela 5-12) para ressarcimento dos estudos, condução do leilão e Programa de Adequação do Efetivo não condizem com os valores emanados de diretriz da SAC.
</t>
    </r>
    <r>
      <rPr>
        <strike/>
        <sz val="12"/>
        <rFont val="Times New Roman"/>
        <family val="1"/>
      </rPr>
      <t xml:space="preserve">
</t>
    </r>
  </si>
  <si>
    <t xml:space="preserve">Capítulos 3 e 4. Anexo 1. 1) O Estudo não informa da existência de processos judiciais sob temática ambiental (Ex. regularização de áreas, desapropriações, reintegração de posse).   </t>
  </si>
  <si>
    <t>Capítulos 2, 3 e 5. 1) Estudo não apresenta histórico e caracterísitcas do aeroporto; 2) O estudo não apresenta histórico completo das Licenças emitidas para o Aeroporto; 3) Estudo não analisa de forma completa as exigências técnicas das licenças emitidas, bem como os respectivos status; 4)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O estudo não identifica a existência de Licenças Ambientais emitidas em favor das concessionárias do aeroporto; 6) O estudo não analisa a conformidade do Aeroporto perante à ANVISA e à ANAC; 7) O Estudo não informa da existência de processos judiciais sob a temática ambiental (Ex. regularização de áreas, desapropriações, reintegração de posse), o que possui relação com análise de regularidade ambiental e de análise em relação ao uso do solo no aeroporto; 8) Não foram identificadas informações quanto aos contratos comerciais vigentes, cujas características das atividades desevolvidas são passíveis de licenciamento, cabendo ao novo operador o acompanhamento; 9) O estudo não aborda a necessidade de outorga de direito de uso dos recursos hídricos e para lançamento de efluentes do aeroporto.</t>
  </si>
  <si>
    <r>
      <t xml:space="preserve">Capitulos 4 e 5. 1) O estudo não apresenta histórico de licenças emitidas para o aeroporto;  2) Não foram identificadas informações quanto aos contratos comerciais vigentes, cujas caracterídticas das atividades desevolvidas são passíveis de licenciamento, cabendo ao novo operador o acompanhamento. </t>
    </r>
    <r>
      <rPr>
        <b/>
        <sz val="11"/>
        <color theme="1"/>
        <rFont val="Times New Roman"/>
        <family val="1"/>
      </rPr>
      <t/>
    </r>
  </si>
  <si>
    <t>Capítulo 4. Anexos 6 e 7. 1) Em uma análise comparativa dos estudos apresentados, verifica-se que o relatório identifica, analisa e precifica um total de 31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</si>
  <si>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3 e 8. 1) Em uma análise comparativa dos estudos apresentados, verifica-se que o relatório identifica e analisa um total de 12 passivos ambientais; 2) Não restou identificado custos específicos em relação aos passivos ambientais apresentados; 3) O relatório analisa de forma segmentada os passivos por: i) localização; ii) área especionada; iii) classificação; e iv) significância. No entanto, não indentifica, analisa e precifica todos os passivos ambientais para o aeroporto.</t>
  </si>
  <si>
    <t>Anexo 2. Capítulo 6.  1) Em uma análise comparativa dos estudos apresentados, verifica-se que o relatório identifica, analisa e precifica um total de 17 passivos ambientais. O relatório analisa de forma segmentada os passivos por: i) localização; ii) tipo; iii) responsável; iv) criticidade; v) situação; e iv) dimensão. No entanto, não indentifica, analisa e precifica todos os passivos ambientais existentes no aeroporto; 2) O estudo não precifica os passivos de forma individualizada, sendo orçado apenas o valor total para recuperação/remediação dos passivos.</t>
  </si>
  <si>
    <t>Capítulos 2 e 5. Anexos 2, 4, 5 , 8 e 9. 1) Não restou verificado no relatório análise do Plano de Zona de Proteção do Aeroporto e da Navegação Aérea (PBZPA e PZPANA); 2) O Estudo não identifica a existênica de Plano Diretor do Município de Tefé.</t>
  </si>
  <si>
    <t>Capítulos 2 1) Não foi identificada análise do Plano de Zoneamento de Ruído e das curvas de ruído atual e projetada; 2) Não restou verificado no estudo, análise do Plano de Zona de Proteção do Aeroporto e da Navegação Aérea (PBZPA e PZPANA); 3) Não restou identificado no estudo, análises quanto à cobertura vegetal na região em que se insere o Aeroporto e em suas proximidades; 4) Não restou identificado no estudo, análise detalhada em relação à fauna e risco de fauna no aeroporto, apenas citação da legislação aplicável, de planos existentes e planos a serem implantados; 5) O Estudo não identifica a existênica de Plano Diretor do Município de Tefé.</t>
  </si>
  <si>
    <t>Capítulo 5. 1) Não foi indentificado no estudo, cronograma para o licenciamento ambiental do empreendimento, principalmente considerando o plano de desenvolvimento para o aeropoto.</t>
  </si>
  <si>
    <t>Capítulo 11. Anexo 3.  1) Considerando a não identificação de todos os passivos ambientais no aeroporto, o estudo deixa de apresentar seus respectivos custos.</t>
  </si>
  <si>
    <t>Capítulo 8. Anexo 11 e 12. 1) O estudo deixa de apresentar custos previstos para elaboração do Plano Básico de Proteção de Aeródromos – PBZPA e do Plano de Zona de Proteção de Auxílios à Navegação Aérea – PZPANA, tendo em vista as ampliações propostas; 2) Considerando a não identificação de todos os passivos ambientais no aeroporto, o estudo deixa de apresentar seus respectivos custos.</t>
  </si>
  <si>
    <t xml:space="preserve">_não projeta o tempo de permanência da aeronave no pátio
_Figura 6-18 cita mensal do título e apresenta dado anual.
</t>
  </si>
  <si>
    <t xml:space="preserve">Apresenta coleção de informações obtidas para os componentes dos sistemas de pistas e pátios, incluindo vias de serviço e equipamentos de rampa. Na apresentação do sistema de gerenciamento de tráfego aéreo constam informações das estruturas que prestam serviços de tráfego aéreo e auxílios à navegação aérea. Para o sistema terminal de passageiros são apresentados: as plantas do pavimento terreo (caderno de plantas), os componentes do sistema, o principal acesso viário e suscinta caracterização do estacionamento de veículos principal. O sistema de administração e manutenção, sistema de apoio bem como o sistema de infraestrutura básica e sistema comercial externo. O Apêndice 1 afirma que as informações relativas às condições observadas no aeroporto durante a visita técnica realizada pela empresa encontram-se disponibilizadas no Anexo 1 – Relatório Fotográfico, mas o material não foi localizado na pasta. A avaliação de componentes dos sistemas encontra-se disponível no Apendice 1B mas com informações divergentes daquelas dispostas no relatório, tais como número de balcões de check-in (divergente ainda da planta TPS Atual terreo) e vagas do estacionamento de veículos, desacompanhadas de registros fotográficos que corroborem a avaliação apresentada.  </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</si>
  <si>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No item 3.4.1.2, há inconsistência na informação apresentada para a capacidade atual do pátio de aviação comercial se comparada com as informações da item de avaliação de capacidade e com a planta da situação atual. O item 3.5 apresenta alguns detalhes do anteprojeto de engenharia proposto. Há inconsistência nas informações apresentadas na tabela 3.50 com relação à configuração da PPD após intervenções. No item 3.5.3.1, identifica a nacessidade de ampliação da largura da pista de táxi para 35m, incoerente com a largura mínima requerida para a aeronave crítica identificada anteriormente. Há inconsistência entre a necessidade identificada para pátio de carga e o plano de desenvlvimento proposto. Com relação ao sistema de infraestrutura aeronáutica, aponta a necessidade de calibração de auxílios em função do deslocamento de cabeceira e que adições não serão necessárias, mas não há detalhamento. Além disso, o aeroporto só possui PAPI na cabeceira 15 e a cabeceira 33 é a única deslocada. Não apresenta comparação entre áeas requeridas, considerando a demanda, e áreas disponibilizadas na implantação final. </t>
  </si>
  <si>
    <t>Capítulos 2 e 3. 1) O estudo não identifica a existência de Licenças Ambientais emitidas em favor das concessionárias do aeroporto; 2) Não foram identificadas informações quanto aos contratos comerciais vigentes, cujas caracterídticas das atividades desevolvidas são passíveis de licenciamento, cabendo ao novo operador o acompanhamento;  3) O estudo não analisa a conformidade do Aeroporto perante à ANVISA e à ANAC; 4) O Estudo não informa da existência de processos judiciais sob temática ambiental (Ex. regularização de áreas, desapropriações, reintegração de posse).</t>
  </si>
  <si>
    <t>Capítulo 4. Anexos 6 e 7. 1) Em uma análise comparativa dos estudos apresentados, verifica-se que o relatório identifica, analisa e precifica um total de 17 passivos ambientais. O relatório analisa de forma segmentada os passivos por: i) localização; ii) categoria; iii) origem; iv) aspectos; v) nível de risco; e, vi) dinâmica atual. No entanto, não indentifica, analisa e precifica todos os passivos ambientais para o aeroporto.</t>
  </si>
  <si>
    <t xml:space="preserve">Para o sistema TPS, apresenta a localização das edificações, informações dos componentes verificados em cada nível do TPS, com registros fotográficos (alguns repetidos do pavimento térreo no primeiro pavimento) e avaliação das condições observadas em visita. Estacionamentos de veículos e vias de acesso foram apresentados, ilustrados e avaliados. Para o sistema de pistas, as áreas foram identificadas em mapa (caderno de plantas), as estruturas foram caracterizadas e avaliadas. O sistema de Pátio de aeronaves é apresentado com ilustrações, croqui de localização e avaliação das condições observadas no local. Sistema de rampa é apresentado e ilustrado. Para o sistema TECA são apresentadas as instalações e o acesso viário. Para o sistema de aviação geral os hangares e seus acessos são descritos. São apresentadas as áreas e alguns registros fotográficos. Sobre as instalações administrativas e de manutenção, as áreas encontram-se caracterisadas e representadas em foto. Sobre o sistema de apoio às operações, as instalações foram apresentadas, caracterizadas, ilustradas em foto(s) e avaliadas. Boa descrição dos sistemas de infraestrutura básica (energia elétrica, água potável, TI, ar condicionado, etc) e do sistema de apoio às companhias aéreas. Apresenta ainda as infraestruturas de aeronáutica identificadas no aeroporto, com suas características e registros fotográficos. A localização de cada componente de sistema é apresentada satisfatoriamente no caderno de plantas (Situação atual). </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</si>
  <si>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Na avaliação da capacidade das pistas de táxi, leva em consideração parâmetros geométricos das aeronaves que utilizam a infraestrutura e largura das pistas. Há informações inconsistentes na avaliação.</t>
  </si>
  <si>
    <t>A metodologia para cálculo da capacidade da PPD é apresentada em Apêndice do Relatório de Estudo de Mercado, mas não há resultados calculados. A planilha referente a dimensionamento aeroportuário traz algumas informações, mas há inconsistências no que diz respeito à capacidade da PPD. A avaliação quanto à adequabilidade do componente baseia-se em dado publicizado pelo CGNA. Não avalia a capacidade instalada das pistas de táxi. Há informações inconsistentes com relação às pistas de táxi.</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</si>
  <si>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2.3.2 informa equivocadamente que o aeroporto é Classe I até 2030. Há inconsistência entre as informações apresentadas para a pista de táxi D no item 2.3.2.2.3 Requisitos para Pistas de Táxi e a análise apresentada na avaliação da capacidade instalada.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Na tabela 2-79, que apresenta resumo das necessidades das instalações, há inconsistência na informação sobre as posições de pátio de aviação geral existentes, com relação ao apresentado nos itens de avaliação das condições existentes e de avaliação da capacidade instalada. No item 2.6 são apresentados o plano de desenvolvimento do sítio aeroportuário e as etapas de implantação. No item 2.6.1, o relatório menciona operações por instrumento não precisão, o que não corresponde à operação considerada para o aeroporto.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</si>
  <si>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Capítulos 2 e 3. 1) Não foram identificadas informações quanto aos contratos comerciais vigentes, cujas características das atividades desevolvidas são passíveis de licenciamento, cabendo ao novo operador o acompanhamento; 2) Em que pese informar processos/autos de infração existentes para o aeroporto, o estudo não traz informações completas quanto ao seu status (Ex. ANVISA); 3) O Estudo não informa da existência de processos judiciais sob temática ambiental (Ex. regularização de áreas, desapropriações, reintegração de posse).</t>
  </si>
  <si>
    <t>Capítulos 2, 3 e 5. 1) Estudo não apresenta histórico e caracterísitcas do aeroporto; 2) O estudo não apresenta histórico completo das Licenças emitidas para o Aeroporto; 3) Estudo não analisa de forma completa as exigências técnicas das licenças emitidas, bem como os respectivos status; 4)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Em que pese informar processos/autos de infração existentes para o aeroporto, o estudo não traz informações completas quanto ao seu status (Ex. ANVISA, ANAC); 6) O Estudo não informa da existência de processos judiciais sob a temática ambiental (Ex. regularização de áreas, desapropriações, reintegração de posse), o que possui relação com análise de regularidade ambiental e de análise em relação ao uso do solo no aeroporto; 7) Não foram identificadas informações quanto aos contratos comerciais vigentes, cujas características das atividades desevolvidas são passíveis de licenciamento, cabendo ao novo operador o acompanhamento.</t>
  </si>
  <si>
    <t>Capitulos 4 e 5. 1) O estudo não apresenta histórico de licenças emitidas para o aeroporto;  2) Não foram identificadas informações quanto aos contratos comerciais vigentes, cujas caracterídticas das atividades desevolvidas são passíveis de licenciamento, cabendo ao novo operador o acompanhamento; 3) Em que pese informar processos/autos de infração existentes para o aeroporto, o estudo não traz informações completas quanto ao seu status (Ex. ANVISA).</t>
  </si>
  <si>
    <t>Capítulo 4. Anexos 6 e 7. 1) Em uma análise comparativa dos estudos apresentados, verifica-se que o relatório identifica, analisa e precifica um total de 35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</si>
  <si>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3 e 8. 1) Em uma análise comparativa dos estudos apresentados, verifica-se que o relatório identifica e analisa um total de 11 passivos ambientais; 2) Não restou identificado custos específicos em relação aos passivos ambientais apresentados; 3) O relatório analisa de forma segmentada os passivos por: i) localização; ii) área especionada; iii) classificação; e iv) significância. No entanto, não indentifica, analisa e precifica todos os passivos ambientais para o aeroporto.</t>
  </si>
  <si>
    <t>Anexo 2. Capítulo 6.  1) Em uma análise comparativa dos estudos apresentados, verifica-se que o relatório identifica, analisa e precifica um total de 15 passivos ambientais. O relatório analisa de forma segmentada os passivos por: i) localização; ii) tipo; iii) responsável; iv) criticidade; v) situação; e iv) dimensão. No entanto, não indentifica, analisa e precifica todos os passivos ambientais existentes no aeroporto; 2) O estudo não precifica os passivos de forma individualizada, sendo orçado apenas o valor total para recuperação/remediação dos passivos.</t>
  </si>
  <si>
    <t>Capítulo 3, 5 e 7. Identifica o Plano Diretor e Lei de Uso e Ocupação do Solo. Identifica todos os Planos de Zoneamentos relacionados a atividade aeroportuária.</t>
  </si>
  <si>
    <t>Capítulos 2 1) Não foi identificada análise do Plano de Zoneamento de Ruído e das curvas de ruído atual e projetada; 2) Não restou verificado no estudo, análise do Plano de Zona de Proteção do Aeroporto e da Navegação Aérea (PBZPA e PZPANA); 3) Não restou identificado no estudo, análises quanto à cobertura vegetal na região em que se insere o Aeroporto e em suas proximidades; 4) Não restou identificado no estudo, análise detalhada em relação à fauna e risco de fauna no aeroporto, apenas citação da legislação aplicável, de planos existentes e planos a serem implantados.</t>
  </si>
  <si>
    <t xml:space="preserve">Capítulo 6. 1) O estudo não identifica os títulos minerários emitidos no sítio e no entorno imediato do Aeroporto, que demandará providências por parte do futuro operador. </t>
  </si>
  <si>
    <t xml:space="preserve">Capítulo 8. Anexo 11 e 12. 1) O estudo deixa de apresentar custos previstos para elaboração do Plano Básico de Proteção de Aeródromos – PBZPA e do Plano de Zona de Proteção de Auxílios à Navegação Aérea – PZPANA,  necessários para o aeroporto considerando o projeto apresentado; 2) Considerando a não identificação de todos os passivos ambientais no aeroporto, o estudo deixa de apresentar seus respectivos custos. </t>
  </si>
  <si>
    <t>Capítulo 6. 1) Não restou identificado custos individuais dos passivos ambientais; 2) O estudo não precifica alguns custos relacionados ao projeto (ex. Taxa de Controle de Fiscalização Ambiental (TCFA) que deverá ser paga pelo futuro operador); 3) O estudo não apresenta custos previstos para elaboração do Plano Básico de Proteção de Aeródromos – PBZPA, do Plano de Zona de Proteção de Auxílios à Navegação Aérea – PZPANA e do Plano de Ruído (PZR/PEZR),  necessários para o aeroporto considerando o projeto apresentado; 4) Considerando a não identificação de todos os passivos ambientais no aeroporto, o estudo deixa de apresentar seus respectivos custos.</t>
  </si>
  <si>
    <t xml:space="preserve">_ O relatório apresenta o racional para projeção das receitas e as variáveis utilizadas como drivers de crescimento, mas não detalha como essas variáveis foram efetivamente utilizadas no cálculo e tampouco referencia anexos que contenham o detalhamento.
_ Não modelou as receitas tarifárias de armazenagem e capatazia após o término do contrato de concessão do TECA do aeroporto. 
</t>
  </si>
  <si>
    <t>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cessão do TECA até o fim do período de concessão, diferentemente do que aponta a due diligence comercial. O contrato encerra-se em 2028, quando passaria a compor as receitas tarifárias de armazenagem e capatazia do futuro operador.
_ Não projeta receitas de estacionamento, muito embora o Relatório de Enganharia e Afins preveja expansão do número de vagas, e não justifica a ausência.</t>
  </si>
  <si>
    <t xml:space="preserve">Capítulos 3 e 4. Anexo 1. 1) Estudo não apresenta de forma completa o histórico de licenças emitidas para o Aeroporto (Ex. Licença de Instalação nº 348/2004, Licença de Instalação - Renovação nº 1036/2015, Licença de Instalação 11.641/2014); 2) O Estudo cita apenas processos em curso junto ao MPF-GO, não informando a existência de processos judiciais sob temática ambiental (Ex. regularização de áreas, desapropriações, reintegração de posse). </t>
  </si>
  <si>
    <t xml:space="preserve">Capítulos 2, 3 e 5. 1) Estudo não apresenta histórico e caracterísitcas do aeroporto; 2) Estudo não apresenta histórico completo das Licenças emitidas para o Aeroporto, informando apenas 3 (três) licenças; 3) Estudo não analisa de forma completa as exigências técnicas das licenças emitidas e em vigor, bem como os respectivos status; 4) Em que pese informar a existência de Outorga de Uso de Recursos Hídricos para o Aeroporto, o estudo não apresentou informações detalhadas quanto ao pedido de renovação da outorga e o atual status do processo; 5)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6) O Estudo não informa a situação das Licenças Ambientais das Concessionárias atuantes no Aeroporto; 7) O Estudo informa outros processos administrativos vigentes, porém, sem informar seu status (MPF, Prefeitura, ANVISA e ANAC); 8) O Estudo não informa da existência de processos judiciais sob a temática ambiental (Ex. regularização de áreas, desapropriações, reintegração de posse), o que possui relação com análise de regularidade ambiental e de análise em relação ao uso do solo no aeroporto. </t>
  </si>
  <si>
    <t>Capítulo 3. 1) O estudo não identifica todos os passivos ambientais existentes no aeroporto; 2) Não restou identificado custos específicos em relação aos passivos ambientais.</t>
  </si>
  <si>
    <t xml:space="preserve">Capítulos 2, 4 e 5. 1) Não há informações detalhadas quanto à utilização de alternativas ao projeto escolhido; 2) O estudo é muito conceitual ao indicar as legislações, porém, muitas vezes sem fazer uma análise de aplicação dessas ao aeroporto. 3) O estudo não identifica a disponibilidade de eventuais fornecedores de insumos e matérias primas necessárias para a implantação do Plano de Desenvolvimeno escolhido, que possui influência direta no custo da implantação; 4) O estudo não identifica locais de destinação de resíduos gerados na obra de ampliação.  </t>
  </si>
  <si>
    <t>Capítulo 6. 1) Não restou identificado custos individuais dos passivos ambientais encontrados; 2) Considerando a não identificação de todos os passivos ambientais no aeroporto, o estudo deixa de apresentar seus respectivos custos; 3) O estudo não precifica alguns custos relacionados ao projeto (ex. Taxa de Controle de Fiscalização Ambiental (TCFA) que deverá ser paga pelo futuro operador); 3) O estudo não apresenta orçamento para elaboração do Plano Básico de Proteção de Aeródromos – PBZPA, do Plano de Zona de Proteção de Auxílios à Navegação Aérea – PZPANA e do Plano de Ruído (PEZR/PZR), necessários para o aeroporto considerando o planejamento.</t>
  </si>
  <si>
    <t>Calcula e avalia a capacidade instalada dos pátios bem como a demanda estimada. As tabelas 3 e 9 do ESTUDO PATIO SBGO (relatório de mercado) divergem quanto ao número de posições do pátio 1. O cálculo da capacidade instalada dinâmica consta no relatório de mercado, mas os dados apresentados não são suficientes para a reprodução dos resultados finais pela CAE.</t>
  </si>
  <si>
    <t xml:space="preserve">_não projeta o tempo de permanência da aeronave no pátio
_Figura 6-22 cita mensal do título e apresenta dado anual.
</t>
  </si>
  <si>
    <t>_premissas pouco fundamentadas para definição de aeroportos competidores
_análise de competição intermodal não é refletida nas projeções
_análise intermodal majoritariamente genérica, em poucos casos específica do aeroporto
_premissas pouco fundamentadas para definição de competição intermodal
_Texto diz que há três potenciais concorrentes de SBGO (AVG), mas a tabela 4-2 apresenta apenas dois.</t>
  </si>
  <si>
    <t>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concessão do TECA até o fim do período de concessão, diferentemente do que aponta a due diligence comercial. O contrato encerra-se em 2027, passando a compor as receitas tarifárias de armazenagem e capatazia do futuro operador.
_ Considera prorrogação do contrato de subconcessão do TPS após o seu fim (2027) sem realizar análise detalhada para embasar que esta seria a opção mais vantajosa ao futuro concessionário. Não projeta separadamente receitas potenciais de varejo, lojas francas, alimentação e bebidas, entre outros, para assumir esta premissa, mesmo que sem paralelo em aeroportos já concedidos.</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</si>
  <si>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A tabela 2 - "projeção de demanda" não apresenta projeção de passageiros internacionais para o período da concessão, estando em desacordo  com as projeções apresentadas no relatório de mercado.</t>
  </si>
  <si>
    <t xml:space="preserve">Capítulos 3 e 4. Anexo 1. 1) O estudo informa de forma incompleta a existência de processos judiciais sob a temática ambiental (Ex. regularização de áreas, desapropriações, reintegração de posse), o que possui relação com análise de regularidade ambiental e de análise em relação ao uso do solo no aeroporto. </t>
  </si>
  <si>
    <t xml:space="preserve">Capítulos 2, 3 e 5. 1) Estudo não apresenta histórico e caracterísitcas do aeroporto; 2) Estudo não apresenta histórico completo das Licenças emitidas para o Aeroporto, informando apenas a LO vigente; 3) Estudo não analisa de forma completa as exigências técnicas das licenças emitidas e em vigor, bem como os respectivos status; 4) O estudo não informa a situação das Licenças Ambientais das Concessionárias atuantes no Aeroporto; 5) O estudo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6) Em que pese citar ocorrênicas de irregularidades sanitárias do aeroporto junto à ANVISA, o Estudo não apresenta o status de cada uma delas; 7) O estudo informa outros processos administrativos vigentes, porém, sem informar seu status ANAC;  8) O estudo não informa processos junto ao MPF; 9) O estudo não informa da existência de processos judiciais sob temática ambiental (Ex. regularização de áreas, desapropriações, reintegração de posse), o que possui relação com análise de regularidade ambiental e de análise em relação ao uso do solo no aeroporto. </t>
  </si>
  <si>
    <t xml:space="preserve">Capítulo 3. 1) O estudo não identifica todos os passivos ambientais existentes no aeroporto; 2) Não restou identificado custos específicos em relação aos passivos ambientais; </t>
  </si>
  <si>
    <t xml:space="preserve">Capítulos 2, 4 e 5. 1) Não há informações detalhadas quanto à utilização de alternativas ao projeto escolhido; 2) O estudo é muito conceitual, indicando as legislações aplicáveis ao caso, porém, muitas vezes sem fazer um parelelo de sua aplicação ao aeroporto; 3) O estudo não identifica a disponibilidade de eventuais fornecedores de insumos e matérias primas necessárias para a implantação do Plano de Desenvolvimeno escolhido, que possui influência direta no custo da implantação; 4) O estudo não identifica locais de destinação de resíduos gerados na obra de ampliação.  </t>
  </si>
  <si>
    <t>Capítulos 2 e 5. 1) Não restou identificada análise do Plano de Zoneamento de Ruído e das curvas de ruído atual e projetada; 2) O estudo informa da existênica de legislações Municipais que dispõem sobre o Plano Diretor do Município e sobre o Uso e Ocupação do Solo, sem, contudo, analisar tais ordenamentos legais face as intervenções e plano de desenvolvimento do aeroporto. 3) O estudo identifica processo administrativo instaurado junto ao COMAER pela não entrega de Plano Básico de Zona de Proteção do Aeroporto, contudo, não apresenta informações relativas a necessidade de sua elaboração; 4) Não restou verificado no estudo, análise do Plano de Zona de Proteção do Aeroporto e da Navegação Aérea (PBZPA e PBZPANA); 5) Não restou identificado no estudo, análises quanto à cobertura vegetal na região em que se insere o Aeroporto e em suas proximidades; 6) Não restou identificado análise detalhada em relação ao Programa de Gerenciamento do Risco da Fauna do Aeroporto, apenas cita sua existênica e legislação aplicável ao tema; 7) O estudo não identifica àreas ocupadas irregularmentes no sítio aeroportuário, o que além de ser um passivo ambiental, ser de fundamental importância para a análise do uso e ocupação do solo, ainda impacta de maneira significativa nos custos socioambiental do projeto.</t>
  </si>
  <si>
    <t>Capítulo 6. 1) Não restou identificado custos individuais dos passivos ambientais encontrados; 2) Considerando a não identificação de todos os passivos ambientais no aeroporto, o estudo deixa de apresentar seus respectivos custos; 3) O estudo não precifica alguns custos relacionados ao projeto (ex. Taxa de Controle de Fiscalização Ambiental (TCFA) que deverá ser paga pelo futuro operador); 3) O estudo não apresenta orçamento para elaboração do Plano Básico de Proteção de Aeródromos – PBZPA, do Plano de Zona de Proteção de Auxílios à Navegação Aérea – PZPANA e do Plano de Ruído (PZR/PEZR), necessários para o aeroporto considerando o planejamento; 5) O estudo não apresenta custos relacionados às áreas ocupadas irreguarmente no sítio aeroportário.</t>
  </si>
  <si>
    <t>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concessão do TECA até o fim do período de concessão, diferentemente do que aponta a due diligence comercial. O contrato encerra-se em 2028, passando a compor as receitas tarifárias de armazenagem e capatazia do futuro operador.</t>
  </si>
  <si>
    <t xml:space="preserve">O cronograma estimado encontra-se no item 2.5.1.4 Cronograma Estimado e Fases de Operação, em especial na Figura 2-48, que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(SBTE_CR-2Fases). </t>
  </si>
  <si>
    <t xml:space="preserve">Capítulos 3 e 4. Anexo 1. 1) O estudo informa de forma incompleta a existência de processos judiciais sob temática ambiental (Ex. regularização de áreas, desapropriações, reintegração de posse), o que possui relação com análise de regularidade ambiental e de análise em relação ao uso do solo no aeroporto. </t>
  </si>
  <si>
    <t>Capítulos 2, 3 e 5. 1) O estudo não apresenta histórico e caracterísitcas do aeroporto; 2) O estudo não analisa de forma completa o cumprimento ou não de todas as condicionantes relativas à LO nº 420/2017; 3) O estudo não analisa de forma completa as exigências técnicas das licenças emitidas e em vigor, bem como os respectivos status; 4) O estudo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O estudo não informa da existência de processo junto ao MPF; 6) O estudo não informa da existência de processos judiciais sob a temática ambiental (Ex. regularização de áreas, desapropriações, reintegração de posse), o que possui relação com análise de regularidade ambiental e de análise em relação ao uso do solo no aeroporto; 7) Não foram identificadas informações quanto aos contratos comerciais vigentes, cujas características das atividades desevolvidas são passíveis de licenciamento, cabendo ao novo operador o acompanhamento.</t>
  </si>
  <si>
    <t>Capítulo 6. 1) Não restou identificado custos individuais dos passivos ambientais encontrados; 2) Considerando a não identificação de todos os passivos ambientais no aeroporto, o estudo deixa de apresentar seus respectivos custos; 3) O estudo não precifica alguns custos relacionados ao projeto (ex. Taxa de Controle de Fiscalização Ambiental (TCFA) que deverá ser paga pelo futuro operador); 4) O estudo não apresenta orçamento para elaboração do Plano Básico de Proteção de Aeródromos – PBZPA, do Plano de Zona de Proteção de Auxílios à Navegação Aérea – PZPANA e do Plano de Ruído (PEZR/PZR), necessários para o aeroporto considerando o planejamento.</t>
  </si>
  <si>
    <t>Capítulos 4 e 8.</t>
  </si>
  <si>
    <t>Capítulos 3 e 4. Anexo 1. 1) Estudo não apresenta de forma completa o histórico de licenças emitidas para o Aeroporto; 2) O estudo não informa da existência de processos judiciais sob a temática ambiental (Ex. regularização de áreas, desapropriações, reintegração de posse), o que possui relação com análise de regularidade ambiental e de análise em relação ao uso do solo no aeroporto; 3) O estudo faz referência à discussão judicial que tem por objeto direito de propriedade de áreas do sítio aeroportuário, mas não apresenta análise.</t>
  </si>
  <si>
    <t>Capítulos 2, 3 e 5. 1) O estudo não apresenta histórico e caracterísitcas do aeroporto; 2) O estudo não analisa de forma completa o cumprimento ou não de todas as condicionantes relativas as Licenças Ambientais; 3) O estudo informa outros processos administrativos vigentes, porém, sem informar seu status (ANVISA e ANAC); 4) Não foram identificadas informações quanto aos contratos comerciais vigentes, cujas características das atividades desevolvidas são passíveis de licenciamento, cabendo ao novo operador o acompanhamento; 5) O estudo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6) O estudo não informa da existência de processos judiciais sob a temática ambiental (Ex. regularização de áreas, desapropriações, reintegração de posse), o que possui relação com análise de regularidade ambiental e de análise em relação ao uso do solo no aeroporto.</t>
  </si>
  <si>
    <t xml:space="preserve">Capítulo 3. 1) O estudo não identifica todos os passivos ambientais existentes no aeroporto; 2) Não restou identificado custos específicos em relação aos passivos ambientais. </t>
  </si>
  <si>
    <t xml:space="preserve">Capítulos 2, 4 e 5. 1) Não há informações detalhadas quanto à utilização de alternativas ao projeto escolhido;  2) O estudo é muito conceitual ao indicar as legislações, porém, muitas vezes sem fazer uma análise de aplicação dessas ao aeroporto; 3) O estudo não identifica a disponibilidade de eventuais fornecedores de insumos e matérias primas necessárias para a implantação do Plano de Desenvolvimeno escolhido, que possui influência direta no custo da implantação; 4) O estudo não identifica locais de destinação de resíduos gerados na obra de ampliação; 5) O estudo apresenta informações pouco detalhadas, sem uma análise aprofundada sobre: autorizações para supresssão vegetal, interferência em APP, em UCs, no Patrimônio Histórico e Cutural e Arqueológico, em comunidades tradicionais, para o uso de recursos hídricos.  </t>
  </si>
  <si>
    <t>Capítulos 2 e 5. 1) Não restou identificada análise do Plano de Zoneamento de Ruído e das curvas de ruído atual e projetada; 2) O relatório informa da existênica de legislações Municipais que dispõem sobre o Plano Diretor do Município e sobre o Uso e Ocupação do Solo, sem, contudo, analisar tais ordenamentos legais face as intervenções e plano de desenvolvimento do aeroporto. 3) Não restou verificado no estudo, análise do Plano de Zona de Proteção do Aeroporto e da Navegação Aérea (PBZPA e PBZPANA);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 6) O estudo não apresenta detalhamento quanto às áreas ocupadas irregularmentes no sítio aeroportuário, o que além de ser um passivo ambiental, ser de fundamental importância para a análise do uso e ocupação do solo, ainda impacta de maneira significativa nos custos socioambiental do projeto; 7) O estudo não identifica os títulos minerários emitidos no sítio e no entorno imediato do Aeroporto, que demandará providências por parte do futuro operador.</t>
  </si>
  <si>
    <t>Capítulo 6. 1) Não restou identificado custos individuais dos passivos ambientais encontrados; 2) Considerando a não identificação de todos os passivos ambientais no aeroporto, o estudo deixa de apresentar seus respectivos custos; 3) O estudo não precifica alguns custos relacionados ao projeto (ex. Taxa de Controle de Fiscalização Ambiental (TCFA) que deverá ser paga pelo futuro operador); 4) O estudo não apresenta orçamento para elaboração do Plano Básico de Proteção de Aeródromos – PBZPA, do Plano de Zona de Proteção de Auxílios à Navegação Aérea – PZPANA e do Plano de Ruído (PEZR/PZR), necessários para o aeroporto considerando o planejamento; 5) O estudo não apresenta custos relacionados às áreas ocupadas irregularmente no sítio aeroportário.</t>
  </si>
  <si>
    <t xml:space="preserve">_não projeta o tempo de permanência da aeronave no pátio
_Figura 6-21 cita mensal do título e apresenta dado anual.
</t>
  </si>
  <si>
    <t>_ O relatório apresenta o racional para projeção das receitas e as variáveis utilizadas como drivers de crescimento, mas não detalha como essas variáveis foram efetivamente utilizadas no cálculo e tampouco referencia anexos que contenham o detalhamento.
_ Não modelou as receitas tarifárias de armazenagem e capatazia após o término do contrato de concessão do TECA do aeroporto. 
_ Não apresentou o detalhamento do histórico recente (2015-2018) da composição das receitas de armazenagem e capatazia do aeroporto.</t>
  </si>
  <si>
    <t xml:space="preserve">Capítulos 3 e 4. Anexo 1. 1) O estudo não informa da existência de processos judiciais sob a temática ambiental (Ex. regularização de áreas, desapropriações, reintegração de posse), o que possui relação com análise de regularidade ambiental e de análise em relação ao uso do solo no aeroporto. </t>
  </si>
  <si>
    <t>Capítulos 2, 3 e 5. 1) O estudo não apresenta histórico e caracterísitcas do aeroporto; 2) Estudo não apresenta histórico completo das Licenças emitidas para o Aeroporto; 3) O estudo não analisa de forma completa o cumprimento ou não de todas as condicionantes relativas às Licenças Ambientais; 4) O estudo informa outros processos administrativos vigentes, porém, sem informar seu status (ANVISA e MP); 5) O estudo não identifica processos e notificações junto à ANAC; 6) Não foram identificadas informações quanto aos contratos comerciais vigentes, cujas características das atividades desevolvidas são passíveis de licenciamento, cabendo ao novo operador o acompanhamento; 7) O estudo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8) O estudo não informa da existência de processos judiciais sob a temática ambiental (Ex. regularização de áreas, desapropriações, reintegração de posse), o que possui relação com análise de regularidade ambiental e de análise em relação ao uso do solo no aeroporto.</t>
  </si>
  <si>
    <t xml:space="preserve">Capítulos 2, 4 e 5. 1) Não há informações detalhadas quanto à utilização de alternativas ao projeto escolhido;  2) O estudo é muito conceitual ao indicar as legislações, porém, muitas vezes sem fazer uma análise de aplicação dessas ao aeroporto;  3) O estudo não identifica a disponibilidade de eventuais fornecedores de insumos e matérias primas necessárias para a implantação do Plano de Desenvolvimeno escolhido, que possui influência direta no custo da implantação; 4) O estudo não identifica locais de destinação de resíduos gerados na obra de ampliação; 5) O estudo apresenta informações pouco detalhadas, sem uma análise aprofundada sobre: autorizações para supresssão vegetal, interferência em APP, em UCs, no Patrimônio Histórico e Cutural e Arqueológico, em comunidades tradicionais, para o uso de recursos hídricos.  </t>
  </si>
  <si>
    <t>Capítulos 2 e 5. 1) Não restou identificada análise do Plano de Zoneamento de Ruído e das curvas de ruído atual e projetada; 2) O relatório informa da existênica de legislações Municipais que dispõem sobre o Plano Diretor do Município e sobre o Uso e Ocupação do Solo, sem, contudo, analisar tais ordenamentos legais face as intervenções e plano de desenvolvimento do aeroporto. 3) Não restou verificado no estudo, análise do Plano de Zona de Proteção do Aeroporto e da Navegação Aérea (PBZPA e PBZPANA);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t>
  </si>
  <si>
    <t>Capítulo 6. 1) Não restou identificado custos individuais dos passivos ambientais; 2) O estudo não precifica alguns custos relacionados ao projeto (ex. Taxa de Controle de Fiscalização Ambiental (TCFA) que deverá ser paga pelo futuro operador); 3) O estudo não apresenta orçamento para elaboração do Plano Básico de Proteção de Aeródromos – PBZPA, do Plano de Zona de Proteção de Auxílios à Navegação Aérea – PZPANA.</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</si>
  <si>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Há inconsistência nas necessidades identificadas para o Sistema Terminal de Carga na tabela 2-29.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obras e consequentemente de ampliações nas capacidades. Com relação a capacidade do sistema de pistas, há inconsistência entre as informações apresentadas no item 2.3.3.2 e no item 2.5.1.1. As aterações na capacidade de pista são apresentadas apenas como resultado final,  sem detalhamento de como as alterações de infraestrutura impactam na capacidade calculada. Há inconsistência nas informações apresentadas para as posições do pátio de aviação de carga. Na tabela 2-83, que apresenta resumo das necessidades das instalações, há inconsistência nas informações a respeito das posições de pátio, com relação ao apresentado nos itens de avaliação das condições existentes e de avaliação da capacidade instalada.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</si>
  <si>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É apresentada uma alteração na capacidade horária do sistema de pistas na fase 1, sem detalhamento de como as alterações de infraestrutura impactam na capacidade calculada. Na Tabela 2-82, que resume as necessidades das instalações, não são consideradas as posições de pátio destinadas à aviação geral na condição atual.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</si>
  <si>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 xml:space="preserve">Capítulos 3 e 4. Anexo 1. 1) Estudo não apresenta de forma completa o histórico de licenças emitidas para o Aeroporto; 2) O estudo não informa da existência de processos judiciais sob a temática ambiental (Ex. regularização de áreas, desapropriações, reintegração de posse), o que possui relação com análise de regularidade ambiental e de análise em relação ao uso do solo no aeroporto. </t>
  </si>
  <si>
    <t>Capítulos 2, 3 e 5. 1) O estudo não apresenta histórico e caracterísitcas do aeroporto; 2) Estudo não apresenta histórico completo das Licenças emitidas para o Aeroporto; 3) O estudo não analisa de forma completa o cumprimento ou não de todas as condicionantes relativas as Licenças Ambientais; 4) O estudo informa outros processos administrativos vigentes, porém, sem informar seu status (ANAC); 5) Não foram identificadas informações quanto aos contratos comerciais vigentes, cujas características das atividades desevolvidas são passíveis de licenciamento, cabendo ao novo operador o acompanhamento; 6) O estudo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7) O estudo não informa da existência de processos judiciais sob a temática ambiental (Ex. regularização de áreas, desapropriações, reintegração de posse), o que possui relação com análise de regularidade ambiental e de análise em relação ao uso do solo no aeroporto.</t>
  </si>
  <si>
    <t>Capítulos 2 e 5. 1) Não restou identificada análise do Plano de Zoneamento de Ruído e das curvas de ruído atual e projetada; 2) O relatório informa da existênica de legislações Municipais que dispõem sobre o Plano Diretor do Município e sobre o Uso e Ocupação do Solo, sem, contudo, analisar tais ordenamentos legais face as intervenções e plano de desenvolvimento do aeroporto. 3) Não restou verificado no estudo, análise do Plano de Zona de Proteção do Aeroporto e da Navegação Aérea (PBZPA e PZPANA);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 6) O estudo não apresenta detalhamento quanto às áreas ocupadas irregularmentes no sítio aeroportuário, o que além de ser um passivo ambiental, ser de fundamental importância para a análise do uso e ocupação do solo, ainda impacta de maneira significativa nos custos socioambiental do projeto.</t>
  </si>
  <si>
    <t>Explica a metodologia utilizada na análise de capacidade da PPD. Não apresenta referência ou justificativa para algumas das considerações adotadas. Apresenta planilha em anexo com o detalhamento dos cálculos, considerações e resultados. Há inconsistência na geometria considerada.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 Identifica limitações na utilização do sistema de pistas em item específico.</t>
  </si>
  <si>
    <t xml:space="preserve">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ativos qualificáveis de acordo com as práticas contábeis adotadas no Brasil.
</t>
  </si>
  <si>
    <t xml:space="preserve">Capítulos 2 e 3. 1) Não restou verificado no estudo análise de conformidade do aeroporto perante à ANVISA (processos e notificações); 2) Não foram identificadas informações relevantes quanto aos contratos comerciais vigentes, com atividades passíveis de licenciamento, cabendo ao novo operador o acompanhamento; 3) Quanto ao status de licenças e autorizações, o estudo não detalha se todas as disposições foram atendidas pelo aeroporto; 4) O estudo não informa da existência de processos judiciais sob a temática ambiental (Ex. regularização de áreas, desapropriações, reintegração de posse), o que possui relação com análise de regularidade ambiental e de análise em relação ao uso do solo no aeroporto. </t>
  </si>
  <si>
    <t xml:space="preserve">Capítulo 5. 1) Não restou identificado no estudo, detalhe e histórico de licenças e autorizações emitidas para ampliação ou adequação do aeroporto; 2) O estudo lista as Licenças ambientais das concessionárias, sem, contudo, descrever o objeto e observações ambientais; 3) Não foram identificadas informações quanto aos contratos comerciais vigentes, cujas características das atividades desevolvidas são passíveis de licenciamento, cabendo ao novo operador o acompanhamento.  </t>
  </si>
  <si>
    <t>Capítulo 6. Anexo 2. 1) Em uma análise comparativa dos estudos apresentados, verifica-se que o relatório identifica, analisa e precifica um total de 20 passivos ambientais. O relatório analisa de forma segmentada os passivos por: i) localização; ii) categoria; iii) origem; iv) aspectos; v) nível de risco; vi) dinâmica atual; e vi) área. No entanto, não indentifica, analisa e precifica todos os passivos ambientais para o aeroporto.</t>
  </si>
  <si>
    <t>Capítulo 4. Anexos 6 e 7 - Banco de Dados. 1) Em uma análise comparativa dos estudos apresentados, verifica-se que o relatório identifica, analisa e precifica um total de 25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</si>
  <si>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 xml:space="preserve">Anexo 2. Capítulo 6.  1) Em uma análise comparativa dos estudos apresentados, verifica-se que o relatório identifica e analisa um total de 8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</si>
  <si>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3, 5 e 7. 1) O estudo não analisa de forma aprofundada o plano diretor do Município, (Ex. Modelo urbano, sistema viário).</t>
  </si>
  <si>
    <t>Capítulos 2 e 5. Anexos 2, 4, 5 , 8 e 9 1) Não restou verificado no relatório análise do Plano de Zona de Proteção do Aeroporto e da Navegação Aérea (PBZPA e PZPANA); 2)  O estudo não analisa de forma aprofundada o plano diretor do Município, (Ex. Modelo urbano, sistema viário).</t>
  </si>
  <si>
    <r>
      <t xml:space="preserve">Capítulos 3 e 4. Anexo 1. 1) O estudo não informa da existência de processos judiciais sob a temática ambiental (Ex. regularização de áreas, desapropriações, reintegração de posse), o que possui relação com análise de regularidade ambiental e de análise em relação ao uso do solo no aeroporto; 2) Não restou identificada algumas autorizações para manejo de fauna emitidas para o aeroporto (Ex. IBAMA - Autorização 005-F) . Regularidade Ambiental. </t>
    </r>
    <r>
      <rPr>
        <i/>
        <sz val="12"/>
        <rFont val="Times New Roman"/>
        <family val="1"/>
      </rPr>
      <t xml:space="preserve"> </t>
    </r>
  </si>
  <si>
    <r>
      <rPr>
        <sz val="12"/>
        <rFont val="Times New Roman"/>
        <family val="1"/>
      </rPr>
      <t>Capítulo 6.</t>
    </r>
    <r>
      <rPr>
        <i/>
        <sz val="12"/>
        <rFont val="Times New Roman"/>
        <family val="1"/>
      </rPr>
      <t xml:space="preserve"> </t>
    </r>
  </si>
  <si>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nos componentes Pátio de Aviação Geral e Correios. No entanto, não há previsão de investimento em tal componente.
Não foi identificada no relatório de engenharia a justificativa para investimento em extensão/construção/ampliação nas TWY A e B, presente na planilha de CAPEX.
Não foram apresentadas justificativas para demolições de pavimentos não necessários nas fases de expansão da infraestrutura e cujas áreas não serão utilizadas. 
</t>
  </si>
  <si>
    <t>Não fica claro no relatório ou na planilha a fundamentação das premissas de prazos de pagamento e recebimentos que afetam o capital de giro descritos na tabela 21 do relatório.     
Apesar de mencionar a possibilidade de auferir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t>
  </si>
  <si>
    <t xml:space="preserve">Para o sistema de pistas, apresenta suas características e visão espacial, bem como avaliação de suas condições com registro fotográfico de uma das pistas de táxi. Apresenta registros fotográficos e avaliação das condições verificadas em visita para alguns componentes do TPS (balcões de check-in, praça de alimentação, via de acesso ao TPS e meio fio). Apresenta o pátio 1 (pátio principal) com localização em mapa e principais características. Ilustra a localização das vias de serviço do sistema. Seus acessos e estacionamentos de veículos são caracterizados, localizados em mapa e suas condições físicas são avaliadas. Equipamentos de rampa foram apresentados, ilustrados e avaliados. Para o sistema terminal de cargas, são apresentados pátio, estacionamento de veículos e vias de acesso viário, com localização em planta. Não apresenta fotos das condições verificadas para o sistema TECA.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da área de hangaragem, características e acesso viário, desacompanhados de registros fotográficos e avaliação das condições. Os sistemas de administração e manutenção, de apoio às operações e de apoio às companhias aéreas, bem como o sistema de infraestrutura básica encontram-se apresentados e localizados em planta. Para alguns itens, há registro fotográfico e avaliação das condições obervadas (infraestrutura básica). A localização de cada componente de sistema é apresentada no caderno de plantas (Implantação atual). </t>
  </si>
  <si>
    <t xml:space="preserve">Para o sistema de pistas, apresenta suas características e visão espacial, bem como breve avaliação de suas condições. Ilustra a localização das vias de serviço do sistema. Não apresenta fotos das condições das instalações obtidas durante as visitas ao aeroporto. Apresenta o sistema de TPS de forma desatualizada, já que o chamado TPS 2 (Eduardinho) encontra-se desativado. Seus acessos e estacionamentos de veículos são caracterizados, localizados em mapa e suas condições físicas são avaliadas. Não apresenta avaliação nem quaisquer registros fotográficos das condições verificadas em visita para nenhum dos componentes internos ao TPS. Apresenta o sistema de pátios por funcionalidade, com localização em mapa e principais características, com destaque para não conformidades verificadas e ilustradas. Para o sistema terminal de cargas, são apresentados pátio, estacionamento de veículos e vias de acesso viário, com localização e situação verificada. Não apresenta fotos das condições verificadas em visita para o sistema TECA. São apresentadas de forma suscinta as infraestruturas aeronáuticas e suas funcionalidades. Para o sistema de aviação geral, são apresentados os pátios associados, com características e localização. Apresenta as condições verificadas para o pavimento. Apresenta a localização da área de hangaragem, sem fotos ou maiores informações das estruturas. Os sistemas de administração e manutenção, de apoio às operações e de apoio às companhias aéreas, bem como o sistema industrial de apoio e de infraestrutura básica encontram-se apresentados. A localização de cada componente de sistema é apresentada no caderno de plantas (Implantação atual). </t>
  </si>
  <si>
    <t xml:space="preserve">Para o sistema de pistas, apresenta suas características e visão espacial, bem como avaliação de suas condições com registro fotográfico. Apresenta registros fotográficos e avaliação das condições verificadas em visita para alguns componentes do TPS (balcões de check-in, totens, praça de alimentação, restituição de bagagem, sistema ELO de embarque/desembarque e meio fio). Apresenta o pátio 1 (pátio principal) com localização em mapa e principais características, com destaque para não conformidades verificadas e ilustradas. Ilustra a localização das vias de serviço do sistema. Seus acessos e estacionamentos de veículos são caracterizados, localizados em mapa e suas condições físicas são avaliadas. Condições de acessibilidade foram verificadas. Equipamentos de rampa foram apresentados, ilustrados e avaliados.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da área de hangaragem, características e acesso viário, com registros fotográficos e avaliação das condições. Os sistemas de administração e manutenção, de apoio às operações e de apoio às companhias aéreas, bem como o sistema de infraestrutura básica encontram-se apresentados, localizados em planta, ilustrados em fotos e avaliados, sendo o item de energia elétrica é bastante simplificado. A localização de cada componente de sistema é apresentada satisfatoriamente no caderno de plantas (Implantação atual). </t>
  </si>
  <si>
    <t xml:space="preserve">Para o sistema de pistas, apresenta suas características e visão espacial, bem como avaliação de suas condições com registro fotográfico. Apresenta registros fotográficos e avaliação das condições verificadas em visita para alguns componentes do TPS (balcões de check-in, saguão de embarque, restituição de bagagem, sala de embarque e terraço panorâmico). Apresenta o pátio com localização em mapa e principais características, com destaque para não conformidades verificadas e ilustradas. Ilustra a localização das vias de acesso ao aeroporto e suas condições apresentadas. O estacionamento de veículos é apresentado, localizado em mapa e suas condições físicas são avaliadas. Equipamentos de rampa foram apresentados, ilustrados e avaliados. São apresentadas de forma suscinta as infraestruturas aeronáuticas e suas funcionalidades, ausente de registro fotográfico. Apresenta a localização da área de hangaragem com registro fotográfico ausente de avaliação das condições. Os sistemas de administração e manutenção, de apoio às operações e o sistema de infraestrutura básica encontram-se apresentados, localizados em planta e com algumas ilustrações, sendo o item de energia elétrica bastante simplificado. A localização de cada componente de sistema é apresentada satisfatoriamente no caderno de plantas (Implantação atual). </t>
  </si>
  <si>
    <t xml:space="preserve">Informa uma área para o TPS bastante inferior à área real (2.2.1). Para o sistema de pistas e vias de serviço associadas, apresenta suas características e visão espacial, bem como avaliação de suas condições com registro fotográfico. Apresenta registros fotográficos e avaliação das condições verificadas em visita para os componentes do TPS (balcões de check-in, praça de alimentação, sala de embarque, sala de inspeção e restituição de bagagem e meio fio). Apresenta o pátio 1 (pátio principal) com localização em mapa e principais características, com destaque para não conformidades verificadas e ilustradas. Não foram apresentadas as possíveis configurações do pátio de aeronaves. Ilustra a localização das vias de acesso ao aeroporto. O estacionamento de veículos é caracterizado, localizado em mapa e suas condições físicas são avaliadas. Equipamentos de rampa foram apresentados, ilustrados e avaliados. São apresentadas de forma suscinta as infraestruturas aeronáuticas e suas funcionalidades, sem registro fotográfico e avaliação. Os sistemas de administração e manutenção e de apoio às operações encontram-se apresentados, localizados em planta e ilustrados em fotos. Para o sistema de apoio às companhias aéreas, bem como o sistema de infraestrutura básica, foram localizadas as instalações e ilustradas em fotos, sendo o item de energia elétrica bastante simplificado. A localização de cada componente de sistema é apresentada satisfatoriamente no caderno de plantas (Implantação atual). </t>
  </si>
  <si>
    <t xml:space="preserve">Para o sistema de pistas, apresenta suas características e visão espacial, bem como avaliação de suas condições, sem registro fotográfico da PPD. Vias de serviço também foram apresentadas, localizadas em planta e avaliadas. Apresenta registros fotográficos e avaliação das condições verificadas em visita para alguns componentes do TPS (meio-fio, balcões de check-in, restituição de bagagem, sala de embarque, corredor de órgãos públicos e pontes de embarque). Apresenta o pátio de aviação regular (pátio 1) com localização em mapa e principais características, com destaque para não conformidades verificadas e ilustradas. Ilustra a ausência de vias de serviço no sistema. Os acessos ao aeroporto e estacionamentos de veículos são caracterizados, localizados em mapa e suas condições físicas são avaliadas. Equipamentos de rampa foram apresentados, ilustrados e avaliados. Para o sistema TECA as edificações e estruturas são apresentadas, localizadas em planta e avaliadas. São apresentadas de forma suscinta as infraestruturas aeronáuticas e suas funcionalidades, com registro fotográfico somente da torre de controle (ao fundo do TPS). Para o sistema de aviação geral, o pátio 2 é apresentado com características, localização e condições verificadas para o pavimento. Apresenta a localização da área de hangaragem, algumas características e acesso viário, com registro fotográfico de um dos hangares e avaliação das condições do conjunto. Os sistemas de administração e manutenção, de apoio às operações e de apoio às companhias aéreas, bem como o sistema de infraestrutura básica encontram-se apresentados, localizados em planta, ilustrados em fotos e avaliados, sendo alguns itens bastante simplificados. A localização de cada componente de sistema é apresentada no caderno de plantas (Implantação atual), alguns sem legenda. </t>
  </si>
  <si>
    <t>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Não considerou adequadamente os efeitos da due dilligence contratual, tendo em vista que não incorpora receitas adicionais que poderão ser auferidas em razão do encerramento de contratos comerciais subrogados pela Infraero (ex. TECA).</t>
  </si>
  <si>
    <t>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respectivos ativos qualificáveis de acordo com as práticas contábeis adotadas no Brasil.</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</si>
  <si>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nos componentes Parque de Abastecimento de Aeronaves - Tancagem, centro de Manutenção de Aeronaves e Correios. No entanto, não há previsão de investimento em tal componente.
Não foi identificado no relatório de engenharia justificativa para investimento em balizamento noturno e sinalização vertical da TWY B, presente na planilha de CAPEX (Fase I)
Há inconsistência nos quantitativos de construção de TPS estimados para a fase I.
Não foram apresentadas justificativas para demolições de pavimentos não necessários nas fases de expansão da infraestrutura e cujas áreas não serão utilizadas. </t>
  </si>
  <si>
    <t>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t>
  </si>
  <si>
    <r>
      <t xml:space="preserve"> Considera indevidamente recuperação de crédito PIS/COFINS sobre os gastos com pessoal. Ademais, não apresenta embasamento detalhado para a definição da premissa de aproveitamento de créditos PIS/COFINS.
Traz uma análise demsasiadamente simplificada para as receitas comerciais identificando apenas as rubricas de concessões de áreas e combustíveis
Os valores apresentados no Relatório financeiro ( Tabela 5-12) para ressarcimento dos estudos, condução do leilão e Programa de Adequação do Efetivo não condizem com os valores emanados de diretriz da SAC.
</t>
    </r>
    <r>
      <rPr>
        <strike/>
        <sz val="12"/>
        <rFont val="Times New Roman"/>
        <family val="1"/>
      </rPr>
      <t xml:space="preserve">
</t>
    </r>
  </si>
  <si>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nos componentes Terminal de Cargas, Hangares e Pátios, Centro de Manutenção de Aeronaves. No entanto, não há previsão de investimento em tal componente.
Não foi identificado no relatório de engenharia a justificativa para investimento em extensão/construção/ampliação da TWY A, presente na planilha de CAPEX (Fase I)
Há inconsistência nos quantitativos de construção de TPS estimados para a fase I.
Não foram apresentadas justificativas para demolições de pavimentos e estruturas não necessários nas fases de expansão da infraestrutura e cujas áreas não serão utilizadas.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</si>
  <si>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nos componentes Terminal de Cargas, Processamento de Carga de Companhias Aéreas e Centro de Manutenção de Aeronaves. No entanto, não há previsão de investimento em tal componente.
Não foi identificado no relatório de engenharia a justificativa para investimento em extensão/construção/ampliação da TWY A, presente na planilha de CAPEX (Fase I).
Há inconsistência nos quantitativos de construção de TPS estimados para a fase I.
Não foram apresentadas justificativas para demolições de pavimentos não necessários nas fases de expansão da infraestrutura e cujas áreas não serão utilizadas.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</si>
  <si>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Há inconsistência no quantitativo de pavimento flexível utilizado para cálculo do capex referente ao pátio de aeronaves 2 (Fase I).
Não foi identificado no relatório de engenharia a justificativa para investimento em extensão/construção/ampliação da TWY A, presente na planilha de CAPEX (Fase I)
Há inconsistência nos quantitativos de construção de TPS estimados para a fase I.
Não foram apresentadas justificativas para demolições de pavimentos não necessários nas fases de expansão da infraestrutura e cujas áreas não serão utilizadas. </t>
  </si>
  <si>
    <t xml:space="preserve">
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</si>
  <si>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Não foi identificado no relatório de engenharia a justificativa para investimento em balizamento noturno e sinalização vertical na TWY A, presente na planilha de CAPEX.
</t>
  </si>
  <si>
    <t>Apresenta as não conformidades identificadas pela empresa bem como as ações a serem realizadas para mitigar o problema com respectivos prazos previstos em TAC celebrado para o aeroporto. Apresenta dados obtidos de levantametos via NOTAM para período superior a 5 anos. Verificou-se inconsistência entre o equipamento afetado e a situação objeto de publicação aeronáutica (tabela 4). Verificou-se ausência de informações quanto ao andamento das ações de correção das não conformidades.</t>
  </si>
  <si>
    <t>Apresenta avaliação das instalações existentes de forma bem ilustrada por fotos e bem organizada, por sistema. Descreve com detalhes as estruturas existentes, apresenta em planta a sua localização e ilustra pontos levantados com fotos. Na avaliação do TPS, lista as áreas por componente. Na avaliação do acesso viário, apresenta o fluxo de acesso aos terminais e aos demais componentes. Na avaliação do TECA, apresenta as edificações, os acessos, as áreas de carga e descarga, estacionamento, equipamentos e operador atual. Apresenta os sistemas de pistas com suas dimensões, croqui de localização, características do pavimento, fluxo dos acessos e avalação de suas instalações. Verificou-se que o PCN indicado na tabela 1-37 para as novas pistas de táxi (F, G,  H, J, K, L, T) estão desatualizados. Na caracterização do sistema de pistas, não apresenta o comprimento total da PPD conforme constante na LCA. Também foram apresentados e avaliados os componentes de infraestrutura aeronáutica verificados no aeroporto. Na avaliação do sistema de aviação geral apresenta a localização e situação verificada in loco para os hangares e pátios associados, além das condições do acesso viário. Sistema de administração e manutenção também encontram-se apresentados e avaliados.</t>
  </si>
  <si>
    <t>_ Não foi identificada a metodologia própria da participante para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faixa de assentos, velocidade de cruzamento de cabeceira), qualificação da análise com base em outros dados que não os utilizados nos estudos adotados, caracterização do perfil dos passageiros, análise da evolução da frota de aeronaves,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</si>
  <si>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_ Não foi identificada a metodologia própria da participante para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faixa de assentos, velocidade de cruzamento de cabeceira), qualificação da análise com base em outros dados que não os utilizados nos estudos adotados, caracterização do perfil dos passageiros, análise da evolução da frota de aeronaves,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_Inconsistência entre texto e tabela quanto a dados de passageiros internacionais em 2018
_Apresenta histórico de movimento de aeronaves de SBCT ao invés de SBNF</t>
  </si>
  <si>
    <t xml:space="preserve">_ Não foi identificada a metodologia própria da participante para projeção de demanda de passageiros, aeronaves, carga aérea e demandas em hora pico. Identificou-se a adoção e/ou reprodução de trabalhos desenvolvidos pela SAC, pela INFRAERO e pelo então IAC (tais como "Projeções de demanda para os aeroportos brasileiros 2017-2037", "Plano Diretor do Aeroporto de Bacacheri - PDir SBBI/2014"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
</t>
  </si>
  <si>
    <t>_Não foi identificada a metodologia própria da participante para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faixa de assentos, velocidade de cruzamento de cabeceira), qualificação da análise com base em outros dados que não os utilizados nos estudos adotados, caracterização do perfil dos passageiros, análise da evolução da frota de aeronaves,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</si>
  <si>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Rio Branco - PDir SBRB/2012"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</si>
  <si>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 xml:space="preserve">_ Não foi identificada a metodologia própria da participante para projeção de demanda de passageiros, aeronaves, carga aérea e demandas em hora pico. Identificou-se a adoção e reprodução de trabalhos desenvolvidos pela SAC, pela INFRAERO e pelo então IAC (tais como "Projeções de demanda para os aeroportos brasileiros 2017-2037", "Plano Diretor do Aeroporto de Bagé - PDir SBBG/2015"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
</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</si>
  <si>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Uruguaiana - PDir SBUG/2014"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</si>
  <si>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Pelotas - PDir SBPK/2014"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</si>
  <si>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Cruzeiro do Sul - PDir SBCZ/2012"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</si>
  <si>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Tabatinga - PDir SBTT/2012"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</si>
  <si>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Tefé - PDir SBTF/2014"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</si>
  <si>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alega ter realizado ajustes, sem entrar em detalhes da metodologia empregada para tal, tampouco em análises de implicações de tais ajustes ao modelo.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(regular/não regular, faixa de assentos,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</si>
  <si>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 xml:space="preserve">_ Não foi identificada a metodologia própria da participante de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alega ter realizado ajustes, sem entrar em detalhes da metodologia empregada para tal, tampouco em análises de implicações de tais ajustes ao modelo.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(regular/não regular, faixa de assentos,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_Faz referência a SBFI, ao invés de SNBF, ao apresentar projeção de movimento de aeronaves </t>
  </si>
  <si>
    <t>_ Não foi identificada a metodologia própria da participante de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(regular/não regular, faixa de assentos,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</si>
  <si>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Tefé - PDir SBTF/2014" e "Demanda Detalhada dos Aeroportos Brasileiros – 2005"),  em que a participanterealizou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</si>
  <si>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Tabatinga - PDir SBTT/2012"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</si>
  <si>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Cruzeiro do Sul - PDir SBCZ/2012"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</si>
  <si>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Rio Branco - PDir SBRB/2012"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</si>
  <si>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e aeronaves e demandas em hora pico. Identificou-se a adoção e/ou reprodução de trabalhos desenvolvidos pela SAC, pela INFRAERO e pelo então IAC (tais como "Projeções de demanda para os aeroportos brasileiros 2017-2037", "Plano Diretor do Aeroporto de Bagé - PDir SBBG/2015"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</si>
  <si>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Uruguaiana - PDir SBUG/2014"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</si>
  <si>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Pelotas - PDir SBPK/2014"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</si>
  <si>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e aeronaves e demandas em hora pico. Identificou-se a adoção e/ou reprodução de trabalhos desenvolvidos pela SAC, pela INFRAERO e pelo então IAC (tais como "Projeções de demanda para os aeroportos brasileiros 2017-2037", "Plano Diretor do Aeroporto de Bacacheri - PDir SBBI/2014"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</si>
  <si>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(tais como "Projeções de demanda para os aeroportos brasileiros 2017-2037" e "Plano Aeroviário Nacional - PAN"), em que a participante realizou apenas ajustes, atualizações e/ou extrapolações, cujas metodologias são apresentadas de forma pouco detalhada e pouco fundamentada e cujas implicações sobre o modelo original não são avaliadas. 
_ Quanto à aviação executiva, a participante menciona haver "falta de detalhamento nos estudos da SAC" e, de forma similar, utiliza outros fatores de crescimento anual sem abordar o racional utilizado para tal.
_ Para períodos do horizonte para os quais, segundo a participante, "não se tem uma referência de estudos dos órgãos oficiais", utilizam racionais sem embasamento teórico que atestem sua validade.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</si>
  <si>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_ Não foi identificada a metodologia própria da participante de projeção de demanda de passageiros, aeronaves, carga aérea e demandas em hora pico. Identificou-se a adoção e/ou reprodução de trabalhos desenvolvidos pela SAC, pela INFRAERO e pelo então IAC (tais como "Projeções de demanda para os aeroportos brasileiros 2017-2037", "Plano Diretor do Aeroporto de Bacacheri - PDir SBBI/2014"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</si>
  <si>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Pelotas - PDir SBPK/2014"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</si>
  <si>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Uruguaiana - PDir SBUG/2014"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</si>
  <si>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pela INFRAERO e pelo então IAC (tais como "Projeções de demanda para os aeroportos brasileiros 2017-2037", "Plano Diretor do Aeroporto de Bagé - PDir SBBG/2015"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</si>
  <si>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Rio Branco - PDir SBRB/2012"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</si>
  <si>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Cruzeiro do Sul - PDir SBCZ/2012"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</si>
  <si>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Tabatinga - PDir SBTT/2012"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</si>
  <si>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Tefé - PDir SBTF/2014"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</si>
  <si>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 xml:space="preserve">Média dos relatórios </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</si>
  <si>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_Problema referência. Pg 93.
_Problema referência. Pg 160
_Tabela 7-5: Indica PIB Indústria para projeção de Farmacêuticos, mas o real é PIB Serviços
_Modelo de regressão (Equação 6-2) sem indicação de Ln na variável Pib Mundo</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</si>
  <si>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_Tabela 7-5: Indica PIB Indústria para projeção de Farmacêuticos, mas o real é PIB Serviços
_Modelo de regressão (Equação 6-2) sem indicação de Ln na variável Pib Mundo</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</si>
  <si>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t>
  </si>
  <si>
    <r>
      <t xml:space="preserve">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t>
    </r>
    <r>
      <rPr>
        <sz val="12"/>
        <rFont val="Arial"/>
        <family val="2"/>
      </rPr>
      <t>_Modelo de regressão (Equação 6-2) sem indicação de Ln na variável Pib Mundo</t>
    </r>
  </si>
  <si>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_Tabela 7-5: Indica PIB Indústria para projeção de Farmacêuticos, mas o real é PIB Serviços
_Modelo de regressão (Equação 6-2) sem indicação de Ln na variável Pib Mundo
_SBUA foi citado na análise de competição intramodal de SBEG. No entando não há menção ao aeroporto na divisão de mercado entre aeroportos competidores.</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</si>
  <si>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
_SBVH foi citado na análise de competição intramodal de SBPV. No entando não há menção ao aeroporto na divisão de mercado entre aeroportos competidores.</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</si>
  <si>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
_Aeronave crítica (classe VI) apontada na Tabela 9-4 não condiz com as (classe V) levantadas no pico de movimentos da Tabela 9-3.</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</si>
  <si>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
_Tabela 7-5: Indica PIB Indústria para projeção de Farmacêuticos, mas o real é PIB Serviços</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</si>
  <si>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_Tabela 7-5: Indica PIB Indústria para projeção de Farmacêuticos, mas o real é PIB Serviços
_Modelo de regressão (Equação 6-2) sem indicação de Ln na variável Pib Mundo
_fragilidade na premissa de que o aeroporto conseguiria atender demanda por voos internacionais para a Europa tendo em vista o alcance revelado pela Figura 10-2</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</si>
  <si>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
_Projeção de demanda doméstica considera que SBPB captura pequena parte da projeção de demanda doméstica de SBSL. No entanto, nem a formulação da RI, nem a análise intramodal indicaram serem os dois aeroportos competidores pela mesma demanda.</t>
  </si>
  <si>
    <t xml:space="preserve">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
</t>
  </si>
  <si>
    <t xml:space="preserve">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_Racional de projeção de cargas de exportação (fruta) contém fragilidade ao basear-se apenas na importação de SBKP, sem considerar a capacidade produtiva local.
_Modelo de regressão (Equação 6-2) sem indicação de Ln na variável Pib Mundo
</t>
  </si>
  <si>
    <t>_Faz uso moderado de extrapolações de panoramas recentes e  de tendências históricas para projeções de longo prazo, sem fundamentar suficientemente as premissas.</t>
  </si>
  <si>
    <t>_Faz uso moderado de extrapolações de panoramas recentes e  de tendências históricas para projeções de longo prazo, sem fundamentar suficientemente as premissas.
_ exploração pouco detalhada de técnicas econométricas e de testes de validação dos modelos econométricos escolhidos.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</si>
</sst>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 #,##0_-;_-* &quot;-&quot;??_-;_-@_-"/>
    <numFmt numFmtId="165" formatCode="_-* #,##0.000_-;\-* #,##0.000_-;_-* &quot;-&quot;??_-;_-@_-"/>
    <numFmt numFmtId="166" formatCode="_-* #,##0.000_-;\-* #,##0.000_-;_-* &quot;-&quot;???_-;_-@_-"/>
    <numFmt numFmtId="167" formatCode="_-* #,##0.0000_-;\-* #,##0.0000_-;_-* &quot;-&quot;??_-;_-@_-"/>
  </numFmts>
  <fonts count="22"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Times New Roman"/>
      <family val="1"/>
    </font>
    <font>
      <b/>
      <sz val="11"/>
      <color theme="1"/>
      <name val="Times New Roman"/>
      <family val="1"/>
    </font>
    <font>
      <b/>
      <sz val="12"/>
      <color theme="1"/>
      <name val="Times New Roman"/>
      <family val="1"/>
    </font>
    <font>
      <b/>
      <sz val="11"/>
      <color rgb="FFFF0000"/>
      <name val="Times New Roman"/>
      <family val="1"/>
    </font>
    <font>
      <sz val="11"/>
      <name val="Times New Roman"/>
      <family val="1"/>
    </font>
    <font>
      <sz val="12"/>
      <name val="Times New Roman"/>
      <family val="1"/>
    </font>
    <font>
      <sz val="11"/>
      <color rgb="FFFF0000"/>
      <name val="Calibri"/>
      <family val="2"/>
      <scheme val="minor"/>
    </font>
    <font>
      <sz val="9"/>
      <color indexed="81"/>
      <name val="Tahoma"/>
      <family val="2"/>
    </font>
    <font>
      <b/>
      <sz val="9"/>
      <color indexed="81"/>
      <name val="Tahoma"/>
      <family val="2"/>
    </font>
    <font>
      <sz val="11"/>
      <name val="Calibri"/>
      <family val="2"/>
      <scheme val="minor"/>
    </font>
    <font>
      <i/>
      <sz val="12"/>
      <name val="Times New Roman"/>
      <family val="1"/>
    </font>
    <font>
      <sz val="11"/>
      <color rgb="FFFF0000"/>
      <name val="Times New Roman"/>
      <family val="1"/>
    </font>
    <font>
      <i/>
      <sz val="11"/>
      <color rgb="FF0070C0"/>
      <name val="Times New Roman"/>
      <family val="1"/>
    </font>
    <font>
      <sz val="12"/>
      <color theme="1"/>
      <name val="Times New Roman"/>
      <family val="1"/>
    </font>
    <font>
      <strike/>
      <sz val="12"/>
      <name val="Times New Roman"/>
      <family val="1"/>
    </font>
    <font>
      <sz val="12"/>
      <color rgb="FF000000"/>
      <name val="Times New Roman"/>
      <family val="1"/>
    </font>
    <font>
      <sz val="12"/>
      <name val="Comfortaa"/>
    </font>
    <font>
      <sz val="12"/>
      <name val="Arial"/>
      <family val="2"/>
    </font>
    <font>
      <sz val="12"/>
      <name val="Calibri"/>
      <family val="2"/>
      <scheme val="minor"/>
    </font>
  </fonts>
  <fills count="14">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darkGrid">
        <bgColor theme="0"/>
      </patternFill>
    </fill>
    <fill>
      <patternFill patternType="darkGrid">
        <bgColor theme="0" tint="-4.9989318521683403E-2"/>
      </patternFill>
    </fill>
    <fill>
      <patternFill patternType="solid">
        <fgColor rgb="FFFFFFFF"/>
        <bgColor indexed="64"/>
      </patternFill>
    </fill>
    <fill>
      <patternFill patternType="solid">
        <fgColor theme="8" tint="0.79998168889431442"/>
        <bgColor indexed="64"/>
      </patternFill>
    </fill>
    <fill>
      <patternFill patternType="solid">
        <fgColor theme="0" tint="-4.9989318521683403E-2"/>
        <bgColor rgb="FFFFFFFF"/>
      </patternFill>
    </fill>
    <fill>
      <patternFill patternType="solid">
        <fgColor theme="0" tint="-4.9989318521683403E-2"/>
        <bgColor rgb="FFFCE5CD"/>
      </patternFill>
    </fill>
    <fill>
      <patternFill patternType="solid">
        <fgColor theme="0" tint="-4.9989318521683403E-2"/>
        <bgColor rgb="FFD9EAD3"/>
      </patternFill>
    </fill>
    <fill>
      <patternFill patternType="solid">
        <fgColor theme="0" tint="-4.9989318521683403E-2"/>
        <bgColor rgb="FFCFE2F3"/>
      </patternFill>
    </fill>
    <fill>
      <patternFill patternType="solid">
        <fgColor theme="0" tint="-4.9989318521683403E-2"/>
        <bgColor rgb="FFC9DAF8"/>
      </patternFill>
    </fill>
    <fill>
      <patternFill patternType="solid">
        <fgColor theme="0" tint="-4.9989318521683403E-2"/>
        <bgColor theme="0"/>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245">
    <xf numFmtId="0" fontId="0" fillId="0" borderId="0" xfId="0"/>
    <xf numFmtId="0" fontId="5" fillId="2" borderId="1" xfId="0" applyFont="1" applyFill="1" applyBorder="1" applyAlignment="1">
      <alignment horizontal="center"/>
    </xf>
    <xf numFmtId="0" fontId="3" fillId="2" borderId="1" xfId="0" applyFont="1" applyFill="1" applyBorder="1" applyAlignment="1">
      <alignment horizontal="center" wrapText="1"/>
    </xf>
    <xf numFmtId="0" fontId="0" fillId="3" borderId="0" xfId="0" applyFill="1"/>
    <xf numFmtId="0" fontId="0" fillId="3" borderId="2" xfId="0" applyFill="1" applyBorder="1"/>
    <xf numFmtId="0" fontId="0" fillId="3" borderId="6" xfId="0" applyFill="1" applyBorder="1"/>
    <xf numFmtId="0" fontId="0" fillId="3" borderId="9" xfId="0" applyFill="1" applyBorder="1"/>
    <xf numFmtId="43" fontId="0" fillId="3" borderId="10" xfId="2" applyFont="1" applyFill="1" applyBorder="1"/>
    <xf numFmtId="0" fontId="0" fillId="3" borderId="0" xfId="0" applyFill="1" applyBorder="1"/>
    <xf numFmtId="0" fontId="0" fillId="3" borderId="11" xfId="0" applyFill="1" applyBorder="1"/>
    <xf numFmtId="0" fontId="0" fillId="3" borderId="1" xfId="0" applyFill="1" applyBorder="1"/>
    <xf numFmtId="10" fontId="0" fillId="3" borderId="1" xfId="0" applyNumberFormat="1" applyFill="1" applyBorder="1"/>
    <xf numFmtId="0" fontId="0" fillId="3" borderId="14" xfId="0" applyFill="1" applyBorder="1"/>
    <xf numFmtId="0" fontId="0" fillId="3" borderId="15" xfId="0" applyFill="1" applyBorder="1"/>
    <xf numFmtId="0" fontId="2" fillId="2" borderId="8" xfId="0" applyFont="1" applyFill="1" applyBorder="1" applyAlignment="1">
      <alignment horizontal="center"/>
    </xf>
    <xf numFmtId="43" fontId="2" fillId="2" borderId="10" xfId="2" applyFont="1" applyFill="1" applyBorder="1" applyAlignment="1">
      <alignment horizontal="center"/>
    </xf>
    <xf numFmtId="43" fontId="2" fillId="2" borderId="13" xfId="2" applyFont="1" applyFill="1" applyBorder="1" applyAlignment="1">
      <alignment horizontal="center"/>
    </xf>
    <xf numFmtId="0" fontId="2" fillId="2" borderId="16" xfId="0" applyFont="1" applyFill="1" applyBorder="1" applyAlignment="1">
      <alignment horizontal="center" wrapText="1"/>
    </xf>
    <xf numFmtId="43" fontId="0" fillId="2" borderId="16" xfId="0" applyNumberFormat="1" applyFill="1" applyBorder="1"/>
    <xf numFmtId="43" fontId="0" fillId="2" borderId="17" xfId="0" applyNumberFormat="1" applyFill="1" applyBorder="1"/>
    <xf numFmtId="0" fontId="2" fillId="2" borderId="1" xfId="0" applyFont="1" applyFill="1" applyBorder="1" applyAlignment="1">
      <alignment horizontal="center" wrapText="1"/>
    </xf>
    <xf numFmtId="0" fontId="0" fillId="3" borderId="10" xfId="0" applyFill="1" applyBorder="1" applyAlignment="1">
      <alignment horizontal="center"/>
    </xf>
    <xf numFmtId="10" fontId="0" fillId="3" borderId="12" xfId="0" applyNumberFormat="1" applyFill="1" applyBorder="1"/>
    <xf numFmtId="165" fontId="2" fillId="2" borderId="10" xfId="2" applyNumberFormat="1" applyFont="1" applyFill="1" applyBorder="1" applyAlignment="1">
      <alignment horizontal="center"/>
    </xf>
    <xf numFmtId="166" fontId="0" fillId="3" borderId="0" xfId="0" applyNumberFormat="1" applyFill="1"/>
    <xf numFmtId="164" fontId="0" fillId="3" borderId="0" xfId="2" applyNumberFormat="1" applyFont="1" applyFill="1"/>
    <xf numFmtId="43" fontId="0" fillId="3" borderId="0" xfId="0" applyNumberFormat="1" applyFill="1"/>
    <xf numFmtId="10" fontId="0" fillId="3" borderId="0" xfId="0" applyNumberFormat="1" applyFill="1"/>
    <xf numFmtId="10" fontId="9" fillId="3" borderId="1" xfId="0" applyNumberFormat="1" applyFont="1" applyFill="1" applyBorder="1"/>
    <xf numFmtId="10" fontId="9" fillId="3" borderId="9" xfId="0" applyNumberFormat="1" applyFont="1" applyFill="1" applyBorder="1"/>
    <xf numFmtId="10" fontId="0" fillId="3" borderId="0" xfId="0" applyNumberFormat="1" applyFill="1" applyBorder="1"/>
    <xf numFmtId="0" fontId="0" fillId="4" borderId="9" xfId="0" applyFill="1" applyBorder="1"/>
    <xf numFmtId="10" fontId="0" fillId="4" borderId="1" xfId="0" applyNumberFormat="1" applyFill="1" applyBorder="1"/>
    <xf numFmtId="165" fontId="2" fillId="5" borderId="10" xfId="2" applyNumberFormat="1" applyFont="1" applyFill="1" applyBorder="1" applyAlignment="1">
      <alignment horizontal="center"/>
    </xf>
    <xf numFmtId="10" fontId="9" fillId="3" borderId="0" xfId="0" applyNumberFormat="1" applyFont="1" applyFill="1" applyBorder="1"/>
    <xf numFmtId="43" fontId="0" fillId="3" borderId="0" xfId="0" applyNumberFormat="1" applyFill="1" applyBorder="1"/>
    <xf numFmtId="0" fontId="0" fillId="6" borderId="0" xfId="0" applyFill="1" applyBorder="1"/>
    <xf numFmtId="10" fontId="0" fillId="6" borderId="0" xfId="0" applyNumberFormat="1" applyFill="1" applyBorder="1"/>
    <xf numFmtId="43" fontId="2" fillId="6" borderId="0" xfId="2" applyFont="1" applyFill="1" applyBorder="1" applyAlignment="1">
      <alignment horizontal="center"/>
    </xf>
    <xf numFmtId="10" fontId="9" fillId="6" borderId="0" xfId="0" applyNumberFormat="1" applyFont="1" applyFill="1" applyBorder="1"/>
    <xf numFmtId="43" fontId="0" fillId="6" borderId="0" xfId="0" applyNumberFormat="1" applyFill="1" applyBorder="1"/>
    <xf numFmtId="43" fontId="0" fillId="3" borderId="0" xfId="2" applyFont="1" applyFill="1" applyBorder="1"/>
    <xf numFmtId="164" fontId="0" fillId="3" borderId="0" xfId="2" applyNumberFormat="1" applyFont="1" applyFill="1" applyBorder="1"/>
    <xf numFmtId="10" fontId="9" fillId="3" borderId="11" xfId="0" applyNumberFormat="1" applyFont="1" applyFill="1" applyBorder="1"/>
    <xf numFmtId="10" fontId="9" fillId="3" borderId="12" xfId="0" applyNumberFormat="1" applyFont="1" applyFill="1" applyBorder="1"/>
    <xf numFmtId="43" fontId="0" fillId="3" borderId="13" xfId="2" applyFont="1" applyFill="1" applyBorder="1"/>
    <xf numFmtId="9" fontId="0" fillId="3" borderId="9" xfId="1" applyFont="1" applyFill="1" applyBorder="1"/>
    <xf numFmtId="10" fontId="12" fillId="3" borderId="1" xfId="0" applyNumberFormat="1" applyFont="1" applyFill="1" applyBorder="1"/>
    <xf numFmtId="10" fontId="12" fillId="3" borderId="9" xfId="0" applyNumberFormat="1" applyFont="1" applyFill="1" applyBorder="1"/>
    <xf numFmtId="10" fontId="0" fillId="3" borderId="9" xfId="1" applyNumberFormat="1" applyFont="1" applyFill="1" applyBorder="1"/>
    <xf numFmtId="10" fontId="0" fillId="3" borderId="1" xfId="1" applyNumberFormat="1" applyFont="1" applyFill="1" applyBorder="1"/>
    <xf numFmtId="0" fontId="0" fillId="3" borderId="24" xfId="0" applyFill="1" applyBorder="1"/>
    <xf numFmtId="10" fontId="0" fillId="3" borderId="2" xfId="0" applyNumberFormat="1" applyFill="1" applyBorder="1"/>
    <xf numFmtId="165" fontId="2" fillId="2" borderId="8" xfId="2" applyNumberFormat="1" applyFont="1" applyFill="1" applyBorder="1" applyAlignment="1">
      <alignment horizontal="center"/>
    </xf>
    <xf numFmtId="10" fontId="12" fillId="3" borderId="24" xfId="0" applyNumberFormat="1" applyFont="1" applyFill="1" applyBorder="1"/>
    <xf numFmtId="10" fontId="12" fillId="3" borderId="2" xfId="0" applyNumberFormat="1" applyFont="1" applyFill="1" applyBorder="1"/>
    <xf numFmtId="43" fontId="0" fillId="2" borderId="25" xfId="0" applyNumberFormat="1" applyFill="1" applyBorder="1"/>
    <xf numFmtId="43" fontId="0" fillId="3" borderId="8" xfId="2" applyFont="1" applyFill="1" applyBorder="1"/>
    <xf numFmtId="10" fontId="0" fillId="3" borderId="24" xfId="1" applyNumberFormat="1" applyFont="1" applyFill="1" applyBorder="1"/>
    <xf numFmtId="10" fontId="0" fillId="3" borderId="2" xfId="1" applyNumberFormat="1" applyFont="1" applyFill="1" applyBorder="1"/>
    <xf numFmtId="165" fontId="2" fillId="3" borderId="10" xfId="2" applyNumberFormat="1" applyFont="1" applyFill="1" applyBorder="1" applyAlignment="1">
      <alignment horizontal="center"/>
    </xf>
    <xf numFmtId="43" fontId="2" fillId="3" borderId="10" xfId="2" applyFont="1" applyFill="1" applyBorder="1" applyAlignment="1">
      <alignment horizontal="center"/>
    </xf>
    <xf numFmtId="43" fontId="0" fillId="3" borderId="0" xfId="2" applyFont="1" applyFill="1"/>
    <xf numFmtId="43" fontId="0" fillId="3" borderId="16" xfId="0" applyNumberFormat="1" applyFill="1" applyBorder="1"/>
    <xf numFmtId="165" fontId="2" fillId="3" borderId="8" xfId="2" applyNumberFormat="1" applyFont="1" applyFill="1" applyBorder="1" applyAlignment="1">
      <alignment horizontal="center"/>
    </xf>
    <xf numFmtId="43" fontId="0" fillId="3" borderId="25" xfId="0" applyNumberFormat="1" applyFill="1" applyBorder="1"/>
    <xf numFmtId="0" fontId="5" fillId="2" borderId="2" xfId="0" applyFont="1" applyFill="1" applyBorder="1" applyAlignment="1">
      <alignment horizontal="center"/>
    </xf>
    <xf numFmtId="0" fontId="3" fillId="2" borderId="2" xfId="0" applyFont="1" applyFill="1" applyBorder="1" applyAlignment="1">
      <alignment horizontal="center" wrapText="1"/>
    </xf>
    <xf numFmtId="10" fontId="0" fillId="3" borderId="0" xfId="1" applyNumberFormat="1" applyFont="1" applyFill="1"/>
    <xf numFmtId="9" fontId="0" fillId="3" borderId="0" xfId="0" applyNumberFormat="1" applyFill="1"/>
    <xf numFmtId="0" fontId="3" fillId="2" borderId="2" xfId="0" applyFont="1" applyFill="1" applyBorder="1" applyAlignment="1">
      <alignment horizontal="center" vertical="center" wrapText="1"/>
    </xf>
    <xf numFmtId="43" fontId="0" fillId="2" borderId="1" xfId="0" applyNumberFormat="1" applyFill="1" applyBorder="1"/>
    <xf numFmtId="167" fontId="2" fillId="3" borderId="0" xfId="2" applyNumberFormat="1" applyFont="1" applyFill="1" applyBorder="1" applyAlignment="1">
      <alignment horizontal="center"/>
    </xf>
    <xf numFmtId="0" fontId="7" fillId="2" borderId="0" xfId="0" applyFont="1" applyFill="1"/>
    <xf numFmtId="0" fontId="3" fillId="2" borderId="0" xfId="0" applyFont="1" applyFill="1"/>
    <xf numFmtId="0" fontId="3" fillId="2" borderId="0" xfId="0" applyFont="1" applyFill="1" applyAlignment="1">
      <alignment horizontal="center" vertical="center"/>
    </xf>
    <xf numFmtId="0" fontId="0" fillId="2" borderId="0" xfId="0" applyFill="1"/>
    <xf numFmtId="0" fontId="8" fillId="2" borderId="1" xfId="0" applyFont="1" applyFill="1" applyBorder="1"/>
    <xf numFmtId="0" fontId="8" fillId="2" borderId="1" xfId="0" applyFont="1" applyFill="1" applyBorder="1" applyAlignment="1">
      <alignment vertical="center" wrapText="1"/>
    </xf>
    <xf numFmtId="0" fontId="8" fillId="2" borderId="1" xfId="0" applyFont="1" applyFill="1" applyBorder="1" applyAlignment="1">
      <alignment horizontal="center"/>
    </xf>
    <xf numFmtId="9" fontId="8" fillId="2" borderId="1" xfId="1" applyNumberFormat="1" applyFont="1" applyFill="1" applyBorder="1" applyAlignment="1">
      <alignment horizontal="center"/>
    </xf>
    <xf numFmtId="9" fontId="8" fillId="2" borderId="1" xfId="1" applyFont="1" applyFill="1" applyBorder="1" applyProtection="1"/>
    <xf numFmtId="0" fontId="8" fillId="2" borderId="1" xfId="0" applyFont="1" applyFill="1" applyBorder="1" applyAlignment="1">
      <alignment wrapText="1"/>
    </xf>
    <xf numFmtId="0" fontId="8" fillId="8" borderId="1" xfId="0" applyFont="1" applyFill="1" applyBorder="1" applyAlignment="1">
      <alignment horizontal="center" vertical="center"/>
    </xf>
    <xf numFmtId="10" fontId="8" fillId="8" borderId="1" xfId="0" applyNumberFormat="1" applyFont="1" applyFill="1" applyBorder="1" applyAlignment="1">
      <alignment horizontal="center" vertical="center"/>
    </xf>
    <xf numFmtId="9" fontId="8" fillId="2" borderId="1" xfId="1" applyFont="1" applyFill="1" applyBorder="1" applyAlignment="1" applyProtection="1">
      <alignment horizontal="center" vertical="center"/>
    </xf>
    <xf numFmtId="0" fontId="8" fillId="8" borderId="1" xfId="0" applyFont="1" applyFill="1" applyBorder="1" applyAlignment="1">
      <alignment vertical="center" wrapText="1"/>
    </xf>
    <xf numFmtId="0" fontId="8" fillId="8" borderId="1" xfId="0" applyFont="1" applyFill="1" applyBorder="1" applyAlignment="1">
      <alignment horizontal="left" vertical="center" wrapText="1"/>
    </xf>
    <xf numFmtId="0" fontId="3" fillId="2" borderId="1" xfId="0" applyFont="1" applyFill="1" applyBorder="1" applyAlignment="1">
      <alignment horizontal="center"/>
    </xf>
    <xf numFmtId="9" fontId="3" fillId="2" borderId="1" xfId="1" applyNumberFormat="1" applyFont="1" applyFill="1" applyBorder="1" applyAlignment="1">
      <alignment horizontal="center"/>
    </xf>
    <xf numFmtId="9" fontId="3" fillId="2" borderId="1" xfId="1" applyFont="1" applyFill="1" applyBorder="1" applyProtection="1"/>
    <xf numFmtId="0" fontId="3" fillId="2" borderId="1" xfId="0" applyFont="1" applyFill="1" applyBorder="1" applyAlignment="1">
      <alignment wrapText="1"/>
    </xf>
    <xf numFmtId="0" fontId="8" fillId="9" borderId="1" xfId="0" applyFont="1" applyFill="1" applyBorder="1" applyAlignment="1">
      <alignment horizontal="center" vertical="center"/>
    </xf>
    <xf numFmtId="10" fontId="8" fillId="9" borderId="1" xfId="0" applyNumberFormat="1" applyFont="1" applyFill="1" applyBorder="1" applyAlignment="1">
      <alignment horizontal="center" vertical="center"/>
    </xf>
    <xf numFmtId="0" fontId="8" fillId="9" borderId="1" xfId="0" applyFont="1" applyFill="1" applyBorder="1" applyAlignment="1">
      <alignment vertical="center" wrapText="1"/>
    </xf>
    <xf numFmtId="0" fontId="8" fillId="9" borderId="1" xfId="0" applyFont="1" applyFill="1" applyBorder="1" applyAlignment="1">
      <alignment horizontal="left" vertical="center" wrapText="1"/>
    </xf>
    <xf numFmtId="0" fontId="7" fillId="2" borderId="1" xfId="0" applyFont="1" applyFill="1" applyBorder="1" applyAlignment="1">
      <alignment vertical="center" wrapText="1"/>
    </xf>
    <xf numFmtId="0" fontId="8" fillId="9" borderId="1" xfId="0" applyFont="1" applyFill="1" applyBorder="1" applyAlignment="1">
      <alignment wrapText="1"/>
    </xf>
    <xf numFmtId="0" fontId="8" fillId="8" borderId="1" xfId="0" applyFont="1" applyFill="1" applyBorder="1" applyAlignment="1">
      <alignment wrapText="1"/>
    </xf>
    <xf numFmtId="10" fontId="8" fillId="8"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xf>
    <xf numFmtId="9" fontId="8" fillId="2" borderId="1" xfId="1" applyNumberFormat="1" applyFont="1" applyFill="1" applyBorder="1" applyAlignment="1">
      <alignment horizontal="center" vertical="center"/>
    </xf>
    <xf numFmtId="0" fontId="8" fillId="2" borderId="1" xfId="0" applyFont="1" applyFill="1" applyBorder="1" applyAlignment="1">
      <alignment horizontal="left" vertical="center" wrapText="1"/>
    </xf>
    <xf numFmtId="0" fontId="7" fillId="2" borderId="1" xfId="0" applyFont="1" applyFill="1" applyBorder="1" applyAlignment="1">
      <alignment horizontal="center"/>
    </xf>
    <xf numFmtId="9" fontId="7" fillId="2" borderId="1" xfId="1" applyNumberFormat="1" applyFont="1" applyFill="1" applyBorder="1" applyAlignment="1">
      <alignment horizontal="center"/>
    </xf>
    <xf numFmtId="9" fontId="7" fillId="2" borderId="1" xfId="1" applyFont="1" applyFill="1" applyBorder="1" applyProtection="1"/>
    <xf numFmtId="0" fontId="7" fillId="2" borderId="1" xfId="0" applyFont="1" applyFill="1" applyBorder="1" applyAlignment="1">
      <alignment wrapText="1"/>
    </xf>
    <xf numFmtId="9" fontId="8" fillId="2" borderId="1" xfId="1" applyFont="1" applyFill="1" applyBorder="1" applyAlignment="1">
      <alignment horizontal="center" vertical="center"/>
    </xf>
    <xf numFmtId="0" fontId="3" fillId="2" borderId="1" xfId="0" applyFont="1" applyFill="1" applyBorder="1"/>
    <xf numFmtId="0" fontId="0" fillId="2" borderId="0" xfId="0" applyFill="1" applyAlignment="1">
      <alignment horizontal="center" vertical="center"/>
    </xf>
    <xf numFmtId="0" fontId="3" fillId="2" borderId="0" xfId="0" applyFont="1" applyFill="1" applyAlignment="1">
      <alignment wrapText="1"/>
    </xf>
    <xf numFmtId="0" fontId="8" fillId="10" borderId="1" xfId="0" applyFont="1" applyFill="1" applyBorder="1" applyAlignment="1">
      <alignment horizontal="center" vertical="center"/>
    </xf>
    <xf numFmtId="10" fontId="8" fillId="10" borderId="1" xfId="0" applyNumberFormat="1" applyFont="1" applyFill="1" applyBorder="1" applyAlignment="1">
      <alignment horizontal="center" vertical="center"/>
    </xf>
    <xf numFmtId="0" fontId="8" fillId="10" borderId="1" xfId="0" applyFont="1" applyFill="1" applyBorder="1" applyAlignment="1">
      <alignment horizontal="left" vertical="center" wrapText="1"/>
    </xf>
    <xf numFmtId="0" fontId="8" fillId="10" borderId="1" xfId="0" applyFont="1" applyFill="1" applyBorder="1" applyAlignment="1">
      <alignment vertical="center" wrapText="1"/>
    </xf>
    <xf numFmtId="0" fontId="8" fillId="8" borderId="1" xfId="0" applyFont="1" applyFill="1" applyBorder="1" applyAlignment="1">
      <alignment horizontal="left" vertical="center"/>
    </xf>
    <xf numFmtId="0" fontId="8" fillId="2" borderId="1" xfId="0" applyNumberFormat="1" applyFont="1" applyFill="1" applyBorder="1" applyAlignment="1">
      <alignment vertical="center" wrapText="1"/>
    </xf>
    <xf numFmtId="0" fontId="8" fillId="2" borderId="1" xfId="0" applyFont="1" applyFill="1" applyBorder="1" applyAlignment="1">
      <alignment vertical="center"/>
    </xf>
    <xf numFmtId="9" fontId="8" fillId="8" borderId="1" xfId="0" applyNumberFormat="1" applyFont="1" applyFill="1" applyBorder="1" applyAlignment="1">
      <alignment horizontal="center" vertical="center"/>
    </xf>
    <xf numFmtId="9" fontId="8" fillId="10" borderId="1" xfId="0" applyNumberFormat="1" applyFont="1" applyFill="1" applyBorder="1" applyAlignment="1">
      <alignment horizontal="center" vertical="center"/>
    </xf>
    <xf numFmtId="0" fontId="8" fillId="2" borderId="1" xfId="0" quotePrefix="1" applyFont="1" applyFill="1" applyBorder="1" applyAlignment="1">
      <alignment horizontal="center" vertical="center"/>
    </xf>
    <xf numFmtId="0" fontId="3" fillId="2" borderId="0" xfId="0" applyFont="1" applyFill="1" applyAlignment="1">
      <alignment horizontal="left" vertical="center"/>
    </xf>
    <xf numFmtId="0" fontId="8" fillId="2" borderId="1" xfId="0" applyNumberFormat="1" applyFont="1" applyFill="1" applyBorder="1" applyAlignment="1">
      <alignment horizontal="left" vertical="center" wrapText="1"/>
    </xf>
    <xf numFmtId="9" fontId="3" fillId="2" borderId="0" xfId="0" applyNumberFormat="1" applyFont="1" applyFill="1"/>
    <xf numFmtId="0" fontId="8" fillId="2" borderId="1" xfId="0" applyFont="1" applyFill="1" applyBorder="1" applyAlignment="1">
      <alignment horizontal="center" wrapText="1"/>
    </xf>
    <xf numFmtId="0" fontId="8" fillId="2" borderId="1" xfId="0" applyFont="1" applyFill="1" applyBorder="1" applyAlignment="1">
      <alignment horizontal="center" vertical="center" wrapText="1"/>
    </xf>
    <xf numFmtId="0" fontId="8" fillId="11" borderId="1" xfId="0" applyFont="1" applyFill="1" applyBorder="1" applyAlignment="1">
      <alignment horizontal="center" vertical="center"/>
    </xf>
    <xf numFmtId="10" fontId="8" fillId="11" borderId="1" xfId="0" applyNumberFormat="1" applyFont="1" applyFill="1" applyBorder="1" applyAlignment="1">
      <alignment horizontal="center" vertical="center"/>
    </xf>
    <xf numFmtId="0" fontId="8" fillId="11" borderId="1" xfId="0" applyFont="1" applyFill="1" applyBorder="1" applyAlignment="1">
      <alignment vertical="center" wrapText="1"/>
    </xf>
    <xf numFmtId="9" fontId="8" fillId="11" borderId="1" xfId="0" applyNumberFormat="1" applyFont="1" applyFill="1" applyBorder="1" applyAlignment="1">
      <alignment horizontal="center" vertical="center"/>
    </xf>
    <xf numFmtId="0" fontId="8" fillId="2" borderId="1" xfId="0" applyFont="1" applyFill="1" applyBorder="1" applyAlignment="1">
      <alignment horizontal="left" wrapText="1"/>
    </xf>
    <xf numFmtId="0" fontId="8" fillId="11" borderId="1" xfId="0" applyFont="1" applyFill="1" applyBorder="1" applyAlignment="1">
      <alignment wrapText="1"/>
    </xf>
    <xf numFmtId="0" fontId="19" fillId="8" borderId="1" xfId="0" applyFont="1" applyFill="1" applyBorder="1" applyAlignment="1">
      <alignment horizontal="center" vertical="center"/>
    </xf>
    <xf numFmtId="10" fontId="19" fillId="8" borderId="1" xfId="0" applyNumberFormat="1" applyFont="1" applyFill="1" applyBorder="1" applyAlignment="1">
      <alignment horizontal="center" vertical="center"/>
    </xf>
    <xf numFmtId="0" fontId="19" fillId="8" borderId="1" xfId="0" applyFont="1" applyFill="1" applyBorder="1" applyAlignment="1">
      <alignment horizontal="left" vertical="center" wrapText="1"/>
    </xf>
    <xf numFmtId="9" fontId="19" fillId="8" borderId="1" xfId="0" applyNumberFormat="1" applyFont="1" applyFill="1" applyBorder="1" applyAlignment="1">
      <alignment horizontal="center" vertical="center"/>
    </xf>
    <xf numFmtId="0" fontId="19" fillId="11" borderId="1" xfId="0" applyFont="1" applyFill="1" applyBorder="1" applyAlignment="1">
      <alignment horizontal="center" vertical="center"/>
    </xf>
    <xf numFmtId="10" fontId="19" fillId="11" borderId="1" xfId="0" applyNumberFormat="1" applyFont="1" applyFill="1" applyBorder="1" applyAlignment="1">
      <alignment horizontal="center" vertical="center"/>
    </xf>
    <xf numFmtId="0" fontId="19" fillId="11" borderId="1" xfId="0" applyFont="1" applyFill="1" applyBorder="1" applyAlignment="1">
      <alignment horizontal="left" vertical="center" wrapText="1"/>
    </xf>
    <xf numFmtId="9" fontId="19" fillId="11" borderId="1" xfId="0" applyNumberFormat="1" applyFont="1" applyFill="1" applyBorder="1" applyAlignment="1">
      <alignment horizontal="center" vertical="center"/>
    </xf>
    <xf numFmtId="0" fontId="19" fillId="2" borderId="1" xfId="0" applyFont="1" applyFill="1" applyBorder="1" applyAlignment="1">
      <alignment horizontal="left" vertical="center" wrapText="1"/>
    </xf>
    <xf numFmtId="10" fontId="19" fillId="8" borderId="1" xfId="0" applyNumberFormat="1" applyFont="1" applyFill="1" applyBorder="1" applyAlignment="1">
      <alignment horizontal="center" vertical="center" wrapText="1"/>
    </xf>
    <xf numFmtId="0" fontId="13" fillId="2" borderId="1" xfId="0" applyFont="1" applyFill="1" applyBorder="1" applyAlignment="1">
      <alignment horizontal="left" vertical="center" wrapText="1"/>
    </xf>
    <xf numFmtId="0" fontId="8" fillId="2" borderId="1" xfId="0" applyFont="1" applyFill="1" applyBorder="1" applyAlignment="1">
      <alignment horizontal="left" vertical="center"/>
    </xf>
    <xf numFmtId="0" fontId="8" fillId="11" borderId="1" xfId="0" applyFont="1" applyFill="1" applyBorder="1" applyAlignment="1">
      <alignment horizontal="left" vertical="center" wrapText="1"/>
    </xf>
    <xf numFmtId="0" fontId="3" fillId="2" borderId="0" xfId="0" applyFont="1" applyFill="1" applyAlignment="1">
      <alignment horizontal="left"/>
    </xf>
    <xf numFmtId="0" fontId="8" fillId="12" borderId="1" xfId="0" applyFont="1" applyFill="1" applyBorder="1" applyAlignment="1">
      <alignment horizontal="center" vertical="center"/>
    </xf>
    <xf numFmtId="10" fontId="8" fillId="12" borderId="1" xfId="0" applyNumberFormat="1" applyFont="1" applyFill="1" applyBorder="1" applyAlignment="1">
      <alignment horizontal="center" vertical="center"/>
    </xf>
    <xf numFmtId="0" fontId="8" fillId="12" borderId="1" xfId="0" applyFont="1" applyFill="1" applyBorder="1" applyAlignment="1">
      <alignment horizontal="left" vertical="center" wrapText="1"/>
    </xf>
    <xf numFmtId="0" fontId="8" fillId="8" borderId="1" xfId="0" applyFont="1" applyFill="1" applyBorder="1" applyAlignment="1">
      <alignment horizontal="left" wrapText="1"/>
    </xf>
    <xf numFmtId="0" fontId="3" fillId="2" borderId="0" xfId="0" applyFont="1" applyFill="1" applyBorder="1"/>
    <xf numFmtId="0" fontId="8" fillId="2" borderId="0" xfId="0" applyFont="1" applyFill="1" applyBorder="1"/>
    <xf numFmtId="0" fontId="7" fillId="2" borderId="0" xfId="0" applyFont="1" applyFill="1" applyBorder="1"/>
    <xf numFmtId="0" fontId="8" fillId="2" borderId="2" xfId="0" applyFont="1" applyFill="1" applyBorder="1"/>
    <xf numFmtId="0" fontId="8" fillId="2" borderId="2" xfId="0" applyFont="1" applyFill="1" applyBorder="1" applyAlignment="1">
      <alignment horizontal="center"/>
    </xf>
    <xf numFmtId="9" fontId="8" fillId="2" borderId="2" xfId="1" applyNumberFormat="1" applyFont="1" applyFill="1" applyBorder="1" applyAlignment="1">
      <alignment horizontal="center"/>
    </xf>
    <xf numFmtId="9" fontId="8" fillId="2" borderId="2" xfId="1" applyFont="1" applyFill="1" applyBorder="1" applyProtection="1"/>
    <xf numFmtId="0" fontId="8" fillId="2" borderId="2" xfId="0" applyFont="1" applyFill="1" applyBorder="1" applyAlignment="1">
      <alignment wrapText="1"/>
    </xf>
    <xf numFmtId="0" fontId="8" fillId="2" borderId="0" xfId="0" applyFont="1" applyFill="1" applyBorder="1" applyAlignment="1">
      <alignment wrapText="1"/>
    </xf>
    <xf numFmtId="0" fontId="3" fillId="2" borderId="0" xfId="0" applyFont="1" applyFill="1" applyBorder="1" applyAlignment="1">
      <alignment wrapText="1"/>
    </xf>
    <xf numFmtId="0" fontId="16" fillId="2" borderId="0" xfId="0" applyFont="1" applyFill="1"/>
    <xf numFmtId="0" fontId="8" fillId="2" borderId="0" xfId="0" applyFont="1" applyFill="1"/>
    <xf numFmtId="0" fontId="16" fillId="2" borderId="0" xfId="0" applyFont="1" applyFill="1" applyAlignment="1">
      <alignment wrapText="1"/>
    </xf>
    <xf numFmtId="10" fontId="8" fillId="8" borderId="1" xfId="0" applyNumberFormat="1" applyFont="1" applyFill="1" applyBorder="1" applyAlignment="1">
      <alignment horizontal="left" vertical="center"/>
    </xf>
    <xf numFmtId="9" fontId="8" fillId="2" borderId="1" xfId="1" applyFont="1" applyFill="1" applyBorder="1" applyAlignment="1" applyProtection="1">
      <alignment horizontal="left" vertical="center"/>
    </xf>
    <xf numFmtId="0" fontId="16" fillId="8" borderId="1" xfId="0" applyFont="1" applyFill="1" applyBorder="1" applyAlignment="1">
      <alignment horizontal="center" vertical="center"/>
    </xf>
    <xf numFmtId="9" fontId="16" fillId="8" borderId="1" xfId="0" applyNumberFormat="1" applyFont="1" applyFill="1" applyBorder="1" applyAlignment="1">
      <alignment horizontal="center" vertical="center"/>
    </xf>
    <xf numFmtId="9" fontId="16" fillId="2" borderId="1" xfId="1" applyFont="1" applyFill="1" applyBorder="1" applyAlignment="1" applyProtection="1">
      <alignment horizontal="center" vertical="center"/>
    </xf>
    <xf numFmtId="0" fontId="18" fillId="8" borderId="1" xfId="0" applyFont="1" applyFill="1" applyBorder="1" applyAlignment="1">
      <alignment horizontal="left" vertical="center" wrapText="1"/>
    </xf>
    <xf numFmtId="0" fontId="8" fillId="11" borderId="1" xfId="0" applyFont="1" applyFill="1" applyBorder="1" applyAlignment="1">
      <alignment horizontal="left" vertical="center"/>
    </xf>
    <xf numFmtId="10" fontId="8" fillId="11" borderId="1" xfId="0" applyNumberFormat="1" applyFont="1" applyFill="1" applyBorder="1" applyAlignment="1">
      <alignment horizontal="left" vertical="center"/>
    </xf>
    <xf numFmtId="0" fontId="16" fillId="11" borderId="1" xfId="0" applyFont="1" applyFill="1" applyBorder="1" applyAlignment="1">
      <alignment horizontal="center" vertical="center"/>
    </xf>
    <xf numFmtId="9" fontId="16"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8" fillId="2" borderId="1" xfId="0" applyFont="1" applyFill="1" applyBorder="1" applyAlignment="1">
      <alignment horizontal="left" wrapText="1"/>
    </xf>
    <xf numFmtId="0" fontId="18" fillId="11" borderId="1" xfId="0" applyFont="1" applyFill="1" applyBorder="1" applyAlignment="1">
      <alignment horizontal="left" wrapText="1"/>
    </xf>
    <xf numFmtId="9" fontId="8" fillId="2" borderId="1" xfId="1" applyNumberFormat="1" applyFont="1" applyFill="1" applyBorder="1" applyAlignment="1">
      <alignment horizontal="left" vertical="center"/>
    </xf>
    <xf numFmtId="0" fontId="16" fillId="2" borderId="1" xfId="0" applyFont="1" applyFill="1" applyBorder="1" applyAlignment="1">
      <alignment horizontal="center" vertical="center"/>
    </xf>
    <xf numFmtId="9" fontId="16" fillId="2" borderId="1" xfId="1" applyNumberFormat="1" applyFont="1" applyFill="1" applyBorder="1" applyAlignment="1">
      <alignment horizontal="center" vertical="center"/>
    </xf>
    <xf numFmtId="0" fontId="16" fillId="2" borderId="1" xfId="0" applyFont="1" applyFill="1" applyBorder="1" applyAlignment="1">
      <alignment horizontal="left" vertical="center" wrapText="1"/>
    </xf>
    <xf numFmtId="0" fontId="8" fillId="2" borderId="2" xfId="0" applyFont="1" applyFill="1" applyBorder="1" applyAlignment="1">
      <alignment vertical="center" wrapText="1"/>
    </xf>
    <xf numFmtId="0" fontId="8" fillId="2" borderId="2" xfId="0" applyFont="1" applyFill="1" applyBorder="1" applyAlignment="1">
      <alignment horizontal="left" vertical="center" wrapText="1"/>
    </xf>
    <xf numFmtId="0" fontId="16" fillId="2" borderId="1" xfId="0" applyFont="1" applyFill="1" applyBorder="1" applyAlignment="1">
      <alignment horizontal="left" vertical="center"/>
    </xf>
    <xf numFmtId="0" fontId="7" fillId="2" borderId="0" xfId="0" applyFont="1" applyFill="1" applyAlignment="1">
      <alignment wrapText="1"/>
    </xf>
    <xf numFmtId="0" fontId="8" fillId="2" borderId="0" xfId="0" applyFont="1" applyFill="1" applyAlignment="1">
      <alignment horizontal="center" vertical="center"/>
    </xf>
    <xf numFmtId="0" fontId="8" fillId="8" borderId="1" xfId="0" applyFont="1" applyFill="1" applyBorder="1" applyAlignment="1">
      <alignment horizontal="center" vertical="center" wrapText="1"/>
    </xf>
    <xf numFmtId="0" fontId="8" fillId="13" borderId="1" xfId="0" applyFont="1" applyFill="1" applyBorder="1" applyAlignment="1">
      <alignment horizontal="left" vertical="center" wrapText="1"/>
    </xf>
    <xf numFmtId="0" fontId="8" fillId="2" borderId="2" xfId="0" applyFont="1" applyFill="1" applyBorder="1" applyAlignment="1">
      <alignment horizontal="center" vertical="center" wrapText="1"/>
    </xf>
    <xf numFmtId="0" fontId="8" fillId="2" borderId="0" xfId="0" applyFont="1" applyFill="1" applyAlignment="1">
      <alignment horizontal="center" vertical="center" wrapText="1"/>
    </xf>
    <xf numFmtId="0" fontId="0" fillId="3" borderId="3" xfId="0" applyFill="1" applyBorder="1"/>
    <xf numFmtId="0" fontId="0" fillId="3" borderId="33" xfId="0" applyFill="1" applyBorder="1"/>
    <xf numFmtId="0" fontId="0" fillId="3" borderId="36" xfId="0" applyFill="1" applyBorder="1"/>
    <xf numFmtId="0" fontId="2" fillId="3" borderId="37" xfId="0" applyFont="1" applyFill="1" applyBorder="1" applyAlignment="1">
      <alignment horizontal="center"/>
    </xf>
    <xf numFmtId="0" fontId="2" fillId="3" borderId="9" xfId="0" applyFont="1" applyFill="1" applyBorder="1" applyAlignment="1">
      <alignment horizontal="right"/>
    </xf>
    <xf numFmtId="0" fontId="2" fillId="7" borderId="9" xfId="0" applyFont="1" applyFill="1" applyBorder="1" applyAlignment="1">
      <alignment horizontal="right"/>
    </xf>
    <xf numFmtId="0" fontId="2" fillId="7" borderId="11" xfId="0" applyFont="1" applyFill="1" applyBorder="1" applyAlignment="1">
      <alignment horizontal="right"/>
    </xf>
    <xf numFmtId="0" fontId="2" fillId="3" borderId="24" xfId="0" applyFont="1" applyFill="1" applyBorder="1" applyAlignment="1">
      <alignment horizontal="right"/>
    </xf>
    <xf numFmtId="0" fontId="2" fillId="3" borderId="18" xfId="0" applyFont="1" applyFill="1" applyBorder="1" applyAlignment="1">
      <alignment horizontal="center"/>
    </xf>
    <xf numFmtId="0" fontId="2" fillId="3" borderId="19" xfId="0" applyFont="1" applyFill="1" applyBorder="1" applyAlignment="1">
      <alignment horizontal="center"/>
    </xf>
    <xf numFmtId="0" fontId="2" fillId="3" borderId="20" xfId="0" applyFont="1" applyFill="1" applyBorder="1" applyAlignment="1">
      <alignment horizontal="center"/>
    </xf>
    <xf numFmtId="0" fontId="0" fillId="3" borderId="3" xfId="0" applyFill="1" applyBorder="1" applyAlignment="1">
      <alignment horizontal="center"/>
    </xf>
    <xf numFmtId="0" fontId="0" fillId="3" borderId="4" xfId="0" applyFill="1" applyBorder="1" applyAlignment="1">
      <alignment horizontal="center"/>
    </xf>
    <xf numFmtId="0" fontId="0" fillId="3" borderId="5" xfId="0" applyFill="1" applyBorder="1" applyAlignment="1">
      <alignment horizontal="center"/>
    </xf>
    <xf numFmtId="0" fontId="0" fillId="3" borderId="33" xfId="0" applyFill="1" applyBorder="1" applyAlignment="1">
      <alignment horizontal="center"/>
    </xf>
    <xf numFmtId="0" fontId="0" fillId="3" borderId="34" xfId="0" applyFont="1" applyFill="1" applyBorder="1" applyAlignment="1">
      <alignment horizontal="center"/>
    </xf>
    <xf numFmtId="0" fontId="0" fillId="3" borderId="35" xfId="0" applyFont="1" applyFill="1" applyBorder="1" applyAlignment="1">
      <alignment horizontal="center"/>
    </xf>
    <xf numFmtId="10" fontId="9" fillId="3" borderId="32" xfId="0" applyNumberFormat="1" applyFont="1" applyFill="1" applyBorder="1" applyAlignment="1">
      <alignment horizontal="center"/>
    </xf>
    <xf numFmtId="10" fontId="9" fillId="3" borderId="22" xfId="0" applyNumberFormat="1" applyFont="1" applyFill="1" applyBorder="1" applyAlignment="1">
      <alignment horizontal="center"/>
    </xf>
    <xf numFmtId="10" fontId="9" fillId="3" borderId="23" xfId="0" applyNumberFormat="1" applyFont="1" applyFill="1" applyBorder="1" applyAlignment="1">
      <alignment horizontal="center"/>
    </xf>
    <xf numFmtId="10" fontId="2" fillId="7" borderId="16" xfId="0" applyNumberFormat="1" applyFont="1" applyFill="1" applyBorder="1" applyAlignment="1">
      <alignment horizontal="right"/>
    </xf>
    <xf numFmtId="10" fontId="2" fillId="7" borderId="22" xfId="0" applyNumberFormat="1" applyFont="1" applyFill="1" applyBorder="1" applyAlignment="1">
      <alignment horizontal="right"/>
    </xf>
    <xf numFmtId="10" fontId="2" fillId="7" borderId="28" xfId="0" applyNumberFormat="1" applyFont="1" applyFill="1" applyBorder="1" applyAlignment="1">
      <alignment horizontal="right"/>
    </xf>
    <xf numFmtId="10" fontId="2" fillId="7" borderId="17" xfId="0" applyNumberFormat="1" applyFont="1" applyFill="1" applyBorder="1" applyAlignment="1">
      <alignment horizontal="right"/>
    </xf>
    <xf numFmtId="10" fontId="2" fillId="7" borderId="29" xfId="0" applyNumberFormat="1" applyFont="1" applyFill="1" applyBorder="1" applyAlignment="1">
      <alignment horizontal="right"/>
    </xf>
    <xf numFmtId="10" fontId="2" fillId="7" borderId="30" xfId="0" applyNumberFormat="1" applyFont="1" applyFill="1" applyBorder="1" applyAlignment="1">
      <alignment horizontal="right"/>
    </xf>
    <xf numFmtId="10" fontId="9" fillId="3" borderId="31" xfId="0" applyNumberFormat="1" applyFont="1" applyFill="1" applyBorder="1" applyAlignment="1">
      <alignment horizontal="center"/>
    </xf>
    <xf numFmtId="10" fontId="9" fillId="3" borderId="29" xfId="0" applyNumberFormat="1" applyFont="1" applyFill="1" applyBorder="1" applyAlignment="1">
      <alignment horizontal="center"/>
    </xf>
    <xf numFmtId="10" fontId="9" fillId="3" borderId="30" xfId="0" applyNumberFormat="1" applyFont="1" applyFill="1" applyBorder="1" applyAlignment="1">
      <alignment horizontal="center"/>
    </xf>
    <xf numFmtId="0" fontId="0" fillId="3" borderId="6" xfId="0" applyFill="1" applyBorder="1" applyAlignment="1">
      <alignment horizontal="center"/>
    </xf>
    <xf numFmtId="0" fontId="0" fillId="3" borderId="0" xfId="0" applyFill="1" applyBorder="1" applyAlignment="1">
      <alignment horizontal="center"/>
    </xf>
    <xf numFmtId="0" fontId="0" fillId="3" borderId="7" xfId="0" applyFill="1" applyBorder="1" applyAlignment="1">
      <alignment horizontal="center"/>
    </xf>
    <xf numFmtId="10" fontId="2" fillId="7" borderId="17" xfId="2" applyNumberFormat="1" applyFont="1" applyFill="1" applyBorder="1" applyAlignment="1">
      <alignment horizontal="right"/>
    </xf>
    <xf numFmtId="10" fontId="2" fillId="7" borderId="29" xfId="2" applyNumberFormat="1" applyFont="1" applyFill="1" applyBorder="1" applyAlignment="1">
      <alignment horizontal="right"/>
    </xf>
    <xf numFmtId="10" fontId="2" fillId="7" borderId="30" xfId="2" applyNumberFormat="1" applyFont="1" applyFill="1" applyBorder="1" applyAlignment="1">
      <alignment horizontal="right"/>
    </xf>
    <xf numFmtId="10" fontId="12" fillId="3" borderId="32" xfId="0" applyNumberFormat="1" applyFont="1" applyFill="1" applyBorder="1" applyAlignment="1">
      <alignment horizontal="center"/>
    </xf>
    <xf numFmtId="10" fontId="12" fillId="3" borderId="22" xfId="0" applyNumberFormat="1" applyFont="1" applyFill="1" applyBorder="1" applyAlignment="1">
      <alignment horizontal="center"/>
    </xf>
    <xf numFmtId="10" fontId="12" fillId="3" borderId="28" xfId="0" applyNumberFormat="1" applyFont="1" applyFill="1" applyBorder="1" applyAlignment="1">
      <alignment horizontal="center"/>
    </xf>
    <xf numFmtId="10" fontId="12" fillId="3" borderId="23" xfId="0" applyNumberFormat="1" applyFont="1" applyFill="1" applyBorder="1" applyAlignment="1">
      <alignment horizontal="center"/>
    </xf>
    <xf numFmtId="10" fontId="9" fillId="3" borderId="28" xfId="0" applyNumberFormat="1" applyFont="1" applyFill="1" applyBorder="1" applyAlignment="1">
      <alignment horizontal="center"/>
    </xf>
    <xf numFmtId="0" fontId="0" fillId="3" borderId="14" xfId="0" applyFill="1" applyBorder="1" applyAlignment="1">
      <alignment horizontal="center"/>
    </xf>
    <xf numFmtId="0" fontId="0" fillId="3" borderId="15" xfId="0" applyFont="1" applyFill="1" applyBorder="1" applyAlignment="1">
      <alignment horizontal="center"/>
    </xf>
    <xf numFmtId="0" fontId="0" fillId="3" borderId="21" xfId="0" applyFont="1" applyFill="1" applyBorder="1" applyAlignment="1">
      <alignment horizontal="center"/>
    </xf>
    <xf numFmtId="0" fontId="4" fillId="2" borderId="1" xfId="0" applyFont="1" applyFill="1" applyBorder="1" applyAlignment="1">
      <alignment horizontal="center"/>
    </xf>
    <xf numFmtId="0" fontId="4" fillId="2" borderId="1" xfId="0" applyFont="1" applyFill="1" applyBorder="1" applyAlignment="1">
      <alignment horizontal="center" vertical="center"/>
    </xf>
    <xf numFmtId="0" fontId="4" fillId="2" borderId="16"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 xfId="0" applyFont="1" applyFill="1" applyBorder="1" applyAlignment="1">
      <alignment horizontal="center"/>
    </xf>
    <xf numFmtId="0" fontId="4" fillId="2" borderId="2" xfId="0" applyFont="1" applyFill="1" applyBorder="1" applyAlignment="1">
      <alignment horizontal="center" vertical="center"/>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cellXfs>
  <cellStyles count="3">
    <cellStyle name="Normal" xfId="0" builtinId="0"/>
    <cellStyle name="Porcentagem" xfId="1" builtinId="5"/>
    <cellStyle name="Vírgula" xfId="2" builtinId="3"/>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ichele.cerqueira\AppData\Local\Microsoft\Windows\INetCache\Content.Outlook\CUTOBPMD\ESTUDOS%20DE%20MERCADO%20-%20AVALIA&#199;&#213;ES%20FINA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co Norte"/>
      <sheetName val="Bloco Central"/>
      <sheetName val="Bloco Sul"/>
      <sheetName val="Máscara de Notas"/>
      <sheetName val="Aeroportos e Blocos"/>
      <sheetName val="Resumo das Notas"/>
      <sheetName val="Parâmetros"/>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230"/>
  <sheetViews>
    <sheetView topLeftCell="A33" zoomScaleNormal="100" workbookViewId="0">
      <selection activeCell="G50" sqref="G50"/>
    </sheetView>
  </sheetViews>
  <sheetFormatPr defaultRowHeight="15" x14ac:dyDescent="0.25"/>
  <cols>
    <col min="1" max="1" width="2.28515625" style="3" customWidth="1"/>
    <col min="2" max="2" width="30.42578125" style="3" bestFit="1" customWidth="1"/>
    <col min="3" max="3" width="10.140625" style="3" bestFit="1" customWidth="1"/>
    <col min="4" max="4" width="10.85546875" style="3" bestFit="1" customWidth="1"/>
    <col min="5" max="5" width="10.28515625" style="3" bestFit="1" customWidth="1"/>
    <col min="6" max="6" width="10.28515625" style="3" customWidth="1"/>
    <col min="7" max="7" width="15.140625" style="3" customWidth="1"/>
    <col min="8" max="8" width="1.85546875" style="3" customWidth="1"/>
    <col min="9" max="12" width="13" style="3" customWidth="1"/>
    <col min="13" max="13" width="21.85546875" style="3" bestFit="1" customWidth="1"/>
    <col min="14" max="14" width="18.28515625" style="3" customWidth="1"/>
    <col min="15" max="15" width="15.28515625" style="3" bestFit="1" customWidth="1"/>
    <col min="16" max="16384" width="9.140625" style="3"/>
  </cols>
  <sheetData>
    <row r="1" spans="2:16" ht="11.25" customHeight="1" thickBot="1" x14ac:dyDescent="0.3"/>
    <row r="2" spans="2:16" ht="15.75" hidden="1" thickBot="1" x14ac:dyDescent="0.3">
      <c r="B2" s="197" t="s">
        <v>20</v>
      </c>
      <c r="C2" s="198"/>
      <c r="D2" s="198"/>
      <c r="E2" s="198"/>
      <c r="F2" s="198"/>
      <c r="G2" s="199"/>
      <c r="I2" s="197" t="s">
        <v>27</v>
      </c>
      <c r="J2" s="198"/>
      <c r="K2" s="198"/>
      <c r="L2" s="198"/>
      <c r="M2" s="198"/>
      <c r="N2" s="199"/>
    </row>
    <row r="3" spans="2:16" hidden="1" x14ac:dyDescent="0.25">
      <c r="B3" s="200" t="s">
        <v>104</v>
      </c>
      <c r="C3" s="201"/>
      <c r="D3" s="201"/>
      <c r="E3" s="201"/>
      <c r="F3" s="201"/>
      <c r="G3" s="202"/>
      <c r="I3" s="218" t="s">
        <v>105</v>
      </c>
      <c r="J3" s="219"/>
      <c r="K3" s="219"/>
      <c r="L3" s="219"/>
      <c r="M3" s="219"/>
      <c r="N3" s="220"/>
    </row>
    <row r="4" spans="2:16" hidden="1" x14ac:dyDescent="0.25">
      <c r="B4" s="5"/>
      <c r="C4" s="4" t="s">
        <v>22</v>
      </c>
      <c r="D4" s="4" t="s">
        <v>24</v>
      </c>
      <c r="E4" s="4" t="s">
        <v>23</v>
      </c>
      <c r="F4" s="4" t="s">
        <v>25</v>
      </c>
      <c r="G4" s="14" t="s">
        <v>26</v>
      </c>
      <c r="I4" s="6" t="s">
        <v>22</v>
      </c>
      <c r="J4" s="4" t="s">
        <v>24</v>
      </c>
      <c r="K4" s="4" t="s">
        <v>23</v>
      </c>
      <c r="L4" s="4" t="s">
        <v>25</v>
      </c>
      <c r="M4" s="20" t="s">
        <v>28</v>
      </c>
      <c r="N4" s="21" t="s">
        <v>29</v>
      </c>
    </row>
    <row r="5" spans="2:16" hidden="1" x14ac:dyDescent="0.25">
      <c r="B5" s="6" t="s">
        <v>82</v>
      </c>
      <c r="C5" s="11"/>
      <c r="D5" s="11"/>
      <c r="E5" s="11"/>
      <c r="F5" s="11"/>
      <c r="G5" s="23">
        <f t="shared" ref="G5:G10" si="0">SUM(C5:F5)</f>
        <v>0</v>
      </c>
      <c r="H5" s="24"/>
      <c r="I5" s="49"/>
      <c r="J5" s="49"/>
      <c r="K5" s="49"/>
      <c r="L5" s="49"/>
      <c r="M5" s="18">
        <f>(I5*C5+J5*D5+K5*E5+L5*F5)*N5</f>
        <v>0</v>
      </c>
      <c r="N5" s="7">
        <v>5626787.29</v>
      </c>
      <c r="O5" s="26"/>
      <c r="P5" s="27"/>
    </row>
    <row r="6" spans="2:16" hidden="1" x14ac:dyDescent="0.25">
      <c r="B6" s="6" t="s">
        <v>83</v>
      </c>
      <c r="C6" s="11"/>
      <c r="D6" s="11"/>
      <c r="E6" s="11"/>
      <c r="F6" s="11"/>
      <c r="G6" s="23">
        <f t="shared" si="0"/>
        <v>0</v>
      </c>
      <c r="I6" s="49"/>
      <c r="J6" s="49"/>
      <c r="K6" s="49"/>
      <c r="L6" s="49"/>
      <c r="M6" s="18">
        <f t="shared" ref="M6:M13" si="1">(I6*C6+J6*D6+K6*E6+L6*F6)*N6</f>
        <v>0</v>
      </c>
      <c r="N6" s="7">
        <v>4271201.54</v>
      </c>
      <c r="O6" s="26"/>
      <c r="P6" s="27"/>
    </row>
    <row r="7" spans="2:16" hidden="1" x14ac:dyDescent="0.25">
      <c r="B7" s="6" t="s">
        <v>84</v>
      </c>
      <c r="C7" s="11"/>
      <c r="D7" s="11"/>
      <c r="E7" s="11"/>
      <c r="F7" s="11"/>
      <c r="G7" s="23">
        <f t="shared" si="0"/>
        <v>0</v>
      </c>
      <c r="I7" s="49"/>
      <c r="J7" s="49"/>
      <c r="K7" s="49"/>
      <c r="L7" s="49"/>
      <c r="M7" s="18">
        <f t="shared" si="1"/>
        <v>0</v>
      </c>
      <c r="N7" s="7">
        <v>3683517.22</v>
      </c>
      <c r="O7" s="26"/>
    </row>
    <row r="8" spans="2:16" hidden="1" x14ac:dyDescent="0.25">
      <c r="B8" s="6" t="s">
        <v>85</v>
      </c>
      <c r="C8" s="11"/>
      <c r="D8" s="11"/>
      <c r="E8" s="11"/>
      <c r="F8" s="11"/>
      <c r="G8" s="23">
        <f t="shared" si="0"/>
        <v>0</v>
      </c>
      <c r="I8" s="49"/>
      <c r="J8" s="49"/>
      <c r="K8" s="49"/>
      <c r="L8" s="49"/>
      <c r="M8" s="18">
        <f t="shared" si="1"/>
        <v>0</v>
      </c>
      <c r="N8" s="7">
        <v>3683517.22</v>
      </c>
      <c r="O8" s="26"/>
    </row>
    <row r="9" spans="2:16" hidden="1" x14ac:dyDescent="0.25">
      <c r="B9" s="6" t="s">
        <v>86</v>
      </c>
      <c r="C9" s="11"/>
      <c r="D9" s="11"/>
      <c r="E9" s="11"/>
      <c r="F9" s="11"/>
      <c r="G9" s="23">
        <f t="shared" si="0"/>
        <v>0</v>
      </c>
      <c r="I9" s="49"/>
      <c r="J9" s="49"/>
      <c r="K9" s="49"/>
      <c r="L9" s="49"/>
      <c r="M9" s="18">
        <f t="shared" si="1"/>
        <v>0</v>
      </c>
      <c r="N9" s="7">
        <v>3496225.12</v>
      </c>
      <c r="O9" s="26"/>
    </row>
    <row r="10" spans="2:16" hidden="1" x14ac:dyDescent="0.25">
      <c r="B10" s="6" t="s">
        <v>87</v>
      </c>
      <c r="C10" s="11"/>
      <c r="D10" s="11"/>
      <c r="E10" s="11"/>
      <c r="F10" s="11"/>
      <c r="G10" s="23">
        <f t="shared" si="0"/>
        <v>0</v>
      </c>
      <c r="I10" s="49"/>
      <c r="J10" s="49"/>
      <c r="K10" s="49"/>
      <c r="L10" s="49"/>
      <c r="M10" s="18">
        <f t="shared" si="1"/>
        <v>0</v>
      </c>
      <c r="N10" s="7">
        <v>2988995.52</v>
      </c>
      <c r="O10" s="26"/>
    </row>
    <row r="11" spans="2:16" hidden="1" x14ac:dyDescent="0.25">
      <c r="B11" s="6" t="s">
        <v>88</v>
      </c>
      <c r="C11" s="47"/>
      <c r="D11" s="47"/>
      <c r="E11" s="47"/>
      <c r="F11" s="47"/>
      <c r="G11" s="23"/>
      <c r="I11" s="49"/>
      <c r="J11" s="49"/>
      <c r="K11" s="49"/>
      <c r="L11" s="49"/>
      <c r="M11" s="18">
        <f t="shared" si="1"/>
        <v>0</v>
      </c>
      <c r="N11" s="7">
        <v>2768002.81</v>
      </c>
      <c r="O11" s="26"/>
    </row>
    <row r="12" spans="2:16" hidden="1" x14ac:dyDescent="0.25">
      <c r="B12" s="6" t="s">
        <v>89</v>
      </c>
      <c r="C12" s="47"/>
      <c r="D12" s="47"/>
      <c r="E12" s="47"/>
      <c r="F12" s="47"/>
      <c r="G12" s="23"/>
      <c r="I12" s="49"/>
      <c r="J12" s="49"/>
      <c r="K12" s="49"/>
      <c r="L12" s="49"/>
      <c r="M12" s="18">
        <f t="shared" si="1"/>
        <v>0</v>
      </c>
      <c r="N12" s="7">
        <v>2768002.81</v>
      </c>
      <c r="O12" s="26"/>
    </row>
    <row r="13" spans="2:16" hidden="1" x14ac:dyDescent="0.25">
      <c r="B13" s="6" t="s">
        <v>90</v>
      </c>
      <c r="C13" s="47"/>
      <c r="D13" s="47"/>
      <c r="E13" s="47"/>
      <c r="F13" s="47"/>
      <c r="G13" s="23"/>
      <c r="I13" s="49"/>
      <c r="J13" s="49"/>
      <c r="K13" s="49"/>
      <c r="L13" s="49"/>
      <c r="M13" s="18">
        <f t="shared" si="1"/>
        <v>0</v>
      </c>
      <c r="N13" s="7">
        <v>2768002.81</v>
      </c>
      <c r="O13" s="26"/>
    </row>
    <row r="14" spans="2:16" hidden="1" x14ac:dyDescent="0.25">
      <c r="B14" s="6" t="s">
        <v>79</v>
      </c>
      <c r="C14" s="11"/>
      <c r="D14" s="11"/>
      <c r="E14" s="11"/>
      <c r="F14" s="11"/>
      <c r="G14" s="15">
        <f>SUM(G5:G10)</f>
        <v>0</v>
      </c>
      <c r="I14" s="46"/>
      <c r="J14" s="11"/>
      <c r="K14" s="11"/>
      <c r="L14" s="11"/>
      <c r="M14" s="18">
        <f>SUM(M5:M13)</f>
        <v>0</v>
      </c>
      <c r="N14" s="7">
        <f>SUM(N5:N13)</f>
        <v>32054252.339999996</v>
      </c>
    </row>
    <row r="15" spans="2:16" hidden="1" x14ac:dyDescent="0.25">
      <c r="B15" s="31"/>
      <c r="C15" s="32"/>
      <c r="D15" s="32"/>
      <c r="E15" s="32"/>
      <c r="F15" s="32"/>
      <c r="G15" s="33"/>
      <c r="I15" s="31"/>
      <c r="J15" s="32"/>
      <c r="K15" s="32"/>
      <c r="L15" s="32"/>
      <c r="M15" s="32"/>
      <c r="N15" s="33"/>
      <c r="O15" s="26"/>
    </row>
    <row r="16" spans="2:16" hidden="1" x14ac:dyDescent="0.25">
      <c r="B16" s="6" t="s">
        <v>91</v>
      </c>
      <c r="C16" s="11"/>
      <c r="D16" s="11"/>
      <c r="E16" s="11"/>
      <c r="F16" s="11"/>
      <c r="G16" s="23">
        <f>SUM(C16:F16)</f>
        <v>0</v>
      </c>
      <c r="I16" s="49"/>
      <c r="J16" s="50"/>
      <c r="K16" s="50"/>
      <c r="L16" s="50"/>
      <c r="M16" s="18">
        <f>(I16*C16+J16*D16+K16*E16+L16*F16)*N16</f>
        <v>0</v>
      </c>
      <c r="N16" s="7">
        <v>4842914.4000000004</v>
      </c>
      <c r="O16" s="26"/>
    </row>
    <row r="17" spans="2:15" hidden="1" x14ac:dyDescent="0.25">
      <c r="B17" s="6" t="s">
        <v>92</v>
      </c>
      <c r="C17" s="11"/>
      <c r="D17" s="11"/>
      <c r="E17" s="11"/>
      <c r="F17" s="11"/>
      <c r="G17" s="23">
        <f>SUM(C17:F17)</f>
        <v>0</v>
      </c>
      <c r="I17" s="49"/>
      <c r="J17" s="50"/>
      <c r="K17" s="50"/>
      <c r="L17" s="50"/>
      <c r="M17" s="18">
        <f>(I17*C17+J17*D17+K17*E17+L17*F17)*N17</f>
        <v>0</v>
      </c>
      <c r="N17" s="7">
        <v>3683517.22</v>
      </c>
      <c r="O17" s="26"/>
    </row>
    <row r="18" spans="2:15" hidden="1" x14ac:dyDescent="0.25">
      <c r="B18" s="6" t="s">
        <v>93</v>
      </c>
      <c r="C18" s="11"/>
      <c r="D18" s="11"/>
      <c r="E18" s="11"/>
      <c r="F18" s="11"/>
      <c r="G18" s="23">
        <f>SUM(C18:F18)</f>
        <v>0</v>
      </c>
      <c r="I18" s="49"/>
      <c r="J18" s="50"/>
      <c r="K18" s="50"/>
      <c r="L18" s="50"/>
      <c r="M18" s="18">
        <f>(I18*C18+J18*D18+K18*E18+L18*F18)*N18</f>
        <v>0</v>
      </c>
      <c r="N18" s="7">
        <v>3683517.22</v>
      </c>
    </row>
    <row r="19" spans="2:15" hidden="1" x14ac:dyDescent="0.25">
      <c r="B19" s="6" t="s">
        <v>94</v>
      </c>
      <c r="C19" s="11"/>
      <c r="D19" s="11"/>
      <c r="E19" s="11"/>
      <c r="F19" s="11"/>
      <c r="G19" s="23">
        <f>SUM(C19:F19)</f>
        <v>0</v>
      </c>
      <c r="I19" s="49"/>
      <c r="J19" s="50"/>
      <c r="K19" s="50"/>
      <c r="L19" s="50"/>
      <c r="M19" s="18">
        <f>(I19*C19+J19*D19+K19*E19+L19*F19)*N19</f>
        <v>0</v>
      </c>
      <c r="N19" s="7">
        <v>3675155.03</v>
      </c>
      <c r="O19" s="26"/>
    </row>
    <row r="20" spans="2:15" hidden="1" x14ac:dyDescent="0.25">
      <c r="B20" s="6" t="s">
        <v>95</v>
      </c>
      <c r="C20" s="11"/>
      <c r="D20" s="11"/>
      <c r="E20" s="11"/>
      <c r="F20" s="11"/>
      <c r="G20" s="23">
        <f>SUM(C20:F20)</f>
        <v>0</v>
      </c>
      <c r="I20" s="49"/>
      <c r="J20" s="50"/>
      <c r="K20" s="50"/>
      <c r="L20" s="50"/>
      <c r="M20" s="18">
        <f>(I20*C20+J20*D20+K20*E20+L20*F20)*N20</f>
        <v>0</v>
      </c>
      <c r="N20" s="7">
        <v>3496225.12</v>
      </c>
      <c r="O20" s="26"/>
    </row>
    <row r="21" spans="2:15" hidden="1" x14ac:dyDescent="0.25">
      <c r="B21" s="6" t="s">
        <v>96</v>
      </c>
      <c r="C21" s="11"/>
      <c r="D21" s="11"/>
      <c r="E21" s="11"/>
      <c r="F21" s="11"/>
      <c r="G21" s="23"/>
      <c r="I21" s="49"/>
      <c r="J21" s="50"/>
      <c r="K21" s="50"/>
      <c r="L21" s="50"/>
      <c r="M21" s="18"/>
      <c r="N21" s="7">
        <v>2768002.81</v>
      </c>
      <c r="O21" s="26"/>
    </row>
    <row r="22" spans="2:15" hidden="1" x14ac:dyDescent="0.25">
      <c r="B22" s="6" t="s">
        <v>97</v>
      </c>
      <c r="C22" s="11"/>
      <c r="D22" s="11"/>
      <c r="E22" s="11"/>
      <c r="F22" s="11"/>
      <c r="G22" s="23"/>
      <c r="I22" s="49"/>
      <c r="J22" s="50"/>
      <c r="K22" s="50"/>
      <c r="L22" s="50"/>
      <c r="M22" s="18"/>
      <c r="N22" s="7">
        <v>2988995.52</v>
      </c>
      <c r="O22" s="26"/>
    </row>
    <row r="23" spans="2:15" hidden="1" x14ac:dyDescent="0.25">
      <c r="B23" s="6" t="s">
        <v>80</v>
      </c>
      <c r="C23" s="11"/>
      <c r="D23" s="11"/>
      <c r="E23" s="11"/>
      <c r="F23" s="11"/>
      <c r="G23" s="15">
        <f>SUM(G16:G20)</f>
        <v>0</v>
      </c>
      <c r="I23" s="6"/>
      <c r="J23" s="11"/>
      <c r="K23" s="11"/>
      <c r="L23" s="11"/>
      <c r="M23" s="18">
        <f>SUM(M16:M20)</f>
        <v>0</v>
      </c>
      <c r="N23" s="7">
        <f>SUM(N16:N22)</f>
        <v>25138327.32</v>
      </c>
      <c r="O23" s="26"/>
    </row>
    <row r="24" spans="2:15" hidden="1" x14ac:dyDescent="0.25">
      <c r="B24" s="31"/>
      <c r="C24" s="32"/>
      <c r="D24" s="32"/>
      <c r="E24" s="32"/>
      <c r="F24" s="32"/>
      <c r="G24" s="33"/>
      <c r="I24" s="31"/>
      <c r="J24" s="32"/>
      <c r="K24" s="32"/>
      <c r="L24" s="32"/>
      <c r="M24" s="32"/>
      <c r="N24" s="33"/>
      <c r="O24" s="26"/>
    </row>
    <row r="25" spans="2:15" hidden="1" x14ac:dyDescent="0.25">
      <c r="B25" s="6" t="s">
        <v>98</v>
      </c>
      <c r="C25" s="11"/>
      <c r="D25" s="11"/>
      <c r="E25" s="11"/>
      <c r="F25" s="11"/>
      <c r="G25" s="23">
        <f>SUM(C25:F25)</f>
        <v>0</v>
      </c>
      <c r="I25" s="49"/>
      <c r="J25" s="50"/>
      <c r="K25" s="50"/>
      <c r="L25" s="50"/>
      <c r="M25" s="18">
        <f>(I25*C25+J25*D25+K25*E25+L25*F25)*N25</f>
        <v>0</v>
      </c>
      <c r="N25" s="7">
        <v>4842914.4000000004</v>
      </c>
      <c r="O25" s="26"/>
    </row>
    <row r="26" spans="2:15" hidden="1" x14ac:dyDescent="0.25">
      <c r="B26" s="6" t="s">
        <v>99</v>
      </c>
      <c r="C26" s="11"/>
      <c r="D26" s="11"/>
      <c r="E26" s="11"/>
      <c r="F26" s="11"/>
      <c r="G26" s="23"/>
      <c r="I26" s="49"/>
      <c r="J26" s="50"/>
      <c r="K26" s="50"/>
      <c r="L26" s="50"/>
      <c r="M26" s="18"/>
      <c r="N26" s="7">
        <v>4271201.54</v>
      </c>
      <c r="O26" s="26"/>
    </row>
    <row r="27" spans="2:15" hidden="1" x14ac:dyDescent="0.25">
      <c r="B27" s="6" t="s">
        <v>100</v>
      </c>
      <c r="C27" s="11"/>
      <c r="D27" s="11"/>
      <c r="E27" s="11"/>
      <c r="F27" s="11"/>
      <c r="G27" s="23">
        <f>SUM(C27:F27)</f>
        <v>0</v>
      </c>
      <c r="I27" s="49"/>
      <c r="J27" s="50"/>
      <c r="K27" s="50"/>
      <c r="L27" s="50"/>
      <c r="M27" s="18">
        <f>(I27*C27+J27*D27+K27*E27+L27*F27)*N27</f>
        <v>0</v>
      </c>
      <c r="N27" s="7">
        <v>4271201.54</v>
      </c>
      <c r="O27" s="26"/>
    </row>
    <row r="28" spans="2:15" hidden="1" x14ac:dyDescent="0.25">
      <c r="B28" s="51" t="s">
        <v>101</v>
      </c>
      <c r="C28" s="52"/>
      <c r="D28" s="52"/>
      <c r="E28" s="52"/>
      <c r="F28" s="52"/>
      <c r="G28" s="53"/>
      <c r="I28" s="58"/>
      <c r="J28" s="59"/>
      <c r="K28" s="59"/>
      <c r="L28" s="59"/>
      <c r="M28" s="56"/>
      <c r="N28" s="57">
        <v>3496225.12</v>
      </c>
      <c r="O28" s="26"/>
    </row>
    <row r="29" spans="2:15" hidden="1" x14ac:dyDescent="0.25">
      <c r="B29" s="51" t="s">
        <v>102</v>
      </c>
      <c r="C29" s="52"/>
      <c r="D29" s="52"/>
      <c r="E29" s="52"/>
      <c r="F29" s="52"/>
      <c r="G29" s="53"/>
      <c r="I29" s="58"/>
      <c r="J29" s="59"/>
      <c r="K29" s="59"/>
      <c r="L29" s="59"/>
      <c r="M29" s="56"/>
      <c r="N29" s="57">
        <v>2988995.52</v>
      </c>
      <c r="O29" s="26"/>
    </row>
    <row r="30" spans="2:15" hidden="1" x14ac:dyDescent="0.25">
      <c r="B30" s="51" t="s">
        <v>103</v>
      </c>
      <c r="C30" s="52"/>
      <c r="D30" s="52"/>
      <c r="E30" s="52"/>
      <c r="F30" s="52"/>
      <c r="G30" s="53"/>
      <c r="I30" s="58"/>
      <c r="J30" s="59"/>
      <c r="K30" s="59"/>
      <c r="L30" s="59"/>
      <c r="M30" s="56"/>
      <c r="N30" s="57">
        <v>2988995.52</v>
      </c>
      <c r="O30" s="26"/>
    </row>
    <row r="31" spans="2:15" ht="15.75" hidden="1" thickBot="1" x14ac:dyDescent="0.3">
      <c r="B31" s="9" t="s">
        <v>81</v>
      </c>
      <c r="C31" s="22"/>
      <c r="D31" s="22"/>
      <c r="E31" s="22"/>
      <c r="F31" s="22"/>
      <c r="G31" s="16">
        <f>SUM(G25:G27)</f>
        <v>0</v>
      </c>
      <c r="I31" s="9"/>
      <c r="J31" s="22"/>
      <c r="K31" s="22"/>
      <c r="L31" s="22"/>
      <c r="M31" s="19">
        <f>SUM(M25:M27)</f>
        <v>0</v>
      </c>
      <c r="N31" s="45">
        <f>SUM(N25:N30)</f>
        <v>22859533.640000001</v>
      </c>
    </row>
    <row r="32" spans="2:15" s="36" customFormat="1" ht="15.75" hidden="1" thickBot="1" x14ac:dyDescent="0.3">
      <c r="C32" s="37"/>
      <c r="D32" s="37"/>
      <c r="E32" s="37"/>
      <c r="F32" s="37"/>
      <c r="G32" s="38"/>
      <c r="I32" s="39"/>
      <c r="J32" s="39"/>
      <c r="K32" s="39"/>
      <c r="L32" s="39"/>
      <c r="M32" s="40"/>
      <c r="N32" s="40"/>
    </row>
    <row r="33" spans="2:16" s="36" customFormat="1" ht="15.75" thickBot="1" x14ac:dyDescent="0.3">
      <c r="B33" s="197" t="s">
        <v>20</v>
      </c>
      <c r="C33" s="198"/>
      <c r="D33" s="198"/>
      <c r="E33" s="198"/>
      <c r="F33" s="198"/>
      <c r="G33" s="199"/>
      <c r="I33" s="197" t="s">
        <v>27</v>
      </c>
      <c r="J33" s="198"/>
      <c r="K33" s="198"/>
      <c r="L33" s="198"/>
      <c r="M33" s="198"/>
      <c r="N33" s="199"/>
    </row>
    <row r="34" spans="2:16" ht="15.75" thickBot="1" x14ac:dyDescent="0.3">
      <c r="B34" s="200" t="s">
        <v>106</v>
      </c>
      <c r="C34" s="201"/>
      <c r="D34" s="201"/>
      <c r="E34" s="201"/>
      <c r="F34" s="201"/>
      <c r="G34" s="202"/>
      <c r="I34" s="200" t="s">
        <v>106</v>
      </c>
      <c r="J34" s="201"/>
      <c r="K34" s="201"/>
      <c r="L34" s="201"/>
      <c r="M34" s="201"/>
      <c r="N34" s="202"/>
    </row>
    <row r="35" spans="2:16" x14ac:dyDescent="0.25">
      <c r="B35" s="189"/>
      <c r="C35" s="190" t="s">
        <v>133</v>
      </c>
      <c r="D35" s="191" t="s">
        <v>24</v>
      </c>
      <c r="E35" s="191" t="s">
        <v>23</v>
      </c>
      <c r="F35" s="191" t="s">
        <v>25</v>
      </c>
      <c r="G35" s="192" t="s">
        <v>26</v>
      </c>
      <c r="I35" s="6" t="s">
        <v>133</v>
      </c>
      <c r="J35" s="10" t="s">
        <v>24</v>
      </c>
      <c r="K35" s="10" t="s">
        <v>23</v>
      </c>
      <c r="L35" s="10" t="s">
        <v>25</v>
      </c>
      <c r="M35" s="20" t="s">
        <v>28</v>
      </c>
      <c r="N35" s="21" t="s">
        <v>132</v>
      </c>
      <c r="O35" s="62"/>
    </row>
    <row r="36" spans="2:16" x14ac:dyDescent="0.25">
      <c r="B36" s="6" t="s">
        <v>82</v>
      </c>
      <c r="C36" s="11">
        <f>AVERAGE('Curitiba SBCT'!M4:M15)</f>
        <v>0.83708333333333329</v>
      </c>
      <c r="D36" s="11">
        <f>AVERAGE('Curitiba SBCT'!M16:M40)</f>
        <v>0.90399999999999958</v>
      </c>
      <c r="E36" s="11">
        <f>AVERAGE('Curitiba SBCT'!M41:M49)</f>
        <v>0.96111111111111114</v>
      </c>
      <c r="F36" s="11">
        <f>AVERAGE('Curitiba SBCT'!M50:M56)</f>
        <v>0.77142857142857146</v>
      </c>
      <c r="G36" s="60">
        <f t="shared" ref="G36:G41" si="2">SUM(C36:F36)</f>
        <v>3.4736230158730153</v>
      </c>
      <c r="I36" s="48">
        <f>1324569.15/5968281.19</f>
        <v>0.22193477616626836</v>
      </c>
      <c r="J36" s="47">
        <f>2865421.47/5968281.19</f>
        <v>0.48010832244316559</v>
      </c>
      <c r="K36" s="47">
        <f>973296.41/5968281.19</f>
        <v>0.16307817594633137</v>
      </c>
      <c r="L36" s="47">
        <f>804994.16/5968281.19</f>
        <v>0.13487872544423463</v>
      </c>
      <c r="M36" s="18">
        <f>(I36*C36+J36*D36+K36*E36+L36*F36)*N36</f>
        <v>5255557.2571051978</v>
      </c>
      <c r="N36" s="7">
        <v>5968281.1900000004</v>
      </c>
      <c r="O36" s="68"/>
    </row>
    <row r="37" spans="2:16" x14ac:dyDescent="0.25">
      <c r="B37" s="6" t="s">
        <v>83</v>
      </c>
      <c r="C37" s="11">
        <f>AVERAGE('Foz do Iguaçú SBFI'!M4:M15)</f>
        <v>0.8470833333333333</v>
      </c>
      <c r="D37" s="11">
        <f>AVERAGE('Foz do Iguaçú SBFI'!M16:M40)</f>
        <v>0.90039999999999965</v>
      </c>
      <c r="E37" s="11">
        <f>AVERAGE('Foz do Iguaçú SBFI'!M41:M49)</f>
        <v>0.96111111111111114</v>
      </c>
      <c r="F37" s="11">
        <f>AVERAGE('Foz do Iguaçú SBFI'!M50:M56)</f>
        <v>0.79999999999999993</v>
      </c>
      <c r="G37" s="60">
        <f t="shared" si="2"/>
        <v>3.5085944444444439</v>
      </c>
      <c r="I37" s="48">
        <f>1077317.81/5127282.05</f>
        <v>0.21011479366538849</v>
      </c>
      <c r="J37" s="47">
        <f>2451662.55/5127282.05</f>
        <v>0.47816026621745922</v>
      </c>
      <c r="K37" s="47">
        <f>837299.34/5127282.05</f>
        <v>0.16330276583867664</v>
      </c>
      <c r="L37" s="47">
        <f>761002.35/5127282.05</f>
        <v>0.14842217427847568</v>
      </c>
      <c r="M37" s="18">
        <f t="shared" ref="M37:M41" si="3">(I37*C37+J37*D37+K37*E37+L37*F37)*N37</f>
        <v>4533594.5094162663</v>
      </c>
      <c r="N37" s="7">
        <v>5127282.0599999996</v>
      </c>
      <c r="O37" s="25"/>
    </row>
    <row r="38" spans="2:16" x14ac:dyDescent="0.25">
      <c r="B38" s="6" t="s">
        <v>84</v>
      </c>
      <c r="C38" s="11">
        <f>AVERAGE('Navegantes SBNF'!M4:M15)</f>
        <v>0.83708333333333329</v>
      </c>
      <c r="D38" s="11">
        <f>AVERAGE('Navegantes SBNF'!M16:M40)</f>
        <v>0.88800000000000001</v>
      </c>
      <c r="E38" s="11">
        <f>AVERAGE('Navegantes SBNF'!M41:M49)</f>
        <v>0.97222222222222221</v>
      </c>
      <c r="F38" s="11">
        <f>AVERAGE('Navegantes SBNF'!M50:M56)</f>
        <v>0.87857142857142867</v>
      </c>
      <c r="G38" s="60">
        <f t="shared" si="2"/>
        <v>3.575876984126984</v>
      </c>
      <c r="I38" s="48">
        <f>1024111.9/4845224.41</f>
        <v>0.21136521517689622</v>
      </c>
      <c r="J38" s="47">
        <f>2250610.67/4845224.41</f>
        <v>0.46450081142887661</v>
      </c>
      <c r="K38" s="47">
        <f>826607.09/4845224.41</f>
        <v>0.17060243655463628</v>
      </c>
      <c r="L38" s="47">
        <f>743894.75/4845224.41</f>
        <v>0.15353153683959087</v>
      </c>
      <c r="M38" s="18">
        <f t="shared" si="3"/>
        <v>4313019.7419786528</v>
      </c>
      <c r="N38" s="7">
        <v>4845224.42</v>
      </c>
      <c r="O38" s="25"/>
    </row>
    <row r="39" spans="2:16" x14ac:dyDescent="0.25">
      <c r="B39" s="6" t="s">
        <v>85</v>
      </c>
      <c r="C39" s="11">
        <f>AVERAGE('Londrina SBLO'!M4:M15)</f>
        <v>0.83791666666666664</v>
      </c>
      <c r="D39" s="11">
        <f>AVERAGE('Londrina SBLO'!M16:M40)</f>
        <v>0.89159999999999984</v>
      </c>
      <c r="E39" s="11">
        <f>AVERAGE('Londrina SBLO'!M41:M49)</f>
        <v>0.97222222222222221</v>
      </c>
      <c r="F39" s="11">
        <f>AVERAGE('Londrina SBLO'!M50:M56)</f>
        <v>0.90714285714285714</v>
      </c>
      <c r="G39" s="60">
        <f t="shared" si="2"/>
        <v>3.6088817460317459</v>
      </c>
      <c r="I39" s="48">
        <f>1021465.7/4929377.14</f>
        <v>0.20722003429423133</v>
      </c>
      <c r="J39" s="47">
        <f>2344289.71/4929377.14</f>
        <v>0.4755752387004416</v>
      </c>
      <c r="K39" s="47">
        <f>823960.89/4929377.14</f>
        <v>0.1671531446263006</v>
      </c>
      <c r="L39" s="47">
        <f>739660.83/4929377.14</f>
        <v>0.15005158035037264</v>
      </c>
      <c r="M39" s="18">
        <f t="shared" si="3"/>
        <v>4418122.9750000332</v>
      </c>
      <c r="N39" s="7">
        <v>4929377.1500000004</v>
      </c>
      <c r="O39" s="25"/>
      <c r="P39" s="27"/>
    </row>
    <row r="40" spans="2:16" x14ac:dyDescent="0.25">
      <c r="B40" s="6" t="s">
        <v>86</v>
      </c>
      <c r="C40" s="11">
        <f>AVERAGE('Joinville SBJV'!M4:M15)</f>
        <v>0.83374999999999988</v>
      </c>
      <c r="D40" s="11">
        <f>AVERAGE('Joinville SBJV'!M16:M40)</f>
        <v>0.90119999999999978</v>
      </c>
      <c r="E40" s="11">
        <f>AVERAGE('Joinville SBJV'!M41:M49)</f>
        <v>0.97777777777777786</v>
      </c>
      <c r="F40" s="11">
        <f>AVERAGE('Joinville SBJV'!M50:M56)</f>
        <v>0.90714285714285714</v>
      </c>
      <c r="G40" s="60">
        <f t="shared" si="2"/>
        <v>3.6198706349206344</v>
      </c>
      <c r="I40" s="48">
        <f>1023547.74/4443461.41</f>
        <v>0.2303491907674742</v>
      </c>
      <c r="J40" s="47">
        <f>1912822.35/4443461.41</f>
        <v>0.43048024355408998</v>
      </c>
      <c r="K40" s="47">
        <f>764099.23/4443461.41</f>
        <v>0.1719603614156289</v>
      </c>
      <c r="L40" s="47">
        <f>742992.09/4443461.41</f>
        <v>0.16721020426280689</v>
      </c>
      <c r="M40" s="18">
        <f t="shared" si="3"/>
        <v>3998337.6445132536</v>
      </c>
      <c r="N40" s="7">
        <v>4443461.41</v>
      </c>
      <c r="O40" s="25"/>
    </row>
    <row r="41" spans="2:16" x14ac:dyDescent="0.25">
      <c r="B41" s="6" t="s">
        <v>87</v>
      </c>
      <c r="C41" s="11">
        <f>AVERAGE('Bacacheri SBBI'!M4:M15)</f>
        <v>0.875</v>
      </c>
      <c r="D41" s="11">
        <f>AVERAGE('Bacacheri SBBI'!M16:M40)</f>
        <v>0.93679999999999974</v>
      </c>
      <c r="E41" s="11">
        <f>AVERAGE('Bacacheri SBBI'!M41:M49)</f>
        <v>0.97555555555555573</v>
      </c>
      <c r="F41" s="11">
        <f>AVERAGE('Bacacheri SBBI'!M50:M56)</f>
        <v>0.93571428571428572</v>
      </c>
      <c r="G41" s="60">
        <f t="shared" si="2"/>
        <v>3.7230698412698411</v>
      </c>
      <c r="I41" s="48">
        <f>493071.51/2084462.33</f>
        <v>0.23654613609640046</v>
      </c>
      <c r="J41" s="47">
        <f>792544.66/2084462.33</f>
        <v>0.38021539108360858</v>
      </c>
      <c r="K41" s="47">
        <f>311473.94/2084462.33</f>
        <v>0.14942651422249498</v>
      </c>
      <c r="L41" s="47">
        <f>487372.22/2084462.33</f>
        <v>0.23381195859749596</v>
      </c>
      <c r="M41" s="18">
        <f t="shared" si="3"/>
        <v>1933794.6993072503</v>
      </c>
      <c r="N41" s="7">
        <v>2084462.34</v>
      </c>
      <c r="O41" s="25"/>
    </row>
    <row r="42" spans="2:16" x14ac:dyDescent="0.25">
      <c r="B42" s="6" t="s">
        <v>88</v>
      </c>
      <c r="C42" s="11">
        <f>AVERAGE('Pelotas SBPK'!M4:M15)</f>
        <v>0.84874999999999989</v>
      </c>
      <c r="D42" s="11">
        <f>AVERAGE('Pelotas SBPK'!M16:M40)</f>
        <v>0.90559999999999985</v>
      </c>
      <c r="E42" s="11">
        <f>AVERAGE('Pelotas SBPK'!M41:M49)</f>
        <v>0.96666666666666656</v>
      </c>
      <c r="F42" s="11">
        <f>AVERAGE('Pelotas SBPK'!M50:M56)</f>
        <v>0.9642857142857143</v>
      </c>
      <c r="G42" s="60">
        <f>SUM(C42:F42)</f>
        <v>3.6853023809523808</v>
      </c>
      <c r="I42" s="48">
        <f>498276.56/2322539.66</f>
        <v>0.21453952695903586</v>
      </c>
      <c r="J42" s="47">
        <f>932054.69/2322539.66</f>
        <v>0.40130840650531663</v>
      </c>
      <c r="K42" s="47">
        <f>398173.21/2322539.66</f>
        <v>0.17143871291308757</v>
      </c>
      <c r="L42" s="47">
        <f>494035.2/2322539.66</f>
        <v>0.21271335362255989</v>
      </c>
      <c r="M42" s="18">
        <f>(I42*C42+J42*D42+K42*E42+L42*F42)*N42</f>
        <v>2128272.8221085109</v>
      </c>
      <c r="N42" s="7">
        <v>2322539.67</v>
      </c>
      <c r="O42" s="25"/>
    </row>
    <row r="43" spans="2:16" x14ac:dyDescent="0.25">
      <c r="B43" s="6" t="s">
        <v>89</v>
      </c>
      <c r="C43" s="11">
        <f>AVERAGE('Uruguaiana SBUG'!M4:M15)</f>
        <v>0.83041666666666669</v>
      </c>
      <c r="D43" s="11">
        <f>AVERAGE('Uruguaiana SBUG'!M16:M40)</f>
        <v>0.91279999999999983</v>
      </c>
      <c r="E43" s="11">
        <f>AVERAGE('Uruguaiana SBUG'!M41:M49)</f>
        <v>0.96666666666666656</v>
      </c>
      <c r="F43" s="11">
        <f>AVERAGE('Uruguaiana SBUG'!M50:M56)</f>
        <v>0.9642857142857143</v>
      </c>
      <c r="G43" s="60">
        <f>SUM(C43:F43)</f>
        <v>3.6741690476190474</v>
      </c>
      <c r="I43" s="48">
        <f>498276.56/2304136.7</f>
        <v>0.2162530374174414</v>
      </c>
      <c r="J43" s="47">
        <f>925010.69/2304136.7</f>
        <v>0.40145651514512998</v>
      </c>
      <c r="K43" s="47">
        <f>393477.22/2304136.7</f>
        <v>0.17076991135117978</v>
      </c>
      <c r="L43" s="47">
        <f>487372.22/2304136.7</f>
        <v>0.2115205317462284</v>
      </c>
      <c r="M43" s="18">
        <f>(I43*C43+J43*D43+K43*E43+L43*F43)*N43</f>
        <v>2108454.2998177139</v>
      </c>
      <c r="N43" s="7">
        <v>2304136.7000000002</v>
      </c>
      <c r="O43" s="25"/>
    </row>
    <row r="44" spans="2:16" x14ac:dyDescent="0.25">
      <c r="B44" s="6" t="s">
        <v>90</v>
      </c>
      <c r="C44" s="11">
        <f>AVERAGE('Bagé SBBG'!M4:M15)</f>
        <v>0.85708333333333331</v>
      </c>
      <c r="D44" s="11">
        <f>AVERAGE('Bagé SBBG'!M16:M40)</f>
        <v>0.90679999999999983</v>
      </c>
      <c r="E44" s="11">
        <f>AVERAGE('Bagé SBBG'!M41:M49)</f>
        <v>0.95888888888888879</v>
      </c>
      <c r="F44" s="11">
        <f>AVERAGE('Bagé SBBG'!M50:M56)</f>
        <v>0.9642857142857143</v>
      </c>
      <c r="G44" s="60">
        <f>SUM(C44:F44)</f>
        <v>3.6870579365079363</v>
      </c>
      <c r="I44" s="48">
        <f>493071.51/2236536.64</f>
        <v>0.22046207568501985</v>
      </c>
      <c r="J44" s="47">
        <f>862615.69/2236536.64</f>
        <v>0.38569262607743365</v>
      </c>
      <c r="K44" s="47">
        <f>393477.22/2236536.64</f>
        <v>0.17593148842846587</v>
      </c>
      <c r="L44" s="47">
        <f>487372.22/2236536.64</f>
        <v>0.21791380980908051</v>
      </c>
      <c r="M44" s="18">
        <f>(I44*C44+J44*D44+K44*E44+L44*F44)*N44</f>
        <v>2052090.2020513697</v>
      </c>
      <c r="N44" s="7">
        <v>2236536.5499999998</v>
      </c>
      <c r="O44" s="25"/>
    </row>
    <row r="45" spans="2:16" x14ac:dyDescent="0.25">
      <c r="B45" s="193" t="s">
        <v>79</v>
      </c>
      <c r="C45" s="11"/>
      <c r="D45" s="11"/>
      <c r="E45" s="11"/>
      <c r="F45" s="11"/>
      <c r="G45" s="61">
        <f>SUM(G36:G44)</f>
        <v>32.55644603174602</v>
      </c>
      <c r="I45" s="206"/>
      <c r="J45" s="207"/>
      <c r="K45" s="207"/>
      <c r="L45" s="208"/>
      <c r="M45" s="18">
        <f>SUM(M36:M44)</f>
        <v>30741244.151298255</v>
      </c>
      <c r="N45" s="7">
        <f>SUM(N36:N44)</f>
        <v>34261301.490000002</v>
      </c>
      <c r="O45" s="25"/>
    </row>
    <row r="46" spans="2:16" x14ac:dyDescent="0.25">
      <c r="B46" s="194" t="s">
        <v>1620</v>
      </c>
      <c r="C46" s="209">
        <f>AVERAGE(C36:F44)</f>
        <v>0.90434572310405636</v>
      </c>
      <c r="D46" s="210"/>
      <c r="E46" s="210"/>
      <c r="F46" s="210"/>
      <c r="G46" s="211"/>
      <c r="I46" s="206"/>
      <c r="J46" s="207"/>
      <c r="K46" s="207"/>
      <c r="L46" s="207"/>
      <c r="M46" s="207"/>
      <c r="N46" s="228"/>
      <c r="O46" s="68"/>
    </row>
    <row r="47" spans="2:16" x14ac:dyDescent="0.25">
      <c r="B47" s="31"/>
      <c r="C47" s="32"/>
      <c r="D47" s="32"/>
      <c r="E47" s="32"/>
      <c r="F47" s="32"/>
      <c r="G47" s="33"/>
      <c r="I47" s="31"/>
      <c r="J47" s="32"/>
      <c r="K47" s="32"/>
      <c r="L47" s="32"/>
      <c r="M47" s="32"/>
      <c r="N47" s="33"/>
      <c r="O47" s="25"/>
    </row>
    <row r="48" spans="2:16" x14ac:dyDescent="0.25">
      <c r="B48" s="6" t="s">
        <v>91</v>
      </c>
      <c r="C48" s="11">
        <f>AVERAGE('Manaus SBEG'!M4:M15)</f>
        <v>0.84541666666666659</v>
      </c>
      <c r="D48" s="11">
        <f>AVERAGE('Manaus SBEG'!M16:M40)</f>
        <v>0.90079999999999971</v>
      </c>
      <c r="E48" s="11">
        <f>AVERAGE('Manaus SBEG'!M41:M49)</f>
        <v>0.93111111111111122</v>
      </c>
      <c r="F48" s="11">
        <f>AVERAGE('Manaus SBEG'!M50:M56)</f>
        <v>0.77857142857142858</v>
      </c>
      <c r="G48" s="60">
        <f t="shared" ref="G48:G54" si="4">SUM(C48:F48)</f>
        <v>3.4558992063492058</v>
      </c>
      <c r="I48" s="48">
        <f>1127077.61/5922354.23</f>
        <v>0.19030905046015797</v>
      </c>
      <c r="J48" s="47">
        <f>2939044.88/5922354.23</f>
        <v>0.49626293292490198</v>
      </c>
      <c r="K48" s="47">
        <f>997837.55/5922354.23</f>
        <v>0.16848663744991829</v>
      </c>
      <c r="L48" s="47">
        <f>858394.2/5922354.23</f>
        <v>0.14494138085353936</v>
      </c>
      <c r="M48" s="18">
        <f t="shared" ref="M48:M54" si="5">(I48*C48+J48*D48+K48*E48+L48*F48)*N48</f>
        <v>5191428.8123580897</v>
      </c>
      <c r="N48" s="7">
        <v>5915139.7000000002</v>
      </c>
      <c r="O48" s="25"/>
    </row>
    <row r="49" spans="1:19" x14ac:dyDescent="0.25">
      <c r="B49" s="6" t="s">
        <v>92</v>
      </c>
      <c r="C49" s="11">
        <f>AVERAGE('Porto Velho SBPV'!M4:M15)</f>
        <v>0.85041666666666649</v>
      </c>
      <c r="D49" s="11">
        <f>AVERAGE('Porto Velho SBPV'!M16:M40)</f>
        <v>0.90759999999999996</v>
      </c>
      <c r="E49" s="11">
        <f>AVERAGE('Porto Velho SBPV'!M41:M49)</f>
        <v>0.96111111111111114</v>
      </c>
      <c r="F49" s="11">
        <f>AVERAGE('Porto Velho SBPV'!M50:M56)</f>
        <v>0.91428571428571437</v>
      </c>
      <c r="G49" s="60">
        <f t="shared" si="4"/>
        <v>3.6334134920634922</v>
      </c>
      <c r="I49" s="48">
        <f>1100943/4530026.69</f>
        <v>0.24303234292864617</v>
      </c>
      <c r="J49" s="47">
        <f>1937144.2/4530026.69</f>
        <v>0.42762313173037836</v>
      </c>
      <c r="K49" s="47">
        <f>759048.62/4530026.69</f>
        <v>0.16755941453404546</v>
      </c>
      <c r="L49" s="47">
        <f>732890.86/4530026.69</f>
        <v>0.1617851085994374</v>
      </c>
      <c r="M49" s="18">
        <f t="shared" si="5"/>
        <v>4094014.067191632</v>
      </c>
      <c r="N49" s="7">
        <v>4530026.7</v>
      </c>
      <c r="O49" s="25"/>
      <c r="S49" s="68"/>
    </row>
    <row r="50" spans="1:19" x14ac:dyDescent="0.25">
      <c r="B50" s="6" t="s">
        <v>93</v>
      </c>
      <c r="C50" s="11">
        <f>AVERAGE('Rio Branco SBRB'!M4:M15)</f>
        <v>0.84958333333333325</v>
      </c>
      <c r="D50" s="11">
        <f>AVERAGE('Rio Branco SBRB'!M16:M40)</f>
        <v>0.91279999999999972</v>
      </c>
      <c r="E50" s="11">
        <f>AVERAGE('Rio Branco SBRB'!M41:M49)</f>
        <v>0.95000000000000007</v>
      </c>
      <c r="F50" s="11">
        <f>AVERAGE('Rio Branco SBRB'!M50:M56)</f>
        <v>0.95714285714285718</v>
      </c>
      <c r="G50" s="60">
        <f t="shared" si="4"/>
        <v>3.6695261904761902</v>
      </c>
      <c r="I50" s="48">
        <f>1071071.07/4466041.84</f>
        <v>0.23982557897397577</v>
      </c>
      <c r="J50" s="47">
        <f>1854029.62/4466041.84</f>
        <v>0.41513933062481118</v>
      </c>
      <c r="K50" s="47">
        <f>775382.51/4466041.84</f>
        <v>0.17361738599385804</v>
      </c>
      <c r="L50" s="47">
        <f>765558.65/4466041.84</f>
        <v>0.17141770664647424</v>
      </c>
      <c r="M50" s="18">
        <f t="shared" si="5"/>
        <v>4071684.7542119161</v>
      </c>
      <c r="N50" s="7">
        <v>4466041.8499999996</v>
      </c>
      <c r="O50" s="25"/>
    </row>
    <row r="51" spans="1:19" x14ac:dyDescent="0.25">
      <c r="B51" s="6" t="s">
        <v>94</v>
      </c>
      <c r="C51" s="11">
        <f>AVERAGE('Cruzeiro do Sul SBCZ'!M4:M15)</f>
        <v>0.85041666666666649</v>
      </c>
      <c r="D51" s="11">
        <f>AVERAGE('Cruzeiro do Sul SBCZ'!M16:M40)</f>
        <v>0.91759999999999975</v>
      </c>
      <c r="E51" s="11">
        <f>AVERAGE('Cruzeiro do Sul SBCZ'!M41:M49)</f>
        <v>0.96444444444444444</v>
      </c>
      <c r="F51" s="11">
        <f>AVERAGE('Cruzeiro do Sul SBCZ'!M50:M56)</f>
        <v>0.95714285714285718</v>
      </c>
      <c r="G51" s="60">
        <f t="shared" si="4"/>
        <v>3.6896039682539676</v>
      </c>
      <c r="I51" s="48">
        <f>589958.95/2558780.75</f>
        <v>0.23056252474933617</v>
      </c>
      <c r="J51" s="47">
        <f>1076291.01/2558780.75</f>
        <v>0.4206265073707468</v>
      </c>
      <c r="K51" s="47">
        <f>398495.59/2558780.75</f>
        <v>0.15573651239950903</v>
      </c>
      <c r="L51" s="47">
        <f>494035.2/2558780.75</f>
        <v>0.193074455480408</v>
      </c>
      <c r="M51" s="18">
        <f t="shared" si="5"/>
        <v>2346504.693614223</v>
      </c>
      <c r="N51" s="7">
        <v>2558780.77</v>
      </c>
      <c r="O51" s="25"/>
    </row>
    <row r="52" spans="1:19" x14ac:dyDescent="0.25">
      <c r="B52" s="6" t="s">
        <v>95</v>
      </c>
      <c r="C52" s="11">
        <f>AVERAGE('Tabatinga SBTT'!M4:M15)</f>
        <v>0.84624999999999995</v>
      </c>
      <c r="D52" s="11">
        <f>AVERAGE('Tabatinga SBTT'!M16:M40)</f>
        <v>0.92279999999999962</v>
      </c>
      <c r="E52" s="11">
        <f>AVERAGE('Tabatinga SBTT'!M41:M49)</f>
        <v>0.97222222222222221</v>
      </c>
      <c r="F52" s="11">
        <f>AVERAGE('Tabatinga SBTT'!M50:M56)</f>
        <v>0.95714285714285718</v>
      </c>
      <c r="G52" s="60">
        <f t="shared" si="4"/>
        <v>3.6984150793650792</v>
      </c>
      <c r="I52" s="48">
        <f>589958.95/2567060.31</f>
        <v>0.22981888960762278</v>
      </c>
      <c r="J52" s="47">
        <f>1063449.34/2567060.31</f>
        <v>0.41426737652299256</v>
      </c>
      <c r="K52" s="47">
        <f>419616.82/2567060.31</f>
        <v>0.16346200296322605</v>
      </c>
      <c r="L52" s="47">
        <f>494035.2/2567060.31</f>
        <v>0.19245173090615858</v>
      </c>
      <c r="M52" s="18">
        <f t="shared" si="5"/>
        <v>2361426.8908667718</v>
      </c>
      <c r="N52" s="7">
        <v>2567060.33</v>
      </c>
      <c r="O52" s="25"/>
    </row>
    <row r="53" spans="1:19" x14ac:dyDescent="0.25">
      <c r="B53" s="6" t="s">
        <v>96</v>
      </c>
      <c r="C53" s="11">
        <f>AVERAGE('Tefé SBTF'!M4:M15)</f>
        <v>0.8520833333333333</v>
      </c>
      <c r="D53" s="11">
        <f>AVERAGE('Tefé SBTF'!M16:M40)</f>
        <v>0.92159999999999986</v>
      </c>
      <c r="E53" s="11">
        <f>AVERAGE('Tefé SBTF'!M41:M49)</f>
        <v>0.96666666666666656</v>
      </c>
      <c r="F53" s="11">
        <f>AVERAGE('Tefé SBTF'!M50:M56)</f>
        <v>0.95714285714285718</v>
      </c>
      <c r="G53" s="60">
        <f t="shared" si="4"/>
        <v>3.6974928571428567</v>
      </c>
      <c r="I53" s="48">
        <f>589958.95/2551695.43</f>
        <v>0.23120273017849938</v>
      </c>
      <c r="J53" s="47">
        <f>1065412.35/2551695.43</f>
        <v>0.41753115888129327</v>
      </c>
      <c r="K53" s="47">
        <f>402288.92/2551695.43</f>
        <v>0.15765553963468124</v>
      </c>
      <c r="L53" s="47">
        <f>494035.2/2551695.43</f>
        <v>0.19361056738656304</v>
      </c>
      <c r="M53" s="18">
        <f t="shared" si="5"/>
        <v>2346319.7625963092</v>
      </c>
      <c r="N53" s="7">
        <v>2551695.4300000002</v>
      </c>
      <c r="O53" s="25"/>
    </row>
    <row r="54" spans="1:19" x14ac:dyDescent="0.25">
      <c r="A54" s="3">
        <v>0.24629009552679901</v>
      </c>
      <c r="B54" s="6" t="s">
        <v>97</v>
      </c>
      <c r="C54" s="11">
        <f>AVERAGE('Boa Vista SBBV'!M4:M15)</f>
        <v>0.82958333333333334</v>
      </c>
      <c r="D54" s="11">
        <f>AVERAGE('Boa Vista SBBV'!M16:M40)</f>
        <v>0.85479999999999978</v>
      </c>
      <c r="E54" s="11">
        <f>AVERAGE('Boa Vista SBBV'!M41:M49)</f>
        <v>0.96666666666666656</v>
      </c>
      <c r="F54" s="11">
        <f>AVERAGE('Boa Vista SBBV'!M50:M56)</f>
        <v>0.9285714285714286</v>
      </c>
      <c r="G54" s="60">
        <f t="shared" si="4"/>
        <v>3.5796214285714285</v>
      </c>
      <c r="I54" s="48">
        <f>1115530.67/4529336.93</f>
        <v>0.24629006126952008</v>
      </c>
      <c r="J54" s="47">
        <f>1886856.36/4529336.93</f>
        <v>0.4165855596880933</v>
      </c>
      <c r="K54" s="47">
        <f>770718.75/4529336.93</f>
        <v>0.17016149646434009</v>
      </c>
      <c r="L54" s="47">
        <f>756231.14/4529336.93</f>
        <v>0.16696288037021792</v>
      </c>
      <c r="M54" s="18">
        <f t="shared" si="5"/>
        <v>3985552.6688187863</v>
      </c>
      <c r="N54" s="7">
        <v>4529336.3</v>
      </c>
      <c r="O54" s="25"/>
    </row>
    <row r="55" spans="1:19" x14ac:dyDescent="0.25">
      <c r="B55" s="193" t="s">
        <v>80</v>
      </c>
      <c r="C55" s="11"/>
      <c r="D55" s="11"/>
      <c r="E55" s="11"/>
      <c r="F55" s="11"/>
      <c r="G55" s="61">
        <f>SUM(G48:G54)</f>
        <v>25.423972222222218</v>
      </c>
      <c r="I55" s="206"/>
      <c r="J55" s="207"/>
      <c r="K55" s="207"/>
      <c r="L55" s="208"/>
      <c r="M55" s="18">
        <f>SUM(M48:M54)</f>
        <v>24396931.649657726</v>
      </c>
      <c r="N55" s="7">
        <f>SUM(N48:N54)</f>
        <v>27118081.080000002</v>
      </c>
      <c r="O55" s="25"/>
    </row>
    <row r="56" spans="1:19" x14ac:dyDescent="0.25">
      <c r="B56" s="194" t="s">
        <v>1620</v>
      </c>
      <c r="C56" s="209">
        <f>AVERAGE(C48:F54)</f>
        <v>0.90799900793650756</v>
      </c>
      <c r="D56" s="210"/>
      <c r="E56" s="210"/>
      <c r="F56" s="210"/>
      <c r="G56" s="211"/>
      <c r="I56" s="206"/>
      <c r="J56" s="207"/>
      <c r="K56" s="207"/>
      <c r="L56" s="207"/>
      <c r="M56" s="207"/>
      <c r="N56" s="228"/>
      <c r="O56" s="25"/>
      <c r="S56" s="68"/>
    </row>
    <row r="57" spans="1:19" x14ac:dyDescent="0.25">
      <c r="B57" s="31"/>
      <c r="C57" s="32"/>
      <c r="D57" s="32"/>
      <c r="E57" s="32"/>
      <c r="F57" s="32"/>
      <c r="G57" s="33"/>
      <c r="I57" s="31"/>
      <c r="J57" s="32"/>
      <c r="K57" s="32"/>
      <c r="L57" s="32"/>
      <c r="M57" s="32"/>
      <c r="N57" s="33"/>
      <c r="O57" s="25"/>
    </row>
    <row r="58" spans="1:19" x14ac:dyDescent="0.25">
      <c r="B58" s="6" t="s">
        <v>98</v>
      </c>
      <c r="C58" s="11">
        <f>AVERAGE('Goiânia SBGO'!M4:M15)</f>
        <v>0.82958333333333323</v>
      </c>
      <c r="D58" s="11">
        <f>AVERAGE('Goiânia SBGO'!M16:M40)</f>
        <v>0.89639999999999975</v>
      </c>
      <c r="E58" s="11">
        <f>AVERAGE('Goiânia SBGO'!M41:M49)</f>
        <v>0.99222222222222223</v>
      </c>
      <c r="F58" s="11">
        <f>AVERAGE('Goiânia SBGO'!M50:M56)</f>
        <v>0.77142857142857146</v>
      </c>
      <c r="G58" s="60">
        <f t="shared" ref="G58:G63" si="6">SUM(C58:F58)</f>
        <v>3.4896341269841264</v>
      </c>
      <c r="I58" s="48">
        <f>1211283.02/5369497.68</f>
        <v>0.22558590992817043</v>
      </c>
      <c r="J58" s="47">
        <f>2604092.38/5369497.68</f>
        <v>0.48497876993216243</v>
      </c>
      <c r="K58" s="47">
        <f>820307.26/5369497.68</f>
        <v>0.15277169465133283</v>
      </c>
      <c r="L58" s="47">
        <f>733815.02/5369497.68</f>
        <v>0.13666362548833433</v>
      </c>
      <c r="M58" s="18">
        <f t="shared" ref="M58:M63" si="7">(I58*C58+J58*D58+K58*E58+L58*F58)*N58</f>
        <v>4719181.5797673166</v>
      </c>
      <c r="N58" s="7">
        <v>5369497.6799999997</v>
      </c>
      <c r="O58" s="25"/>
    </row>
    <row r="59" spans="1:19" x14ac:dyDescent="0.25">
      <c r="B59" s="6" t="s">
        <v>99</v>
      </c>
      <c r="C59" s="11">
        <f>AVERAGE('São Luiz SBSL'!M4:M15)</f>
        <v>0.8354166666666667</v>
      </c>
      <c r="D59" s="11">
        <f>AVERAGE('São Luiz SBSL'!M16:M40)</f>
        <v>0.90999999999999981</v>
      </c>
      <c r="E59" s="11">
        <f>AVERAGE('São Luiz SBSL'!M41:M49)</f>
        <v>0.99666666666666659</v>
      </c>
      <c r="F59" s="11">
        <f>AVERAGE('São Luiz SBSL'!M50:M56)</f>
        <v>0.77142857142857146</v>
      </c>
      <c r="G59" s="60">
        <f t="shared" si="6"/>
        <v>3.5135119047619043</v>
      </c>
      <c r="I59" s="48">
        <f>1028719.24/4968454.09</f>
        <v>0.20705016517522054</v>
      </c>
      <c r="J59" s="47">
        <f>2357253.92/4968454.09</f>
        <v>0.47444413841811306</v>
      </c>
      <c r="K59" s="47">
        <f>831214.43/4968454.09</f>
        <v>0.16729840206694957</v>
      </c>
      <c r="L59" s="47">
        <f>751266.49/4968454.09</f>
        <v>0.15120729232701838</v>
      </c>
      <c r="M59" s="18">
        <f t="shared" si="7"/>
        <v>4383711.3465561904</v>
      </c>
      <c r="N59" s="7">
        <v>4936035.5</v>
      </c>
      <c r="O59" s="25"/>
    </row>
    <row r="60" spans="1:19" x14ac:dyDescent="0.25">
      <c r="A60" s="3">
        <v>0.20507629160851501</v>
      </c>
      <c r="B60" s="6" t="s">
        <v>100</v>
      </c>
      <c r="C60" s="52">
        <f>AVERAGE('Teresina SBTE'!M4:M15)</f>
        <v>0.84708333333333341</v>
      </c>
      <c r="D60" s="52">
        <f>AVERAGE('Teresina SBTE'!M16:M40)</f>
        <v>0.9159999999999997</v>
      </c>
      <c r="E60" s="52">
        <f>AVERAGE('Teresina SBTE'!M41:M49)</f>
        <v>0.99666666666666659</v>
      </c>
      <c r="F60" s="52">
        <f>AVERAGE('Teresina SBTE'!M50:M56)</f>
        <v>0.90714285714285714</v>
      </c>
      <c r="G60" s="64">
        <f t="shared" si="6"/>
        <v>3.6668928571428565</v>
      </c>
      <c r="I60" s="54">
        <f>1032426.61/5045465.96</f>
        <v>0.204624630942907</v>
      </c>
      <c r="J60" s="55">
        <f>2420919.28/5045465.96</f>
        <v>0.47982075376047129</v>
      </c>
      <c r="K60" s="55">
        <f>834921.79/5045465.96</f>
        <v>0.16547962004286321</v>
      </c>
      <c r="L60" s="55">
        <f>757198.28/5045465.96</f>
        <v>0.1500749952537585</v>
      </c>
      <c r="M60" s="56">
        <f t="shared" si="7"/>
        <v>4600983.5759051014</v>
      </c>
      <c r="N60" s="57">
        <v>5034353.8099999996</v>
      </c>
      <c r="O60" s="25"/>
    </row>
    <row r="61" spans="1:19" x14ac:dyDescent="0.25">
      <c r="B61" s="51" t="s">
        <v>101</v>
      </c>
      <c r="C61" s="52">
        <f>AVERAGE('Palmas SBPJ'!M4:M15)</f>
        <v>0.83624999999999983</v>
      </c>
      <c r="D61" s="52">
        <f>AVERAGE('Palmas SBPJ'!M16:M40)</f>
        <v>0.91599999999999981</v>
      </c>
      <c r="E61" s="52">
        <f>AVERAGE('Palmas SBPJ'!M41:M49)</f>
        <v>0.98555555555555563</v>
      </c>
      <c r="F61" s="52">
        <f>AVERAGE('Palmas SBPJ'!M50:M56)</f>
        <v>0.90714285714285714</v>
      </c>
      <c r="G61" s="64">
        <f t="shared" si="6"/>
        <v>3.6449484126984122</v>
      </c>
      <c r="I61" s="54">
        <f>724365.05/3312353.47</f>
        <v>0.21868591518404587</v>
      </c>
      <c r="J61" s="55">
        <f>1434565.44/3312353.47</f>
        <v>0.4330955174297868</v>
      </c>
      <c r="K61" s="55">
        <f>579373.58/3312353.47</f>
        <v>0.17491296905580547</v>
      </c>
      <c r="L61" s="55">
        <f>574049.41/3312353.47</f>
        <v>0.17330560134936324</v>
      </c>
      <c r="M61" s="56">
        <f t="shared" si="7"/>
        <v>3011561.8976340913</v>
      </c>
      <c r="N61" s="57">
        <v>3312353.48</v>
      </c>
      <c r="O61" s="25"/>
    </row>
    <row r="62" spans="1:19" x14ac:dyDescent="0.25">
      <c r="B62" s="51" t="s">
        <v>102</v>
      </c>
      <c r="C62" s="52">
        <f>AVERAGE('Petrolina SBPL'!M4:M15)</f>
        <v>0.83291666666666664</v>
      </c>
      <c r="D62" s="52">
        <f>AVERAGE('Petrolina SBPL'!M16:M40)</f>
        <v>0.9111999999999999</v>
      </c>
      <c r="E62" s="52">
        <f>AVERAGE('Petrolina SBPL'!M41:M49)</f>
        <v>0.99444444444444435</v>
      </c>
      <c r="F62" s="52">
        <f>AVERAGE('Petrolina SBPL'!M50:M56)</f>
        <v>0.90714285714285714</v>
      </c>
      <c r="G62" s="64">
        <f t="shared" si="6"/>
        <v>3.6457039682539678</v>
      </c>
      <c r="I62" s="54">
        <f>727642.57/3311433.03</f>
        <v>0.21973645953516385</v>
      </c>
      <c r="J62" s="55">
        <f>1423812.42/3311433.03</f>
        <v>0.42996865921821165</v>
      </c>
      <c r="K62" s="55">
        <f>585928.63/3311433.03</f>
        <v>0.17694110818239922</v>
      </c>
      <c r="L62" s="55">
        <f>574049.41/3311433.03</f>
        <v>0.17335377306422534</v>
      </c>
      <c r="M62" s="56">
        <f t="shared" si="7"/>
        <v>3006861.7939061825</v>
      </c>
      <c r="N62" s="57">
        <v>3311433.03</v>
      </c>
      <c r="O62" s="25"/>
    </row>
    <row r="63" spans="1:19" x14ac:dyDescent="0.25">
      <c r="B63" s="51" t="s">
        <v>103</v>
      </c>
      <c r="C63" s="52">
        <f>AVERAGE('Imperatriz SBIZ'!M4:M15)</f>
        <v>0.85708333333333331</v>
      </c>
      <c r="D63" s="52">
        <f>AVERAGE('Imperatriz SBIZ'!M16:M40)</f>
        <v>0.91359999999999986</v>
      </c>
      <c r="E63" s="52">
        <f>AVERAGE('Imperatriz SBIZ'!M41:M49)</f>
        <v>0.99222222222222223</v>
      </c>
      <c r="F63" s="52">
        <f>AVERAGE('Imperatriz SBIZ'!M50:M56)</f>
        <v>0.93571428571428572</v>
      </c>
      <c r="G63" s="64">
        <f t="shared" si="6"/>
        <v>3.6986198412698412</v>
      </c>
      <c r="I63" s="54">
        <f>724937.27/3219790.35</f>
        <v>0.22515045738925207</v>
      </c>
      <c r="J63" s="55">
        <f>1340285.65/3219790.35</f>
        <v>0.41626488196661621</v>
      </c>
      <c r="K63" s="55">
        <f>580518.02/3219790.35</f>
        <v>0.18029683827085202</v>
      </c>
      <c r="L63" s="55">
        <f>574049.41/3219790.35</f>
        <v>0.17828782237327967</v>
      </c>
      <c r="M63" s="56">
        <f t="shared" si="7"/>
        <v>2958965.7351564677</v>
      </c>
      <c r="N63" s="57">
        <v>3219790.35</v>
      </c>
      <c r="O63" s="25"/>
    </row>
    <row r="64" spans="1:19" x14ac:dyDescent="0.25">
      <c r="B64" s="196" t="s">
        <v>81</v>
      </c>
      <c r="C64" s="52"/>
      <c r="D64" s="52"/>
      <c r="E64" s="52"/>
      <c r="F64" s="52"/>
      <c r="G64" s="61">
        <f>SUM(G58:G63)</f>
        <v>21.659311111111109</v>
      </c>
      <c r="I64" s="224"/>
      <c r="J64" s="225"/>
      <c r="K64" s="225"/>
      <c r="L64" s="227"/>
      <c r="M64" s="71">
        <f>SUM(M58:M63)</f>
        <v>22681265.92892535</v>
      </c>
      <c r="N64" s="7">
        <f>SUM(N58:N63)</f>
        <v>25183463.850000001</v>
      </c>
      <c r="O64" s="25"/>
    </row>
    <row r="65" spans="1:15" ht="15.75" thickBot="1" x14ac:dyDescent="0.3">
      <c r="B65" s="195" t="s">
        <v>1620</v>
      </c>
      <c r="C65" s="212">
        <f>AVERAGE(C58:F63)</f>
        <v>0.90247129629629608</v>
      </c>
      <c r="D65" s="213"/>
      <c r="E65" s="213"/>
      <c r="F65" s="213"/>
      <c r="G65" s="214"/>
      <c r="I65" s="215"/>
      <c r="J65" s="216"/>
      <c r="K65" s="216"/>
      <c r="L65" s="216"/>
      <c r="M65" s="216"/>
      <c r="N65" s="217"/>
      <c r="O65" s="25"/>
    </row>
    <row r="66" spans="1:15" s="8" customFormat="1" ht="15.75" thickBot="1" x14ac:dyDescent="0.3">
      <c r="C66" s="30"/>
      <c r="D66" s="30"/>
      <c r="E66" s="30"/>
      <c r="F66" s="30"/>
      <c r="G66" s="72"/>
      <c r="I66" s="34"/>
      <c r="J66" s="34"/>
      <c r="K66" s="34"/>
      <c r="L66" s="34"/>
      <c r="M66" s="35"/>
      <c r="N66" s="41"/>
      <c r="O66" s="42"/>
    </row>
    <row r="67" spans="1:15" s="36" customFormat="1" ht="15.75" thickBot="1" x14ac:dyDescent="0.3">
      <c r="B67" s="197" t="s">
        <v>20</v>
      </c>
      <c r="C67" s="198"/>
      <c r="D67" s="198"/>
      <c r="E67" s="198"/>
      <c r="F67" s="198"/>
      <c r="G67" s="199"/>
      <c r="I67" s="197" t="s">
        <v>27</v>
      </c>
      <c r="J67" s="198"/>
      <c r="K67" s="198"/>
      <c r="L67" s="198"/>
      <c r="M67" s="198"/>
      <c r="N67" s="199"/>
    </row>
    <row r="68" spans="1:15" x14ac:dyDescent="0.25">
      <c r="B68" s="200" t="s">
        <v>107</v>
      </c>
      <c r="C68" s="201"/>
      <c r="D68" s="201"/>
      <c r="E68" s="201"/>
      <c r="F68" s="201"/>
      <c r="G68" s="202"/>
      <c r="I68" s="229" t="s">
        <v>108</v>
      </c>
      <c r="J68" s="230"/>
      <c r="K68" s="230"/>
      <c r="L68" s="230"/>
      <c r="M68" s="230"/>
      <c r="N68" s="231"/>
    </row>
    <row r="69" spans="1:15" x14ac:dyDescent="0.25">
      <c r="B69" s="5"/>
      <c r="C69" s="6" t="s">
        <v>133</v>
      </c>
      <c r="D69" s="4" t="s">
        <v>24</v>
      </c>
      <c r="E69" s="4" t="s">
        <v>23</v>
      </c>
      <c r="F69" s="4" t="s">
        <v>25</v>
      </c>
      <c r="G69" s="14" t="s">
        <v>26</v>
      </c>
      <c r="I69" s="6" t="s">
        <v>133</v>
      </c>
      <c r="J69" s="13" t="s">
        <v>24</v>
      </c>
      <c r="K69" s="13" t="s">
        <v>23</v>
      </c>
      <c r="L69" s="13" t="s">
        <v>25</v>
      </c>
      <c r="M69" s="17" t="s">
        <v>28</v>
      </c>
      <c r="N69" s="21" t="s">
        <v>132</v>
      </c>
    </row>
    <row r="70" spans="1:15" x14ac:dyDescent="0.25">
      <c r="B70" s="6" t="s">
        <v>82</v>
      </c>
      <c r="C70" s="11">
        <f>AVERAGE('Curitiba SBCT'!R4:R15)</f>
        <v>0.88750000000000007</v>
      </c>
      <c r="D70" s="11">
        <f>AVERAGE('Curitiba SBCT'!R16:R40)</f>
        <v>0.79959999999999998</v>
      </c>
      <c r="E70" s="11">
        <f>AVERAGE('Curitiba SBCT'!R41:R49)</f>
        <v>0.86111111111111116</v>
      </c>
      <c r="F70" s="11">
        <f>AVERAGE('Curitiba SBCT'!R50:R56)</f>
        <v>0.83571428571428574</v>
      </c>
      <c r="G70" s="60">
        <f t="shared" ref="G70:G75" si="8">SUM(C70:F70)</f>
        <v>3.3839253968253971</v>
      </c>
      <c r="I70" s="48">
        <v>0.20907833595365899</v>
      </c>
      <c r="J70" s="47">
        <v>0.39422352349145701</v>
      </c>
      <c r="K70" s="47">
        <v>0.18870484579265301</v>
      </c>
      <c r="L70" s="47">
        <v>0.20799329476223</v>
      </c>
      <c r="M70" s="63">
        <f t="shared" ref="M70:M75" si="9">(I70*C70+J70*D70+K70*E70+L70*F70)*N70</f>
        <v>6213030.9226047415</v>
      </c>
      <c r="N70" s="7">
        <v>7422116.2199999997</v>
      </c>
    </row>
    <row r="71" spans="1:15" x14ac:dyDescent="0.25">
      <c r="B71" s="6" t="s">
        <v>83</v>
      </c>
      <c r="C71" s="11">
        <f>AVERAGE('Foz do Iguaçú SBFI'!R4:R15)</f>
        <v>0.8833333333333333</v>
      </c>
      <c r="D71" s="11">
        <f>AVERAGE('Foz do Iguaçú SBFI'!R16:R40)</f>
        <v>0.77879999999999994</v>
      </c>
      <c r="E71" s="11">
        <f>AVERAGE('Foz do Iguaçú SBFI'!R41:R49)</f>
        <v>0.87777777777777777</v>
      </c>
      <c r="F71" s="11">
        <f>AVERAGE('Foz do Iguaçú SBFI'!R50:R56)</f>
        <v>0.83571428571428574</v>
      </c>
      <c r="G71" s="60">
        <f t="shared" si="8"/>
        <v>3.3756253968253969</v>
      </c>
      <c r="I71" s="48">
        <v>0.20907833727958899</v>
      </c>
      <c r="J71" s="47">
        <v>0.39422352307854902</v>
      </c>
      <c r="K71" s="47">
        <v>0.18870484615223401</v>
      </c>
      <c r="L71" s="47">
        <v>0.207993295654951</v>
      </c>
      <c r="M71" s="63">
        <f t="shared" si="9"/>
        <v>3546417.8161325743</v>
      </c>
      <c r="N71" s="7">
        <v>4266772.63</v>
      </c>
    </row>
    <row r="72" spans="1:15" x14ac:dyDescent="0.25">
      <c r="B72" s="6" t="s">
        <v>84</v>
      </c>
      <c r="C72" s="11">
        <f>AVERAGE('Navegantes SBNF'!R4:R15)</f>
        <v>0.89</v>
      </c>
      <c r="D72" s="11">
        <f>AVERAGE('Navegantes SBNF'!R16:R40)</f>
        <v>0.77079999999999993</v>
      </c>
      <c r="E72" s="11">
        <f>AVERAGE('Navegantes SBNF'!R41:R49)</f>
        <v>0.89</v>
      </c>
      <c r="F72" s="11">
        <f>AVERAGE('Navegantes SBNF'!R50:R56)</f>
        <v>0.83571428571428574</v>
      </c>
      <c r="G72" s="60">
        <f t="shared" si="8"/>
        <v>3.386514285714286</v>
      </c>
      <c r="I72" s="48">
        <v>0.20907833589886601</v>
      </c>
      <c r="J72" s="47">
        <v>0.39422352334611699</v>
      </c>
      <c r="K72" s="47">
        <v>0.18870484534295501</v>
      </c>
      <c r="L72" s="47">
        <v>0.20799329541205999</v>
      </c>
      <c r="M72" s="63">
        <f t="shared" si="9"/>
        <v>3337824.4751297054</v>
      </c>
      <c r="N72" s="7">
        <v>4013170.95</v>
      </c>
    </row>
    <row r="73" spans="1:15" x14ac:dyDescent="0.25">
      <c r="B73" s="6" t="s">
        <v>85</v>
      </c>
      <c r="C73" s="11">
        <f>AVERAGE('Londrina SBLO'!R4:R15)</f>
        <v>0.8833333333333333</v>
      </c>
      <c r="D73" s="11">
        <f>AVERAGE('Londrina SBLO'!R16:R40)</f>
        <v>0.79400000000000004</v>
      </c>
      <c r="E73" s="11">
        <f>AVERAGE('Londrina SBLO'!R41:R49)</f>
        <v>0.89444444444444449</v>
      </c>
      <c r="F73" s="11">
        <f>AVERAGE('Londrina SBLO'!R50:R56)</f>
        <v>0.89285714285714302</v>
      </c>
      <c r="G73" s="60">
        <f t="shared" si="8"/>
        <v>3.4646349206349205</v>
      </c>
      <c r="I73" s="48">
        <v>0.20907833618673</v>
      </c>
      <c r="J73" s="47">
        <v>0.394223524982519</v>
      </c>
      <c r="K73" s="47">
        <v>0.188704847059006</v>
      </c>
      <c r="L73" s="47">
        <v>0.207993294639508</v>
      </c>
      <c r="M73" s="63">
        <f t="shared" si="9"/>
        <v>2814554.3309031515</v>
      </c>
      <c r="N73" s="7">
        <v>3302716.88</v>
      </c>
    </row>
    <row r="74" spans="1:15" x14ac:dyDescent="0.25">
      <c r="B74" s="6" t="s">
        <v>86</v>
      </c>
      <c r="C74" s="11">
        <f>AVERAGE('Joinville SBJV'!R4:R15)</f>
        <v>0.88583333333333325</v>
      </c>
      <c r="D74" s="11">
        <f>AVERAGE('Joinville SBJV'!R16:R40)</f>
        <v>0.79480000000000006</v>
      </c>
      <c r="E74" s="11">
        <f>AVERAGE('Joinville SBJV'!R41:R49)</f>
        <v>0.89666666666666672</v>
      </c>
      <c r="F74" s="11">
        <f>AVERAGE('Joinville SBJV'!R50:R56)</f>
        <v>0.9214285714285716</v>
      </c>
      <c r="G74" s="60">
        <f t="shared" si="8"/>
        <v>3.4987285714285719</v>
      </c>
      <c r="I74" s="48">
        <v>0.20907833791736999</v>
      </c>
      <c r="J74" s="47">
        <v>0.394223525232205</v>
      </c>
      <c r="K74" s="47">
        <v>0.188704844949489</v>
      </c>
      <c r="L74" s="47">
        <v>0.20799329514744699</v>
      </c>
      <c r="M74" s="63">
        <f t="shared" si="9"/>
        <v>2548563.2619378124</v>
      </c>
      <c r="N74" s="7">
        <v>2965536.26</v>
      </c>
    </row>
    <row r="75" spans="1:15" x14ac:dyDescent="0.25">
      <c r="B75" s="6" t="s">
        <v>87</v>
      </c>
      <c r="C75" s="11">
        <f>AVERAGE('Bacacheri SBBI'!R4:R15)</f>
        <v>0.91666666666666663</v>
      </c>
      <c r="D75" s="11">
        <f>AVERAGE('Bacacheri SBBI'!R16:R40)</f>
        <v>0.81879999999999997</v>
      </c>
      <c r="E75" s="11">
        <f>AVERAGE('Bacacheri SBBI'!R41:R49)</f>
        <v>0.88888888888888884</v>
      </c>
      <c r="F75" s="11">
        <f>AVERAGE('Bacacheri SBBI'!R50:R56)</f>
        <v>0.80714285714285727</v>
      </c>
      <c r="G75" s="60">
        <f t="shared" si="8"/>
        <v>3.4314984126984127</v>
      </c>
      <c r="I75" s="48">
        <v>0.20907833652362501</v>
      </c>
      <c r="J75" s="47">
        <v>0.39422352501135799</v>
      </c>
      <c r="K75" s="47">
        <v>0.188704845932814</v>
      </c>
      <c r="L75" s="47">
        <v>0.207993296241132</v>
      </c>
      <c r="M75" s="63">
        <f t="shared" si="9"/>
        <v>2213392.989056279</v>
      </c>
      <c r="N75" s="7">
        <v>2603797.8199999998</v>
      </c>
    </row>
    <row r="76" spans="1:15" x14ac:dyDescent="0.25">
      <c r="B76" s="6" t="s">
        <v>88</v>
      </c>
      <c r="C76" s="11">
        <f>AVERAGE('Pelotas SBPK'!R4:R15)</f>
        <v>0.89833333333333343</v>
      </c>
      <c r="D76" s="11">
        <f>AVERAGE('Pelotas SBPK'!R16:R40)</f>
        <v>0.82720000000000016</v>
      </c>
      <c r="E76" s="11">
        <f>AVERAGE('Pelotas SBPK'!R41:R49)</f>
        <v>0.89555555555555544</v>
      </c>
      <c r="F76" s="11">
        <f>AVERAGE('Pelotas SBPK'!R50:R56)</f>
        <v>0.9214285714285716</v>
      </c>
      <c r="G76" s="60">
        <f>SUM(C76:F76)</f>
        <v>3.5425174603174607</v>
      </c>
      <c r="I76" s="48">
        <v>0.20907833741774001</v>
      </c>
      <c r="J76" s="47">
        <v>0.39422352208050299</v>
      </c>
      <c r="K76" s="47">
        <v>0.18870484704478499</v>
      </c>
      <c r="L76" s="47">
        <v>0.20799329345697101</v>
      </c>
      <c r="M76" s="63">
        <f>(I76*C76+J76*D76+K76*E76+L76*F76)*N76</f>
        <v>2262483.0454158746</v>
      </c>
      <c r="N76" s="7">
        <v>2586965.11</v>
      </c>
    </row>
    <row r="77" spans="1:15" x14ac:dyDescent="0.25">
      <c r="A77" s="3">
        <v>0.20907833486180999</v>
      </c>
      <c r="B77" s="6" t="s">
        <v>89</v>
      </c>
      <c r="C77" s="11">
        <f>AVERAGE('Uruguaiana SBUG'!R4:R15)</f>
        <v>0.89416666666666667</v>
      </c>
      <c r="D77" s="11">
        <f>AVERAGE('Uruguaiana SBUG'!R16:R40)</f>
        <v>0.83360000000000001</v>
      </c>
      <c r="E77" s="11">
        <f>AVERAGE('Uruguaiana SBUG'!R41:R49)</f>
        <v>0.87111111111111106</v>
      </c>
      <c r="F77" s="11">
        <f>AVERAGE('Uruguaiana SBUG'!R50:R56)</f>
        <v>0.89285714285714302</v>
      </c>
      <c r="G77" s="60">
        <f>SUM(C77:F77)</f>
        <v>3.4917349206349204</v>
      </c>
      <c r="I77" s="48">
        <v>0.20907833486180999</v>
      </c>
      <c r="J77" s="47">
        <v>0.39422352404898398</v>
      </c>
      <c r="K77" s="47">
        <v>0.18870484375852001</v>
      </c>
      <c r="L77" s="47">
        <v>0.207993293610088</v>
      </c>
      <c r="M77" s="63">
        <f>(I77*C77+J77*D77+K77*E77+L77*F77)*N77</f>
        <v>2232191.0489660222</v>
      </c>
      <c r="N77" s="7">
        <v>2578579.9700000002</v>
      </c>
    </row>
    <row r="78" spans="1:15" x14ac:dyDescent="0.25">
      <c r="B78" s="6" t="s">
        <v>90</v>
      </c>
      <c r="C78" s="11">
        <f>AVERAGE('Bagé SBBG'!R4:R15)</f>
        <v>0.89833333333333343</v>
      </c>
      <c r="D78" s="11">
        <f>AVERAGE('Bagé SBBG'!R16:R40)</f>
        <v>0.83279999999999998</v>
      </c>
      <c r="E78" s="11">
        <f>AVERAGE('Bagé SBBG'!R41:R49)</f>
        <v>0.86111111111111116</v>
      </c>
      <c r="F78" s="11">
        <f>AVERAGE('Bagé SBBG'!R50:R56)</f>
        <v>0.9214285714285716</v>
      </c>
      <c r="G78" s="60">
        <f>SUM(C78:F78)</f>
        <v>3.5136730158730165</v>
      </c>
      <c r="I78" s="48">
        <v>0.20907833645320201</v>
      </c>
      <c r="J78" s="47">
        <v>0.39422352140480599</v>
      </c>
      <c r="K78" s="47">
        <v>0.18870484731279999</v>
      </c>
      <c r="L78" s="47">
        <v>0.20799329482919099</v>
      </c>
      <c r="M78" s="63">
        <f>(I78*C78+J78*D78+K78*E78+L78*F78)*N78</f>
        <v>2237482.709888408</v>
      </c>
      <c r="N78" s="7">
        <v>2570997.1</v>
      </c>
    </row>
    <row r="79" spans="1:15" x14ac:dyDescent="0.25">
      <c r="B79" s="193" t="s">
        <v>79</v>
      </c>
      <c r="C79" s="11"/>
      <c r="D79" s="11"/>
      <c r="E79" s="11"/>
      <c r="F79" s="11"/>
      <c r="G79" s="61">
        <f>SUM(G70:G78)</f>
        <v>31.088852380952382</v>
      </c>
      <c r="I79" s="224"/>
      <c r="J79" s="225"/>
      <c r="K79" s="225"/>
      <c r="L79" s="227"/>
      <c r="M79" s="63">
        <f>SUM(M70:M78)</f>
        <v>27405940.600034565</v>
      </c>
      <c r="N79" s="7">
        <f>SUM(N70:N78)</f>
        <v>32310652.939999998</v>
      </c>
    </row>
    <row r="80" spans="1:15" x14ac:dyDescent="0.25">
      <c r="B80" s="194" t="s">
        <v>1620</v>
      </c>
      <c r="C80" s="209">
        <f>AVERAGE(C70:F78)</f>
        <v>0.86357923280423288</v>
      </c>
      <c r="D80" s="210"/>
      <c r="E80" s="210"/>
      <c r="F80" s="210"/>
      <c r="G80" s="211"/>
      <c r="I80" s="224"/>
      <c r="J80" s="225"/>
      <c r="K80" s="225"/>
      <c r="L80" s="225"/>
      <c r="M80" s="225"/>
      <c r="N80" s="226"/>
    </row>
    <row r="81" spans="2:14" x14ac:dyDescent="0.25">
      <c r="B81" s="31"/>
      <c r="C81" s="32"/>
      <c r="D81" s="32"/>
      <c r="E81" s="32"/>
      <c r="F81" s="32"/>
      <c r="G81" s="33"/>
      <c r="I81" s="31"/>
      <c r="J81" s="32"/>
      <c r="K81" s="32"/>
      <c r="L81" s="32"/>
      <c r="M81" s="32"/>
      <c r="N81" s="33"/>
    </row>
    <row r="82" spans="2:14" x14ac:dyDescent="0.25">
      <c r="B82" s="6" t="s">
        <v>91</v>
      </c>
      <c r="C82" s="11">
        <f>AVERAGE('Manaus SBEG'!R4:R15)</f>
        <v>0.8833333333333333</v>
      </c>
      <c r="D82" s="11">
        <f>AVERAGE('Manaus SBEG'!R16:R40)</f>
        <v>0.78560000000000008</v>
      </c>
      <c r="E82" s="11">
        <f>AVERAGE('Manaus SBEG'!R41:R49)</f>
        <v>0.88555555555555554</v>
      </c>
      <c r="F82" s="11">
        <f>AVERAGE('Manaus SBEG'!R50:R56)</f>
        <v>0.8214285714285714</v>
      </c>
      <c r="G82" s="60">
        <f t="shared" ref="G82:G88" si="10">SUM(C82:F82)</f>
        <v>3.37591746031746</v>
      </c>
      <c r="I82" s="48">
        <v>0.20907795036641399</v>
      </c>
      <c r="J82" s="47">
        <v>0.39421584083194899</v>
      </c>
      <c r="K82" s="47">
        <v>0.18912201847215199</v>
      </c>
      <c r="L82" s="47">
        <v>0.207584190329483</v>
      </c>
      <c r="M82" s="63">
        <f t="shared" ref="M82:M88" si="11">(I82*C82+J82*D82+K82*E82+L82*F82)*N82</f>
        <v>6431299.351876718</v>
      </c>
      <c r="N82" s="7">
        <v>7726443.46</v>
      </c>
    </row>
    <row r="83" spans="2:14" x14ac:dyDescent="0.25">
      <c r="B83" s="6" t="s">
        <v>92</v>
      </c>
      <c r="C83" s="11">
        <f>AVERAGE('Porto Velho SBPV'!R4:R15)</f>
        <v>0.89833333333333343</v>
      </c>
      <c r="D83" s="11">
        <f>AVERAGE('Porto Velho SBPV'!R16:R40)</f>
        <v>0.79080000000000017</v>
      </c>
      <c r="E83" s="11">
        <f>AVERAGE('Porto Velho SBPV'!R41:R49)</f>
        <v>0.88555555555555554</v>
      </c>
      <c r="F83" s="11">
        <f>AVERAGE('Porto Velho SBPV'!R50:R56)</f>
        <v>0.90714285714285725</v>
      </c>
      <c r="G83" s="60">
        <f t="shared" si="10"/>
        <v>3.4818317460317463</v>
      </c>
      <c r="I83" s="48">
        <v>0.20907794977233499</v>
      </c>
      <c r="J83" s="47">
        <v>0.39421584150862299</v>
      </c>
      <c r="K83" s="47">
        <v>0.18912201933775799</v>
      </c>
      <c r="L83" s="47">
        <v>0.20758418938128201</v>
      </c>
      <c r="M83" s="63">
        <f t="shared" si="11"/>
        <v>3196383.54127465</v>
      </c>
      <c r="N83" s="7">
        <v>3736912.42</v>
      </c>
    </row>
    <row r="84" spans="2:14" x14ac:dyDescent="0.25">
      <c r="B84" s="6" t="s">
        <v>93</v>
      </c>
      <c r="C84" s="11">
        <f>AVERAGE('Rio Branco SBRB'!R4:R15)</f>
        <v>0.89416666666666667</v>
      </c>
      <c r="D84" s="11">
        <f>AVERAGE('Rio Branco SBRB'!R16:R40)</f>
        <v>0.79680000000000006</v>
      </c>
      <c r="E84" s="11">
        <f>AVERAGE('Rio Branco SBRB'!R41:R49)</f>
        <v>0.88555555555555554</v>
      </c>
      <c r="F84" s="11">
        <f>AVERAGE('Rio Branco SBRB'!R50:R56)</f>
        <v>0.90714285714285725</v>
      </c>
      <c r="G84" s="60">
        <f t="shared" si="10"/>
        <v>3.4836650793650792</v>
      </c>
      <c r="I84" s="48">
        <v>0.209077950366028</v>
      </c>
      <c r="J84" s="47">
        <v>0.39421584186417302</v>
      </c>
      <c r="K84" s="47">
        <v>0.18912201851480201</v>
      </c>
      <c r="L84" s="47">
        <v>0.207584189254995</v>
      </c>
      <c r="M84" s="63">
        <f t="shared" si="11"/>
        <v>2582014.6103975852</v>
      </c>
      <c r="N84" s="7">
        <v>3013385.98</v>
      </c>
    </row>
    <row r="85" spans="2:14" x14ac:dyDescent="0.25">
      <c r="B85" s="6" t="s">
        <v>94</v>
      </c>
      <c r="C85" s="11">
        <f>AVERAGE('Cruzeiro do Sul SBCZ'!R4:R15)</f>
        <v>0.89833333333333343</v>
      </c>
      <c r="D85" s="11">
        <f>AVERAGE('Cruzeiro do Sul SBCZ'!R16:R40)</f>
        <v>0.82080000000000009</v>
      </c>
      <c r="E85" s="11">
        <f>AVERAGE('Cruzeiro do Sul SBCZ'!R41:R49)</f>
        <v>0.89111111111111108</v>
      </c>
      <c r="F85" s="11">
        <f>AVERAGE('Cruzeiro do Sul SBCZ'!R50:R56)</f>
        <v>0.90714285714285725</v>
      </c>
      <c r="G85" s="60">
        <f t="shared" si="10"/>
        <v>3.5173873015873021</v>
      </c>
      <c r="I85" s="48">
        <v>0.20907794924129</v>
      </c>
      <c r="J85" s="47">
        <v>0.39421584176047503</v>
      </c>
      <c r="K85" s="47">
        <v>0.189122017910198</v>
      </c>
      <c r="L85" s="47">
        <v>0.207584191088035</v>
      </c>
      <c r="M85" s="63">
        <f t="shared" si="11"/>
        <v>2349975.0275650597</v>
      </c>
      <c r="N85" s="7">
        <v>2706623.25</v>
      </c>
    </row>
    <row r="86" spans="2:14" x14ac:dyDescent="0.25">
      <c r="B86" s="6" t="s">
        <v>95</v>
      </c>
      <c r="C86" s="11">
        <f>AVERAGE('Tabatinga SBTT'!R4:R15)</f>
        <v>0.89833333333333343</v>
      </c>
      <c r="D86" s="11">
        <f>AVERAGE('Tabatinga SBTT'!R16:R40)</f>
        <v>0.81599999999999995</v>
      </c>
      <c r="E86" s="11">
        <f>AVERAGE('Tabatinga SBTT'!R41:R49)</f>
        <v>0.89444444444444449</v>
      </c>
      <c r="F86" s="11">
        <f>AVERAGE('Tabatinga SBTT'!R50:R56)</f>
        <v>0.90714285714285725</v>
      </c>
      <c r="G86" s="60">
        <f t="shared" si="10"/>
        <v>3.5159206349206347</v>
      </c>
      <c r="I86" s="48">
        <v>0.20907794961773299</v>
      </c>
      <c r="J86" s="47">
        <v>0.39421583969322599</v>
      </c>
      <c r="K86" s="47">
        <v>0.18912201731983</v>
      </c>
      <c r="L86" s="47">
        <v>0.20758418981471899</v>
      </c>
      <c r="M86" s="63">
        <f t="shared" si="11"/>
        <v>2328117.8430174678</v>
      </c>
      <c r="N86" s="7">
        <v>2685351.59</v>
      </c>
    </row>
    <row r="87" spans="2:14" x14ac:dyDescent="0.25">
      <c r="B87" s="6" t="s">
        <v>96</v>
      </c>
      <c r="C87" s="11">
        <f>AVERAGE('Tefé SBTF'!R4:R15)</f>
        <v>0.89833333333333343</v>
      </c>
      <c r="D87" s="11">
        <f>AVERAGE('Tefé SBTF'!R16:R40)</f>
        <v>0.81960000000000011</v>
      </c>
      <c r="E87" s="11">
        <f>AVERAGE('Tefé SBTF'!R41:R49)</f>
        <v>0.88555555555555554</v>
      </c>
      <c r="F87" s="11">
        <f>AVERAGE('Tefé SBTF'!R50:R56)</f>
        <v>0.90714285714285725</v>
      </c>
      <c r="G87" s="60">
        <f t="shared" si="10"/>
        <v>3.5106317460317467</v>
      </c>
      <c r="I87" s="48">
        <v>0.20907794866114701</v>
      </c>
      <c r="J87" s="47">
        <v>0.39421584181541902</v>
      </c>
      <c r="K87" s="47">
        <v>0.189122018593467</v>
      </c>
      <c r="L87" s="47">
        <v>0.207584190929965</v>
      </c>
      <c r="M87" s="63">
        <f t="shared" si="11"/>
        <v>2285008.1654663309</v>
      </c>
      <c r="N87" s="7">
        <v>2636423.4700000002</v>
      </c>
    </row>
    <row r="88" spans="2:14" x14ac:dyDescent="0.25">
      <c r="B88" s="6" t="s">
        <v>97</v>
      </c>
      <c r="C88" s="11">
        <f>AVERAGE('Boa Vista SBBV'!R4:R15)</f>
        <v>0.8833333333333333</v>
      </c>
      <c r="D88" s="11">
        <f>AVERAGE('Boa Vista SBBV'!R16:R40)</f>
        <v>0.78160000000000007</v>
      </c>
      <c r="E88" s="11">
        <f>AVERAGE('Boa Vista SBBV'!R41:R49)</f>
        <v>0.89888888888888885</v>
      </c>
      <c r="F88" s="11">
        <f>AVERAGE('Boa Vista SBBV'!R50:R56)</f>
        <v>0.90714285714285725</v>
      </c>
      <c r="G88" s="60">
        <f t="shared" si="10"/>
        <v>3.4709650793650795</v>
      </c>
      <c r="I88" s="48">
        <v>0.20907794892746601</v>
      </c>
      <c r="J88" s="47">
        <v>0.39421584141063498</v>
      </c>
      <c r="K88" s="47">
        <v>0.18912202011460399</v>
      </c>
      <c r="L88" s="47">
        <v>0.20758418954729299</v>
      </c>
      <c r="M88" s="63">
        <f t="shared" si="11"/>
        <v>2573354.1328511308</v>
      </c>
      <c r="N88" s="7">
        <v>3023517.06</v>
      </c>
    </row>
    <row r="89" spans="2:14" x14ac:dyDescent="0.25">
      <c r="B89" s="193" t="s">
        <v>80</v>
      </c>
      <c r="C89" s="11"/>
      <c r="D89" s="11"/>
      <c r="E89" s="11"/>
      <c r="F89" s="11"/>
      <c r="G89" s="61">
        <f>SUM(G82:G88)</f>
        <v>24.356319047619053</v>
      </c>
      <c r="I89" s="206"/>
      <c r="J89" s="207"/>
      <c r="K89" s="207"/>
      <c r="L89" s="208"/>
      <c r="M89" s="63">
        <f>SUM(M82:M88)</f>
        <v>21746152.672448944</v>
      </c>
      <c r="N89" s="7">
        <f>SUM(N82:N88)</f>
        <v>25528657.229999997</v>
      </c>
    </row>
    <row r="90" spans="2:14" ht="15.75" thickBot="1" x14ac:dyDescent="0.3">
      <c r="B90" s="195" t="s">
        <v>1620</v>
      </c>
      <c r="C90" s="212">
        <f>AVERAGE(C82:F88)</f>
        <v>0.86986853741496617</v>
      </c>
      <c r="D90" s="213"/>
      <c r="E90" s="213"/>
      <c r="F90" s="213"/>
      <c r="G90" s="214"/>
      <c r="I90" s="215"/>
      <c r="J90" s="216"/>
      <c r="K90" s="216"/>
      <c r="L90" s="216"/>
      <c r="M90" s="216"/>
      <c r="N90" s="217"/>
    </row>
    <row r="91" spans="2:14" hidden="1" x14ac:dyDescent="0.25"/>
    <row r="92" spans="2:14" ht="15.75" hidden="1" thickBot="1" x14ac:dyDescent="0.3">
      <c r="B92" s="197" t="s">
        <v>20</v>
      </c>
      <c r="C92" s="198"/>
      <c r="D92" s="198"/>
      <c r="E92" s="198"/>
      <c r="F92" s="198"/>
      <c r="G92" s="199"/>
      <c r="H92" s="36"/>
      <c r="I92" s="197" t="s">
        <v>27</v>
      </c>
      <c r="J92" s="198"/>
      <c r="K92" s="198"/>
      <c r="L92" s="198"/>
      <c r="M92" s="198"/>
      <c r="N92" s="199"/>
    </row>
    <row r="93" spans="2:14" hidden="1" x14ac:dyDescent="0.25">
      <c r="B93" s="200" t="s">
        <v>109</v>
      </c>
      <c r="C93" s="201"/>
      <c r="D93" s="201"/>
      <c r="E93" s="201"/>
      <c r="F93" s="201"/>
      <c r="G93" s="202"/>
      <c r="I93" s="229" t="s">
        <v>110</v>
      </c>
      <c r="J93" s="230"/>
      <c r="K93" s="230"/>
      <c r="L93" s="230"/>
      <c r="M93" s="230"/>
      <c r="N93" s="231"/>
    </row>
    <row r="94" spans="2:14" hidden="1" x14ac:dyDescent="0.25">
      <c r="B94" s="5"/>
      <c r="C94" s="4" t="s">
        <v>22</v>
      </c>
      <c r="D94" s="4" t="s">
        <v>24</v>
      </c>
      <c r="E94" s="4" t="s">
        <v>23</v>
      </c>
      <c r="F94" s="4" t="s">
        <v>25</v>
      </c>
      <c r="G94" s="14" t="s">
        <v>26</v>
      </c>
      <c r="I94" s="12" t="s">
        <v>22</v>
      </c>
      <c r="J94" s="13" t="s">
        <v>24</v>
      </c>
      <c r="K94" s="13" t="s">
        <v>23</v>
      </c>
      <c r="L94" s="13" t="s">
        <v>25</v>
      </c>
      <c r="M94" s="17" t="s">
        <v>28</v>
      </c>
      <c r="N94" s="21" t="s">
        <v>29</v>
      </c>
    </row>
    <row r="95" spans="2:14" hidden="1" x14ac:dyDescent="0.25">
      <c r="B95" s="6" t="s">
        <v>82</v>
      </c>
      <c r="C95" s="11"/>
      <c r="D95" s="11"/>
      <c r="E95" s="11"/>
      <c r="F95" s="11"/>
      <c r="G95" s="23">
        <f t="shared" ref="G95:G100" si="12">SUM(C95:F95)</f>
        <v>0</v>
      </c>
      <c r="I95" s="48"/>
      <c r="J95" s="47"/>
      <c r="K95" s="47"/>
      <c r="L95" s="47"/>
      <c r="M95" s="18">
        <f t="shared" ref="M95:M100" si="13">(I95*C95+J95*D95+K95*E95+L95*F95)*N95</f>
        <v>0</v>
      </c>
      <c r="N95" s="7">
        <v>3616366</v>
      </c>
    </row>
    <row r="96" spans="2:14" hidden="1" x14ac:dyDescent="0.25">
      <c r="B96" s="6" t="s">
        <v>83</v>
      </c>
      <c r="C96" s="11"/>
      <c r="D96" s="11"/>
      <c r="E96" s="11"/>
      <c r="F96" s="11"/>
      <c r="G96" s="23">
        <f t="shared" si="12"/>
        <v>0</v>
      </c>
      <c r="I96" s="48"/>
      <c r="J96" s="47"/>
      <c r="K96" s="47"/>
      <c r="L96" s="47"/>
      <c r="M96" s="18">
        <f t="shared" si="13"/>
        <v>0</v>
      </c>
      <c r="N96" s="7">
        <v>2602541</v>
      </c>
    </row>
    <row r="97" spans="2:14" hidden="1" x14ac:dyDescent="0.25">
      <c r="B97" s="6" t="s">
        <v>84</v>
      </c>
      <c r="C97" s="11"/>
      <c r="D97" s="11"/>
      <c r="E97" s="11"/>
      <c r="F97" s="11"/>
      <c r="G97" s="23">
        <f t="shared" si="12"/>
        <v>0</v>
      </c>
      <c r="I97" s="48"/>
      <c r="J97" s="47"/>
      <c r="K97" s="47"/>
      <c r="L97" s="47"/>
      <c r="M97" s="18">
        <f t="shared" si="13"/>
        <v>0</v>
      </c>
      <c r="N97" s="7">
        <v>2601153</v>
      </c>
    </row>
    <row r="98" spans="2:14" hidden="1" x14ac:dyDescent="0.25">
      <c r="B98" s="6" t="s">
        <v>85</v>
      </c>
      <c r="C98" s="11"/>
      <c r="D98" s="11"/>
      <c r="E98" s="11"/>
      <c r="F98" s="11"/>
      <c r="G98" s="23">
        <f t="shared" si="12"/>
        <v>0</v>
      </c>
      <c r="I98" s="48"/>
      <c r="J98" s="47"/>
      <c r="K98" s="47"/>
      <c r="L98" s="47"/>
      <c r="M98" s="18">
        <f t="shared" si="13"/>
        <v>0</v>
      </c>
      <c r="N98" s="7">
        <v>2601153</v>
      </c>
    </row>
    <row r="99" spans="2:14" hidden="1" x14ac:dyDescent="0.25">
      <c r="B99" s="6" t="s">
        <v>86</v>
      </c>
      <c r="C99" s="11"/>
      <c r="D99" s="11"/>
      <c r="E99" s="11"/>
      <c r="F99" s="11"/>
      <c r="G99" s="23">
        <f t="shared" si="12"/>
        <v>0</v>
      </c>
      <c r="I99" s="48"/>
      <c r="J99" s="47"/>
      <c r="K99" s="47"/>
      <c r="L99" s="47"/>
      <c r="M99" s="18">
        <f t="shared" si="13"/>
        <v>0</v>
      </c>
      <c r="N99" s="7">
        <v>2601153</v>
      </c>
    </row>
    <row r="100" spans="2:14" hidden="1" x14ac:dyDescent="0.25">
      <c r="B100" s="6" t="s">
        <v>87</v>
      </c>
      <c r="C100" s="11"/>
      <c r="D100" s="11"/>
      <c r="E100" s="11"/>
      <c r="F100" s="11"/>
      <c r="G100" s="23">
        <f t="shared" si="12"/>
        <v>0</v>
      </c>
      <c r="I100" s="48"/>
      <c r="J100" s="47"/>
      <c r="K100" s="47"/>
      <c r="L100" s="47"/>
      <c r="M100" s="18">
        <f t="shared" si="13"/>
        <v>0</v>
      </c>
      <c r="N100" s="7">
        <v>2160525</v>
      </c>
    </row>
    <row r="101" spans="2:14" hidden="1" x14ac:dyDescent="0.25">
      <c r="B101" s="6" t="s">
        <v>88</v>
      </c>
      <c r="C101" s="11"/>
      <c r="D101" s="11"/>
      <c r="E101" s="11"/>
      <c r="F101" s="11"/>
      <c r="G101" s="23"/>
      <c r="I101" s="48"/>
      <c r="J101" s="47"/>
      <c r="K101" s="47"/>
      <c r="L101" s="47"/>
      <c r="M101" s="18"/>
      <c r="N101" s="7">
        <v>2160525</v>
      </c>
    </row>
    <row r="102" spans="2:14" hidden="1" x14ac:dyDescent="0.25">
      <c r="B102" s="6" t="s">
        <v>89</v>
      </c>
      <c r="C102" s="11"/>
      <c r="D102" s="11"/>
      <c r="E102" s="11"/>
      <c r="F102" s="11"/>
      <c r="G102" s="23"/>
      <c r="I102" s="48"/>
      <c r="J102" s="47"/>
      <c r="K102" s="47"/>
      <c r="L102" s="47"/>
      <c r="M102" s="18"/>
      <c r="N102" s="7">
        <v>2160525</v>
      </c>
    </row>
    <row r="103" spans="2:14" hidden="1" x14ac:dyDescent="0.25">
      <c r="B103" s="6" t="s">
        <v>90</v>
      </c>
      <c r="C103" s="11"/>
      <c r="D103" s="11"/>
      <c r="E103" s="11"/>
      <c r="F103" s="11"/>
      <c r="G103" s="23"/>
      <c r="I103" s="48"/>
      <c r="J103" s="47"/>
      <c r="K103" s="47"/>
      <c r="L103" s="47"/>
      <c r="M103" s="18"/>
      <c r="N103" s="7">
        <v>2160525</v>
      </c>
    </row>
    <row r="104" spans="2:14" hidden="1" x14ac:dyDescent="0.25">
      <c r="B104" s="6" t="s">
        <v>79</v>
      </c>
      <c r="C104" s="11"/>
      <c r="D104" s="11"/>
      <c r="E104" s="11"/>
      <c r="F104" s="11"/>
      <c r="G104" s="15">
        <f>SUM(G95:G100)</f>
        <v>0</v>
      </c>
      <c r="I104" s="48"/>
      <c r="J104" s="47"/>
      <c r="K104" s="47"/>
      <c r="L104" s="47"/>
      <c r="M104" s="18">
        <f>SUM(M95:M100)</f>
        <v>0</v>
      </c>
      <c r="N104" s="7">
        <f>SUM(N95:N103)</f>
        <v>22664466</v>
      </c>
    </row>
    <row r="105" spans="2:14" hidden="1" x14ac:dyDescent="0.25">
      <c r="B105" s="31"/>
      <c r="C105" s="32"/>
      <c r="D105" s="32"/>
      <c r="E105" s="32"/>
      <c r="F105" s="32"/>
      <c r="G105" s="33"/>
      <c r="I105" s="31"/>
      <c r="J105" s="32"/>
      <c r="K105" s="32"/>
      <c r="L105" s="32"/>
      <c r="M105" s="32"/>
      <c r="N105" s="33"/>
    </row>
    <row r="106" spans="2:14" hidden="1" x14ac:dyDescent="0.25">
      <c r="B106" s="6" t="s">
        <v>91</v>
      </c>
      <c r="C106" s="11"/>
      <c r="D106" s="11"/>
      <c r="E106" s="11"/>
      <c r="F106" s="11"/>
      <c r="G106" s="23">
        <f>SUM(C106:F106)</f>
        <v>0</v>
      </c>
      <c r="I106" s="48"/>
      <c r="J106" s="47"/>
      <c r="K106" s="47"/>
      <c r="L106" s="47"/>
      <c r="M106" s="18">
        <f>(I106*C106+J106*D106+K106*E106+L106*F106)*N106</f>
        <v>0</v>
      </c>
      <c r="N106" s="7">
        <v>3708873</v>
      </c>
    </row>
    <row r="107" spans="2:14" hidden="1" x14ac:dyDescent="0.25">
      <c r="B107" s="6" t="s">
        <v>92</v>
      </c>
      <c r="C107" s="11"/>
      <c r="D107" s="11"/>
      <c r="E107" s="11"/>
      <c r="F107" s="11"/>
      <c r="G107" s="23">
        <f>SUM(C107:F107)</f>
        <v>0</v>
      </c>
      <c r="I107" s="48"/>
      <c r="J107" s="47"/>
      <c r="K107" s="47"/>
      <c r="L107" s="47"/>
      <c r="M107" s="18">
        <f>(I107*C107+J107*D107+K107*E107+L107*F107)*N107</f>
        <v>0</v>
      </c>
      <c r="N107" s="7">
        <v>2690486</v>
      </c>
    </row>
    <row r="108" spans="2:14" hidden="1" x14ac:dyDescent="0.25">
      <c r="B108" s="6" t="s">
        <v>93</v>
      </c>
      <c r="C108" s="11"/>
      <c r="D108" s="11"/>
      <c r="E108" s="11"/>
      <c r="F108" s="11"/>
      <c r="G108" s="23">
        <f>SUM(C108:F108)</f>
        <v>0</v>
      </c>
      <c r="I108" s="48"/>
      <c r="J108" s="47"/>
      <c r="K108" s="47"/>
      <c r="L108" s="47"/>
      <c r="M108" s="18">
        <f>(I108*C108+J108*D108+K108*E108+L108*F108)*N108</f>
        <v>0</v>
      </c>
      <c r="N108" s="7">
        <v>2690486</v>
      </c>
    </row>
    <row r="109" spans="2:14" hidden="1" x14ac:dyDescent="0.25">
      <c r="B109" s="6" t="s">
        <v>94</v>
      </c>
      <c r="C109" s="11"/>
      <c r="D109" s="11"/>
      <c r="E109" s="11"/>
      <c r="F109" s="11"/>
      <c r="G109" s="23">
        <f>SUM(C109:F109)</f>
        <v>0</v>
      </c>
      <c r="I109" s="48"/>
      <c r="J109" s="47"/>
      <c r="K109" s="47"/>
      <c r="L109" s="47"/>
      <c r="M109" s="18">
        <f>(I109*C109+J109*D109+K109*E109+L109*F109)*N109</f>
        <v>0</v>
      </c>
      <c r="N109" s="7">
        <v>2250457</v>
      </c>
    </row>
    <row r="110" spans="2:14" hidden="1" x14ac:dyDescent="0.25">
      <c r="B110" s="6" t="s">
        <v>95</v>
      </c>
      <c r="C110" s="11"/>
      <c r="D110" s="11"/>
      <c r="E110" s="11"/>
      <c r="F110" s="11"/>
      <c r="G110" s="23">
        <f>SUM(C110:F110)</f>
        <v>0</v>
      </c>
      <c r="I110" s="48"/>
      <c r="J110" s="47"/>
      <c r="K110" s="47"/>
      <c r="L110" s="47"/>
      <c r="M110" s="18">
        <f>(I110*C110+J110*D110+K110*E110+L110*F110)*N110</f>
        <v>0</v>
      </c>
      <c r="N110" s="7">
        <v>2249856</v>
      </c>
    </row>
    <row r="111" spans="2:14" hidden="1" x14ac:dyDescent="0.25">
      <c r="B111" s="6" t="s">
        <v>96</v>
      </c>
      <c r="C111" s="11"/>
      <c r="D111" s="11"/>
      <c r="E111" s="11"/>
      <c r="F111" s="11"/>
      <c r="G111" s="23"/>
      <c r="I111" s="48"/>
      <c r="J111" s="47"/>
      <c r="K111" s="47"/>
      <c r="L111" s="47"/>
      <c r="M111" s="18"/>
      <c r="N111" s="7">
        <v>2249856</v>
      </c>
    </row>
    <row r="112" spans="2:14" hidden="1" x14ac:dyDescent="0.25">
      <c r="B112" s="6" t="s">
        <v>97</v>
      </c>
      <c r="C112" s="11"/>
      <c r="D112" s="11"/>
      <c r="E112" s="11"/>
      <c r="F112" s="11"/>
      <c r="G112" s="23"/>
      <c r="I112" s="48"/>
      <c r="J112" s="47"/>
      <c r="K112" s="47"/>
      <c r="L112" s="47"/>
      <c r="M112" s="18"/>
      <c r="N112" s="7">
        <v>2249856</v>
      </c>
    </row>
    <row r="113" spans="2:14" hidden="1" x14ac:dyDescent="0.25">
      <c r="B113" s="6" t="s">
        <v>80</v>
      </c>
      <c r="C113" s="11"/>
      <c r="D113" s="11"/>
      <c r="E113" s="11"/>
      <c r="F113" s="11"/>
      <c r="G113" s="15">
        <f>SUM(G106:G110)</f>
        <v>0</v>
      </c>
      <c r="I113" s="29"/>
      <c r="J113" s="28"/>
      <c r="K113" s="28"/>
      <c r="L113" s="28"/>
      <c r="M113" s="18">
        <f>SUM(M106:M110)</f>
        <v>0</v>
      </c>
      <c r="N113" s="7">
        <f>SUM(N106:N112)</f>
        <v>18089870</v>
      </c>
    </row>
    <row r="114" spans="2:14" hidden="1" x14ac:dyDescent="0.25">
      <c r="B114" s="31"/>
      <c r="C114" s="32"/>
      <c r="D114" s="32"/>
      <c r="E114" s="32"/>
      <c r="F114" s="32"/>
      <c r="G114" s="33"/>
      <c r="I114" s="31"/>
      <c r="J114" s="32"/>
      <c r="K114" s="32"/>
      <c r="L114" s="32"/>
      <c r="M114" s="32"/>
      <c r="N114" s="33"/>
    </row>
    <row r="115" spans="2:14" hidden="1" x14ac:dyDescent="0.25">
      <c r="B115" s="6" t="s">
        <v>98</v>
      </c>
      <c r="C115" s="11"/>
      <c r="D115" s="11"/>
      <c r="E115" s="11"/>
      <c r="F115" s="11"/>
      <c r="G115" s="23">
        <f>SUM(C115:F115)</f>
        <v>0</v>
      </c>
      <c r="I115" s="48"/>
      <c r="J115" s="47"/>
      <c r="K115" s="47"/>
      <c r="L115" s="47"/>
      <c r="M115" s="18">
        <f>(I115*C115+J115*D115+K115*E115+L115*F115)*N115</f>
        <v>0</v>
      </c>
      <c r="N115" s="7">
        <v>3905756</v>
      </c>
    </row>
    <row r="116" spans="2:14" hidden="1" x14ac:dyDescent="0.25">
      <c r="B116" s="6" t="s">
        <v>99</v>
      </c>
      <c r="C116" s="11"/>
      <c r="D116" s="11"/>
      <c r="E116" s="11"/>
      <c r="F116" s="11"/>
      <c r="G116" s="23">
        <f>SUM(C116:F116)</f>
        <v>0</v>
      </c>
      <c r="I116" s="48"/>
      <c r="J116" s="47"/>
      <c r="K116" s="47"/>
      <c r="L116" s="47"/>
      <c r="M116" s="18">
        <f>(I116*C116+J116*D116+K116*E116+L116*F116)*N116</f>
        <v>0</v>
      </c>
      <c r="N116" s="7">
        <v>3905756</v>
      </c>
    </row>
    <row r="117" spans="2:14" hidden="1" x14ac:dyDescent="0.25">
      <c r="B117" s="6" t="s">
        <v>100</v>
      </c>
      <c r="C117" s="52"/>
      <c r="D117" s="52"/>
      <c r="E117" s="52"/>
      <c r="F117" s="52"/>
      <c r="G117" s="53"/>
      <c r="I117" s="54"/>
      <c r="J117" s="55"/>
      <c r="K117" s="55"/>
      <c r="L117" s="55"/>
      <c r="M117" s="56"/>
      <c r="N117" s="57">
        <v>3905756</v>
      </c>
    </row>
    <row r="118" spans="2:14" hidden="1" x14ac:dyDescent="0.25">
      <c r="B118" s="51" t="s">
        <v>101</v>
      </c>
      <c r="C118" s="52"/>
      <c r="D118" s="52"/>
      <c r="E118" s="52"/>
      <c r="F118" s="52"/>
      <c r="G118" s="53"/>
      <c r="I118" s="54"/>
      <c r="J118" s="55"/>
      <c r="K118" s="55"/>
      <c r="L118" s="55"/>
      <c r="M118" s="56"/>
      <c r="N118" s="57">
        <v>3905756</v>
      </c>
    </row>
    <row r="119" spans="2:14" hidden="1" x14ac:dyDescent="0.25">
      <c r="B119" s="51" t="s">
        <v>102</v>
      </c>
      <c r="C119" s="52"/>
      <c r="D119" s="52"/>
      <c r="E119" s="52"/>
      <c r="F119" s="52"/>
      <c r="G119" s="53"/>
      <c r="I119" s="54"/>
      <c r="J119" s="55"/>
      <c r="K119" s="55"/>
      <c r="L119" s="55"/>
      <c r="M119" s="56"/>
      <c r="N119" s="57">
        <v>3117221</v>
      </c>
    </row>
    <row r="120" spans="2:14" hidden="1" x14ac:dyDescent="0.25">
      <c r="B120" s="51" t="s">
        <v>103</v>
      </c>
      <c r="C120" s="52"/>
      <c r="D120" s="52"/>
      <c r="E120" s="52"/>
      <c r="F120" s="52"/>
      <c r="G120" s="53"/>
      <c r="I120" s="54"/>
      <c r="J120" s="55"/>
      <c r="K120" s="55"/>
      <c r="L120" s="55"/>
      <c r="M120" s="56"/>
      <c r="N120" s="57">
        <v>3117221</v>
      </c>
    </row>
    <row r="121" spans="2:14" ht="15.75" hidden="1" thickBot="1" x14ac:dyDescent="0.3">
      <c r="B121" s="9" t="s">
        <v>81</v>
      </c>
      <c r="C121" s="22"/>
      <c r="D121" s="22"/>
      <c r="E121" s="22"/>
      <c r="F121" s="22"/>
      <c r="G121" s="16">
        <f>SUM(G115:G116)</f>
        <v>0</v>
      </c>
      <c r="I121" s="43"/>
      <c r="J121" s="44"/>
      <c r="K121" s="44"/>
      <c r="L121" s="44"/>
      <c r="M121" s="19">
        <f>SUM(M115:M116)</f>
        <v>0</v>
      </c>
      <c r="N121" s="45">
        <f>SUM(N115:N120)</f>
        <v>21857466</v>
      </c>
    </row>
    <row r="122" spans="2:14" ht="15.75" hidden="1" thickBot="1" x14ac:dyDescent="0.3"/>
    <row r="123" spans="2:14" ht="15.75" hidden="1" thickBot="1" x14ac:dyDescent="0.3">
      <c r="B123" s="197" t="s">
        <v>20</v>
      </c>
      <c r="C123" s="198"/>
      <c r="D123" s="198"/>
      <c r="E123" s="198"/>
      <c r="F123" s="198"/>
      <c r="G123" s="199"/>
      <c r="H123" s="36"/>
      <c r="I123" s="197" t="s">
        <v>27</v>
      </c>
      <c r="J123" s="198"/>
      <c r="K123" s="198"/>
      <c r="L123" s="198"/>
      <c r="M123" s="198"/>
      <c r="N123" s="199"/>
    </row>
    <row r="124" spans="2:14" hidden="1" x14ac:dyDescent="0.25">
      <c r="B124" s="200" t="s">
        <v>111</v>
      </c>
      <c r="C124" s="201"/>
      <c r="D124" s="201"/>
      <c r="E124" s="201"/>
      <c r="F124" s="201"/>
      <c r="G124" s="202"/>
      <c r="I124" s="229" t="s">
        <v>112</v>
      </c>
      <c r="J124" s="230"/>
      <c r="K124" s="230"/>
      <c r="L124" s="230"/>
      <c r="M124" s="230"/>
      <c r="N124" s="231"/>
    </row>
    <row r="125" spans="2:14" hidden="1" x14ac:dyDescent="0.25">
      <c r="B125" s="5"/>
      <c r="C125" s="4" t="s">
        <v>22</v>
      </c>
      <c r="D125" s="4" t="s">
        <v>24</v>
      </c>
      <c r="E125" s="4" t="s">
        <v>23</v>
      </c>
      <c r="F125" s="4" t="s">
        <v>25</v>
      </c>
      <c r="G125" s="14" t="s">
        <v>26</v>
      </c>
      <c r="I125" s="12" t="s">
        <v>22</v>
      </c>
      <c r="J125" s="13" t="s">
        <v>24</v>
      </c>
      <c r="K125" s="13" t="s">
        <v>23</v>
      </c>
      <c r="L125" s="13" t="s">
        <v>25</v>
      </c>
      <c r="M125" s="17" t="s">
        <v>28</v>
      </c>
      <c r="N125" s="21" t="s">
        <v>29</v>
      </c>
    </row>
    <row r="126" spans="2:14" hidden="1" x14ac:dyDescent="0.25">
      <c r="B126" s="6" t="s">
        <v>82</v>
      </c>
      <c r="C126" s="11"/>
      <c r="D126" s="11"/>
      <c r="E126" s="11"/>
      <c r="F126" s="11"/>
      <c r="G126" s="23">
        <f t="shared" ref="G126:G131" si="14">SUM(C126:F126)</f>
        <v>0</v>
      </c>
      <c r="I126" s="48"/>
      <c r="J126" s="47"/>
      <c r="K126" s="47"/>
      <c r="L126" s="47"/>
      <c r="M126" s="18">
        <f t="shared" ref="M126:M131" si="15">(I126*C126+J126*D126+K126*E126+L126*F126)*N126</f>
        <v>0</v>
      </c>
      <c r="N126" s="7">
        <v>4501056.1500000004</v>
      </c>
    </row>
    <row r="127" spans="2:14" hidden="1" x14ac:dyDescent="0.25">
      <c r="B127" s="6" t="s">
        <v>83</v>
      </c>
      <c r="C127" s="11"/>
      <c r="D127" s="11"/>
      <c r="E127" s="11"/>
      <c r="F127" s="11"/>
      <c r="G127" s="23">
        <f t="shared" si="14"/>
        <v>0</v>
      </c>
      <c r="I127" s="48"/>
      <c r="J127" s="47"/>
      <c r="K127" s="47"/>
      <c r="L127" s="47"/>
      <c r="M127" s="18">
        <f t="shared" si="15"/>
        <v>0</v>
      </c>
      <c r="N127" s="7">
        <v>3401261.92</v>
      </c>
    </row>
    <row r="128" spans="2:14" hidden="1" x14ac:dyDescent="0.25">
      <c r="B128" s="6" t="s">
        <v>84</v>
      </c>
      <c r="C128" s="11"/>
      <c r="D128" s="11"/>
      <c r="E128" s="11"/>
      <c r="F128" s="11"/>
      <c r="G128" s="23">
        <f t="shared" si="14"/>
        <v>0</v>
      </c>
      <c r="I128" s="48"/>
      <c r="J128" s="47"/>
      <c r="K128" s="47"/>
      <c r="L128" s="47"/>
      <c r="M128" s="18">
        <f t="shared" si="15"/>
        <v>0</v>
      </c>
      <c r="N128" s="7">
        <v>4501056.1500000004</v>
      </c>
    </row>
    <row r="129" spans="2:14" hidden="1" x14ac:dyDescent="0.25">
      <c r="B129" s="6" t="s">
        <v>85</v>
      </c>
      <c r="C129" s="11"/>
      <c r="D129" s="11"/>
      <c r="E129" s="11"/>
      <c r="F129" s="11"/>
      <c r="G129" s="23">
        <f t="shared" si="14"/>
        <v>0</v>
      </c>
      <c r="I129" s="48"/>
      <c r="J129" s="47"/>
      <c r="K129" s="47"/>
      <c r="L129" s="47"/>
      <c r="M129" s="18">
        <f t="shared" si="15"/>
        <v>0</v>
      </c>
      <c r="N129" s="7">
        <v>3801233.8</v>
      </c>
    </row>
    <row r="130" spans="2:14" hidden="1" x14ac:dyDescent="0.25">
      <c r="B130" s="6" t="s">
        <v>86</v>
      </c>
      <c r="C130" s="11"/>
      <c r="D130" s="11"/>
      <c r="E130" s="11"/>
      <c r="F130" s="11"/>
      <c r="G130" s="23">
        <f t="shared" si="14"/>
        <v>0</v>
      </c>
      <c r="I130" s="48"/>
      <c r="J130" s="47"/>
      <c r="K130" s="47"/>
      <c r="L130" s="47"/>
      <c r="M130" s="18">
        <f t="shared" si="15"/>
        <v>0</v>
      </c>
      <c r="N130" s="7">
        <v>3801233.8</v>
      </c>
    </row>
    <row r="131" spans="2:14" hidden="1" x14ac:dyDescent="0.25">
      <c r="B131" s="6" t="s">
        <v>87</v>
      </c>
      <c r="C131" s="11"/>
      <c r="D131" s="11"/>
      <c r="E131" s="11"/>
      <c r="F131" s="11"/>
      <c r="G131" s="23">
        <f t="shared" si="14"/>
        <v>0</v>
      </c>
      <c r="I131" s="48"/>
      <c r="J131" s="47"/>
      <c r="K131" s="47"/>
      <c r="L131" s="47"/>
      <c r="M131" s="18">
        <f t="shared" si="15"/>
        <v>0</v>
      </c>
      <c r="N131" s="7">
        <v>3401261.92</v>
      </c>
    </row>
    <row r="132" spans="2:14" hidden="1" x14ac:dyDescent="0.25">
      <c r="B132" s="6" t="s">
        <v>88</v>
      </c>
      <c r="C132" s="11"/>
      <c r="D132" s="11"/>
      <c r="E132" s="11"/>
      <c r="F132" s="11"/>
      <c r="G132" s="23"/>
      <c r="I132" s="48"/>
      <c r="J132" s="47"/>
      <c r="K132" s="47"/>
      <c r="L132" s="47"/>
      <c r="M132" s="18"/>
      <c r="N132" s="7">
        <v>3401261.92</v>
      </c>
    </row>
    <row r="133" spans="2:14" hidden="1" x14ac:dyDescent="0.25">
      <c r="B133" s="6" t="s">
        <v>89</v>
      </c>
      <c r="C133" s="11"/>
      <c r="D133" s="11"/>
      <c r="E133" s="11"/>
      <c r="F133" s="11"/>
      <c r="G133" s="23"/>
      <c r="I133" s="48"/>
      <c r="J133" s="47"/>
      <c r="K133" s="47"/>
      <c r="L133" s="47"/>
      <c r="M133" s="18"/>
      <c r="N133" s="7">
        <v>3401261.92</v>
      </c>
    </row>
    <row r="134" spans="2:14" hidden="1" x14ac:dyDescent="0.25">
      <c r="B134" s="6" t="s">
        <v>90</v>
      </c>
      <c r="C134" s="11"/>
      <c r="D134" s="11"/>
      <c r="E134" s="11"/>
      <c r="F134" s="11"/>
      <c r="G134" s="23"/>
      <c r="I134" s="48"/>
      <c r="J134" s="47"/>
      <c r="K134" s="47"/>
      <c r="L134" s="47"/>
      <c r="M134" s="18"/>
      <c r="N134" s="7">
        <v>3401261.92</v>
      </c>
    </row>
    <row r="135" spans="2:14" hidden="1" x14ac:dyDescent="0.25">
      <c r="B135" s="6" t="s">
        <v>79</v>
      </c>
      <c r="C135" s="11"/>
      <c r="D135" s="11"/>
      <c r="E135" s="11"/>
      <c r="F135" s="11"/>
      <c r="G135" s="15">
        <f>SUM(G126:G131)</f>
        <v>0</v>
      </c>
      <c r="I135" s="48"/>
      <c r="J135" s="47"/>
      <c r="K135" s="47"/>
      <c r="L135" s="47"/>
      <c r="M135" s="18">
        <f>SUM(M126:M131)</f>
        <v>0</v>
      </c>
      <c r="N135" s="7">
        <f>SUM(N126:N134)</f>
        <v>33610889.500000007</v>
      </c>
    </row>
    <row r="136" spans="2:14" hidden="1" x14ac:dyDescent="0.25">
      <c r="B136" s="31"/>
      <c r="C136" s="32"/>
      <c r="D136" s="32"/>
      <c r="E136" s="32"/>
      <c r="F136" s="32"/>
      <c r="G136" s="33"/>
      <c r="I136" s="31"/>
      <c r="J136" s="32"/>
      <c r="K136" s="32"/>
      <c r="L136" s="32"/>
      <c r="M136" s="32"/>
      <c r="N136" s="33"/>
    </row>
    <row r="137" spans="2:14" hidden="1" x14ac:dyDescent="0.25">
      <c r="B137" s="6" t="s">
        <v>91</v>
      </c>
      <c r="C137" s="11"/>
      <c r="D137" s="11"/>
      <c r="E137" s="11"/>
      <c r="F137" s="11"/>
      <c r="G137" s="23">
        <f>SUM(C137:F137)</f>
        <v>0</v>
      </c>
      <c r="I137" s="48"/>
      <c r="J137" s="47"/>
      <c r="K137" s="47"/>
      <c r="L137" s="47"/>
      <c r="M137" s="18">
        <f>(I137*C137+J137*D137+K137*E137+L137*F137)*N137</f>
        <v>0</v>
      </c>
      <c r="N137" s="7">
        <v>4401267.08</v>
      </c>
    </row>
    <row r="138" spans="2:14" hidden="1" x14ac:dyDescent="0.25">
      <c r="B138" s="6" t="s">
        <v>92</v>
      </c>
      <c r="C138" s="11"/>
      <c r="D138" s="11"/>
      <c r="E138" s="11"/>
      <c r="F138" s="11"/>
      <c r="G138" s="23">
        <f>SUM(C138:F138)</f>
        <v>0</v>
      </c>
      <c r="I138" s="48"/>
      <c r="J138" s="47"/>
      <c r="K138" s="47"/>
      <c r="L138" s="47"/>
      <c r="M138" s="18">
        <f>(I138*C138+J138*D138+K138*E138+L138*F138)*N138</f>
        <v>0</v>
      </c>
      <c r="N138" s="7">
        <v>4000871.37</v>
      </c>
    </row>
    <row r="139" spans="2:14" hidden="1" x14ac:dyDescent="0.25">
      <c r="B139" s="6" t="s">
        <v>93</v>
      </c>
      <c r="C139" s="11"/>
      <c r="D139" s="11"/>
      <c r="E139" s="11"/>
      <c r="F139" s="11"/>
      <c r="G139" s="23">
        <f>SUM(C139:F139)</f>
        <v>0</v>
      </c>
      <c r="I139" s="48"/>
      <c r="J139" s="47"/>
      <c r="K139" s="47"/>
      <c r="L139" s="47"/>
      <c r="M139" s="18">
        <f>(I139*C139+J139*D139+K139*E139+L139*F139)*N139</f>
        <v>0</v>
      </c>
      <c r="N139" s="7">
        <v>4000871.38</v>
      </c>
    </row>
    <row r="140" spans="2:14" hidden="1" x14ac:dyDescent="0.25">
      <c r="B140" s="6" t="s">
        <v>94</v>
      </c>
      <c r="C140" s="11"/>
      <c r="D140" s="11"/>
      <c r="E140" s="11"/>
      <c r="F140" s="11"/>
      <c r="G140" s="23">
        <f>SUM(C140:F140)</f>
        <v>0</v>
      </c>
      <c r="I140" s="48"/>
      <c r="J140" s="47"/>
      <c r="K140" s="47"/>
      <c r="L140" s="47"/>
      <c r="M140" s="18">
        <f>(I140*C140+J140*D140+K140*E140+L140*F140)*N140</f>
        <v>0</v>
      </c>
      <c r="N140" s="7">
        <v>3401261.92</v>
      </c>
    </row>
    <row r="141" spans="2:14" hidden="1" x14ac:dyDescent="0.25">
      <c r="B141" s="6" t="s">
        <v>95</v>
      </c>
      <c r="C141" s="11"/>
      <c r="D141" s="11"/>
      <c r="E141" s="11"/>
      <c r="F141" s="11"/>
      <c r="G141" s="23">
        <f>SUM(C141:F141)</f>
        <v>0</v>
      </c>
      <c r="I141" s="48"/>
      <c r="J141" s="47"/>
      <c r="K141" s="47"/>
      <c r="L141" s="47"/>
      <c r="M141" s="18">
        <f>(I141*C141+J141*D141+K141*E141+L141*F141)*N141</f>
        <v>0</v>
      </c>
      <c r="N141" s="7">
        <v>3401261.92</v>
      </c>
    </row>
    <row r="142" spans="2:14" hidden="1" x14ac:dyDescent="0.25">
      <c r="B142" s="6" t="s">
        <v>96</v>
      </c>
      <c r="C142" s="11"/>
      <c r="D142" s="11"/>
      <c r="E142" s="11"/>
      <c r="F142" s="11"/>
      <c r="G142" s="23"/>
      <c r="I142" s="48"/>
      <c r="J142" s="47"/>
      <c r="K142" s="47"/>
      <c r="L142" s="47"/>
      <c r="M142" s="18"/>
      <c r="N142" s="7">
        <v>3401261.92</v>
      </c>
    </row>
    <row r="143" spans="2:14" hidden="1" x14ac:dyDescent="0.25">
      <c r="B143" s="6" t="s">
        <v>97</v>
      </c>
      <c r="C143" s="11"/>
      <c r="D143" s="11"/>
      <c r="E143" s="11"/>
      <c r="F143" s="11"/>
      <c r="G143" s="23"/>
      <c r="I143" s="48"/>
      <c r="J143" s="47"/>
      <c r="K143" s="47"/>
      <c r="L143" s="47"/>
      <c r="M143" s="18"/>
      <c r="N143" s="7">
        <v>4000871.37</v>
      </c>
    </row>
    <row r="144" spans="2:14" hidden="1" x14ac:dyDescent="0.25">
      <c r="B144" s="6" t="s">
        <v>80</v>
      </c>
      <c r="C144" s="11"/>
      <c r="D144" s="11"/>
      <c r="E144" s="11"/>
      <c r="F144" s="11"/>
      <c r="G144" s="15">
        <f>SUM(G137:G141)</f>
        <v>0</v>
      </c>
      <c r="I144" s="29"/>
      <c r="J144" s="28"/>
      <c r="K144" s="28"/>
      <c r="L144" s="28"/>
      <c r="M144" s="18">
        <f>SUM(M137:M141)</f>
        <v>0</v>
      </c>
      <c r="N144" s="7">
        <f>SUM(N137:N143)</f>
        <v>26607666.959999997</v>
      </c>
    </row>
    <row r="145" spans="2:14" hidden="1" x14ac:dyDescent="0.25">
      <c r="B145" s="31"/>
      <c r="C145" s="32"/>
      <c r="D145" s="32"/>
      <c r="E145" s="32"/>
      <c r="F145" s="32"/>
      <c r="G145" s="33"/>
      <c r="I145" s="31"/>
      <c r="J145" s="32"/>
      <c r="K145" s="32"/>
      <c r="L145" s="32"/>
      <c r="M145" s="32"/>
      <c r="N145" s="33"/>
    </row>
    <row r="146" spans="2:14" hidden="1" x14ac:dyDescent="0.25">
      <c r="B146" s="6" t="s">
        <v>98</v>
      </c>
      <c r="C146" s="11"/>
      <c r="D146" s="11"/>
      <c r="E146" s="11"/>
      <c r="F146" s="11"/>
      <c r="G146" s="23">
        <f>SUM(C146:F146)</f>
        <v>0</v>
      </c>
      <c r="I146" s="48"/>
      <c r="J146" s="47"/>
      <c r="K146" s="47"/>
      <c r="L146" s="47"/>
      <c r="M146" s="18">
        <f>(I146*C146+J146*D146+K146*E146+L146*F146)*N146</f>
        <v>0</v>
      </c>
      <c r="N146" s="7">
        <v>4501056.1500000004</v>
      </c>
    </row>
    <row r="147" spans="2:14" hidden="1" x14ac:dyDescent="0.25">
      <c r="B147" s="6" t="s">
        <v>99</v>
      </c>
      <c r="C147" s="11"/>
      <c r="D147" s="11"/>
      <c r="E147" s="11"/>
      <c r="F147" s="11"/>
      <c r="G147" s="23">
        <f>SUM(C147:F147)</f>
        <v>0</v>
      </c>
      <c r="I147" s="48"/>
      <c r="J147" s="47"/>
      <c r="K147" s="47"/>
      <c r="L147" s="47"/>
      <c r="M147" s="18">
        <f>(I147*C147+J147*D147+K147*E147+L147*F147)*N147</f>
        <v>0</v>
      </c>
      <c r="N147" s="7">
        <v>4501056.1500000004</v>
      </c>
    </row>
    <row r="148" spans="2:14" hidden="1" x14ac:dyDescent="0.25">
      <c r="B148" s="6" t="s">
        <v>100</v>
      </c>
      <c r="C148" s="52"/>
      <c r="D148" s="52"/>
      <c r="E148" s="52"/>
      <c r="F148" s="52"/>
      <c r="G148" s="53"/>
      <c r="I148" s="54"/>
      <c r="J148" s="55"/>
      <c r="K148" s="55"/>
      <c r="L148" s="55"/>
      <c r="M148" s="56"/>
      <c r="N148" s="57">
        <v>4501056.1500000004</v>
      </c>
    </row>
    <row r="149" spans="2:14" hidden="1" x14ac:dyDescent="0.25">
      <c r="B149" s="51" t="s">
        <v>101</v>
      </c>
      <c r="C149" s="52"/>
      <c r="D149" s="52"/>
      <c r="E149" s="52"/>
      <c r="F149" s="52"/>
      <c r="G149" s="53"/>
      <c r="I149" s="54"/>
      <c r="J149" s="55"/>
      <c r="K149" s="55"/>
      <c r="L149" s="55"/>
      <c r="M149" s="56"/>
      <c r="N149" s="57">
        <v>4401267.08</v>
      </c>
    </row>
    <row r="150" spans="2:14" hidden="1" x14ac:dyDescent="0.25">
      <c r="B150" s="51" t="s">
        <v>102</v>
      </c>
      <c r="C150" s="52"/>
      <c r="D150" s="52"/>
      <c r="E150" s="52"/>
      <c r="F150" s="52"/>
      <c r="G150" s="53"/>
      <c r="I150" s="54"/>
      <c r="J150" s="55"/>
      <c r="K150" s="55"/>
      <c r="L150" s="55"/>
      <c r="M150" s="56"/>
      <c r="N150" s="57">
        <v>3401261.92</v>
      </c>
    </row>
    <row r="151" spans="2:14" hidden="1" x14ac:dyDescent="0.25">
      <c r="B151" s="51" t="s">
        <v>103</v>
      </c>
      <c r="C151" s="52"/>
      <c r="D151" s="52"/>
      <c r="E151" s="52"/>
      <c r="F151" s="52"/>
      <c r="G151" s="53"/>
      <c r="I151" s="54"/>
      <c r="J151" s="55"/>
      <c r="K151" s="55"/>
      <c r="L151" s="55"/>
      <c r="M151" s="56"/>
      <c r="N151" s="57">
        <v>3401261.92</v>
      </c>
    </row>
    <row r="152" spans="2:14" ht="15.75" hidden="1" thickBot="1" x14ac:dyDescent="0.3">
      <c r="B152" s="9" t="s">
        <v>81</v>
      </c>
      <c r="C152" s="22"/>
      <c r="D152" s="22"/>
      <c r="E152" s="22"/>
      <c r="F152" s="22"/>
      <c r="G152" s="16">
        <f>SUM(G146:G147)</f>
        <v>0</v>
      </c>
      <c r="I152" s="43"/>
      <c r="J152" s="44"/>
      <c r="K152" s="44"/>
      <c r="L152" s="44"/>
      <c r="M152" s="19">
        <f>SUM(M146:M147)</f>
        <v>0</v>
      </c>
      <c r="N152" s="45">
        <f>SUM(N146:N151)</f>
        <v>24706959.370000005</v>
      </c>
    </row>
    <row r="153" spans="2:14" ht="15.75" hidden="1" thickBot="1" x14ac:dyDescent="0.3"/>
    <row r="154" spans="2:14" ht="15.75" hidden="1" thickBot="1" x14ac:dyDescent="0.3">
      <c r="B154" s="197" t="s">
        <v>20</v>
      </c>
      <c r="C154" s="198"/>
      <c r="D154" s="198"/>
      <c r="E154" s="198"/>
      <c r="F154" s="198"/>
      <c r="G154" s="199"/>
      <c r="H154" s="36"/>
      <c r="I154" s="197" t="s">
        <v>27</v>
      </c>
      <c r="J154" s="198"/>
      <c r="K154" s="198"/>
      <c r="L154" s="198"/>
      <c r="M154" s="198"/>
      <c r="N154" s="199"/>
    </row>
    <row r="155" spans="2:14" hidden="1" x14ac:dyDescent="0.25">
      <c r="B155" s="200" t="s">
        <v>113</v>
      </c>
      <c r="C155" s="201"/>
      <c r="D155" s="201"/>
      <c r="E155" s="201"/>
      <c r="F155" s="201"/>
      <c r="G155" s="202"/>
      <c r="I155" s="229" t="s">
        <v>114</v>
      </c>
      <c r="J155" s="230"/>
      <c r="K155" s="230"/>
      <c r="L155" s="230"/>
      <c r="M155" s="230"/>
      <c r="N155" s="231"/>
    </row>
    <row r="156" spans="2:14" hidden="1" x14ac:dyDescent="0.25">
      <c r="B156" s="5"/>
      <c r="C156" s="4" t="s">
        <v>22</v>
      </c>
      <c r="D156" s="4" t="s">
        <v>24</v>
      </c>
      <c r="E156" s="4" t="s">
        <v>23</v>
      </c>
      <c r="F156" s="4" t="s">
        <v>25</v>
      </c>
      <c r="G156" s="14" t="s">
        <v>26</v>
      </c>
      <c r="I156" s="12" t="s">
        <v>22</v>
      </c>
      <c r="J156" s="13" t="s">
        <v>24</v>
      </c>
      <c r="K156" s="13" t="s">
        <v>23</v>
      </c>
      <c r="L156" s="13" t="s">
        <v>25</v>
      </c>
      <c r="M156" s="17" t="s">
        <v>28</v>
      </c>
      <c r="N156" s="21" t="s">
        <v>29</v>
      </c>
    </row>
    <row r="157" spans="2:14" hidden="1" x14ac:dyDescent="0.25">
      <c r="B157" s="6" t="s">
        <v>82</v>
      </c>
      <c r="C157" s="11"/>
      <c r="D157" s="11"/>
      <c r="E157" s="11"/>
      <c r="F157" s="11"/>
      <c r="G157" s="23">
        <f t="shared" ref="G157:G162" si="16">SUM(C157:F157)</f>
        <v>0</v>
      </c>
      <c r="I157" s="48"/>
      <c r="J157" s="47"/>
      <c r="K157" s="47"/>
      <c r="L157" s="47"/>
      <c r="M157" s="18">
        <f t="shared" ref="M157:M162" si="17">(I157*C157+J157*D157+K157*E157+L157*F157)*N157</f>
        <v>0</v>
      </c>
      <c r="N157" s="7">
        <v>5725607.0899999999</v>
      </c>
    </row>
    <row r="158" spans="2:14" hidden="1" x14ac:dyDescent="0.25">
      <c r="B158" s="6" t="s">
        <v>83</v>
      </c>
      <c r="C158" s="11"/>
      <c r="D158" s="11"/>
      <c r="E158" s="11"/>
      <c r="F158" s="11"/>
      <c r="G158" s="23">
        <f t="shared" si="16"/>
        <v>0</v>
      </c>
      <c r="I158" s="48"/>
      <c r="J158" s="47"/>
      <c r="K158" s="47"/>
      <c r="L158" s="47"/>
      <c r="M158" s="18">
        <f t="shared" si="17"/>
        <v>0</v>
      </c>
      <c r="N158" s="7">
        <v>4769904.1500000004</v>
      </c>
    </row>
    <row r="159" spans="2:14" hidden="1" x14ac:dyDescent="0.25">
      <c r="B159" s="6" t="s">
        <v>84</v>
      </c>
      <c r="C159" s="11"/>
      <c r="D159" s="11"/>
      <c r="E159" s="11"/>
      <c r="F159" s="11"/>
      <c r="G159" s="23">
        <f t="shared" si="16"/>
        <v>0</v>
      </c>
      <c r="I159" s="48"/>
      <c r="J159" s="47"/>
      <c r="K159" s="47"/>
      <c r="L159" s="47"/>
      <c r="M159" s="18">
        <f t="shared" si="17"/>
        <v>0</v>
      </c>
      <c r="N159" s="7">
        <v>4516198.1100000003</v>
      </c>
    </row>
    <row r="160" spans="2:14" hidden="1" x14ac:dyDescent="0.25">
      <c r="B160" s="6" t="s">
        <v>85</v>
      </c>
      <c r="C160" s="11"/>
      <c r="D160" s="11"/>
      <c r="E160" s="11"/>
      <c r="F160" s="11"/>
      <c r="G160" s="23">
        <f t="shared" si="16"/>
        <v>0</v>
      </c>
      <c r="I160" s="48"/>
      <c r="J160" s="47"/>
      <c r="K160" s="47"/>
      <c r="L160" s="47"/>
      <c r="M160" s="18">
        <f t="shared" si="17"/>
        <v>0</v>
      </c>
      <c r="N160" s="7">
        <v>4854472.83</v>
      </c>
    </row>
    <row r="161" spans="2:14" hidden="1" x14ac:dyDescent="0.25">
      <c r="B161" s="6" t="s">
        <v>86</v>
      </c>
      <c r="C161" s="11"/>
      <c r="D161" s="11"/>
      <c r="E161" s="11"/>
      <c r="F161" s="11"/>
      <c r="G161" s="23">
        <f t="shared" si="16"/>
        <v>0</v>
      </c>
      <c r="I161" s="48"/>
      <c r="J161" s="47"/>
      <c r="K161" s="47"/>
      <c r="L161" s="47"/>
      <c r="M161" s="18">
        <f t="shared" si="17"/>
        <v>0</v>
      </c>
      <c r="N161" s="7">
        <v>4854472.83</v>
      </c>
    </row>
    <row r="162" spans="2:14" hidden="1" x14ac:dyDescent="0.25">
      <c r="B162" s="6" t="s">
        <v>87</v>
      </c>
      <c r="C162" s="11"/>
      <c r="D162" s="11"/>
      <c r="E162" s="11"/>
      <c r="F162" s="11"/>
      <c r="G162" s="23">
        <f t="shared" si="16"/>
        <v>0</v>
      </c>
      <c r="I162" s="48"/>
      <c r="J162" s="47"/>
      <c r="K162" s="47"/>
      <c r="L162" s="47"/>
      <c r="M162" s="18">
        <f t="shared" si="17"/>
        <v>0</v>
      </c>
      <c r="N162" s="7">
        <v>2266517.4900000002</v>
      </c>
    </row>
    <row r="163" spans="2:14" hidden="1" x14ac:dyDescent="0.25">
      <c r="B163" s="6" t="s">
        <v>88</v>
      </c>
      <c r="C163" s="11"/>
      <c r="D163" s="11"/>
      <c r="E163" s="11"/>
      <c r="F163" s="11"/>
      <c r="G163" s="23"/>
      <c r="I163" s="48"/>
      <c r="J163" s="47"/>
      <c r="K163" s="47"/>
      <c r="L163" s="47"/>
      <c r="M163" s="18"/>
      <c r="N163" s="7">
        <v>2266517.4900000002</v>
      </c>
    </row>
    <row r="164" spans="2:14" hidden="1" x14ac:dyDescent="0.25">
      <c r="B164" s="6" t="s">
        <v>89</v>
      </c>
      <c r="C164" s="11"/>
      <c r="D164" s="11"/>
      <c r="E164" s="11"/>
      <c r="F164" s="11"/>
      <c r="G164" s="23"/>
      <c r="I164" s="48"/>
      <c r="J164" s="47"/>
      <c r="K164" s="47"/>
      <c r="L164" s="47"/>
      <c r="M164" s="18"/>
      <c r="N164" s="7">
        <v>2266517.4900000002</v>
      </c>
    </row>
    <row r="165" spans="2:14" hidden="1" x14ac:dyDescent="0.25">
      <c r="B165" s="6" t="s">
        <v>90</v>
      </c>
      <c r="C165" s="11"/>
      <c r="D165" s="11"/>
      <c r="E165" s="11"/>
      <c r="F165" s="11"/>
      <c r="G165" s="23"/>
      <c r="I165" s="48"/>
      <c r="J165" s="47"/>
      <c r="K165" s="47"/>
      <c r="L165" s="47"/>
      <c r="M165" s="18"/>
      <c r="N165" s="7">
        <v>2266517.4900000002</v>
      </c>
    </row>
    <row r="166" spans="2:14" hidden="1" x14ac:dyDescent="0.25">
      <c r="B166" s="6" t="s">
        <v>79</v>
      </c>
      <c r="C166" s="11"/>
      <c r="D166" s="11"/>
      <c r="E166" s="11"/>
      <c r="F166" s="11"/>
      <c r="G166" s="15">
        <f>SUM(G157:G162)</f>
        <v>0</v>
      </c>
      <c r="I166" s="48"/>
      <c r="J166" s="47"/>
      <c r="K166" s="47"/>
      <c r="L166" s="47"/>
      <c r="M166" s="18">
        <f>SUM(M157:M162)</f>
        <v>0</v>
      </c>
      <c r="N166" s="7">
        <f>SUM(N157:N165)</f>
        <v>33786724.970000006</v>
      </c>
    </row>
    <row r="167" spans="2:14" hidden="1" x14ac:dyDescent="0.25">
      <c r="B167" s="31"/>
      <c r="C167" s="32"/>
      <c r="D167" s="32"/>
      <c r="E167" s="32"/>
      <c r="F167" s="32"/>
      <c r="G167" s="33"/>
      <c r="I167" s="31"/>
      <c r="J167" s="32"/>
      <c r="K167" s="32"/>
      <c r="L167" s="32"/>
      <c r="M167" s="32"/>
      <c r="N167" s="33"/>
    </row>
    <row r="168" spans="2:14" hidden="1" x14ac:dyDescent="0.25">
      <c r="B168" s="6" t="s">
        <v>91</v>
      </c>
      <c r="C168" s="11"/>
      <c r="D168" s="11"/>
      <c r="E168" s="11"/>
      <c r="F168" s="11"/>
      <c r="G168" s="23">
        <f>SUM(C168:F168)</f>
        <v>0</v>
      </c>
      <c r="I168" s="48"/>
      <c r="J168" s="47"/>
      <c r="K168" s="47"/>
      <c r="L168" s="47"/>
      <c r="M168" s="18">
        <f>(I168*C168+J168*D168+K168*E168+L168*F168)*N168</f>
        <v>0</v>
      </c>
      <c r="N168" s="7">
        <v>10482657.119999999</v>
      </c>
    </row>
    <row r="169" spans="2:14" hidden="1" x14ac:dyDescent="0.25">
      <c r="B169" s="6" t="s">
        <v>92</v>
      </c>
      <c r="C169" s="11"/>
      <c r="D169" s="11"/>
      <c r="E169" s="11"/>
      <c r="F169" s="11"/>
      <c r="G169" s="23">
        <f>SUM(C169:F169)</f>
        <v>0</v>
      </c>
      <c r="I169" s="48"/>
      <c r="J169" s="47"/>
      <c r="K169" s="47"/>
      <c r="L169" s="47"/>
      <c r="M169" s="18">
        <f>(I169*C169+J169*D169+K169*E169+L169*F169)*N169</f>
        <v>0</v>
      </c>
      <c r="N169" s="7">
        <v>3778618.69</v>
      </c>
    </row>
    <row r="170" spans="2:14" hidden="1" x14ac:dyDescent="0.25">
      <c r="B170" s="6" t="s">
        <v>93</v>
      </c>
      <c r="C170" s="11"/>
      <c r="D170" s="11"/>
      <c r="E170" s="11"/>
      <c r="F170" s="11"/>
      <c r="G170" s="23">
        <f>SUM(C170:F170)</f>
        <v>0</v>
      </c>
      <c r="I170" s="48"/>
      <c r="J170" s="47"/>
      <c r="K170" s="47"/>
      <c r="L170" s="47"/>
      <c r="M170" s="18">
        <f>(I170*C170+J170*D170+K170*E170+L170*F170)*N170</f>
        <v>0</v>
      </c>
      <c r="N170" s="7">
        <v>3100012.63</v>
      </c>
    </row>
    <row r="171" spans="2:14" hidden="1" x14ac:dyDescent="0.25">
      <c r="B171" s="6" t="s">
        <v>94</v>
      </c>
      <c r="C171" s="11"/>
      <c r="D171" s="11"/>
      <c r="E171" s="11"/>
      <c r="F171" s="11"/>
      <c r="G171" s="23">
        <f>SUM(C171:F171)</f>
        <v>0</v>
      </c>
      <c r="I171" s="48"/>
      <c r="J171" s="47"/>
      <c r="K171" s="47"/>
      <c r="L171" s="47"/>
      <c r="M171" s="18">
        <f>(I171*C171+J171*D171+K171*E171+L171*F171)*N171</f>
        <v>0</v>
      </c>
      <c r="N171" s="7">
        <v>2164272.06</v>
      </c>
    </row>
    <row r="172" spans="2:14" hidden="1" x14ac:dyDescent="0.25">
      <c r="B172" s="6" t="s">
        <v>95</v>
      </c>
      <c r="C172" s="11"/>
      <c r="D172" s="11"/>
      <c r="E172" s="11"/>
      <c r="F172" s="11"/>
      <c r="G172" s="23">
        <f>SUM(C172:F172)</f>
        <v>0</v>
      </c>
      <c r="I172" s="48"/>
      <c r="J172" s="47"/>
      <c r="K172" s="47"/>
      <c r="L172" s="47"/>
      <c r="M172" s="18">
        <f>(I172*C172+J172*D172+K172*E172+L172*F172)*N172</f>
        <v>0</v>
      </c>
      <c r="N172" s="7">
        <v>2021419.56</v>
      </c>
    </row>
    <row r="173" spans="2:14" hidden="1" x14ac:dyDescent="0.25">
      <c r="B173" s="6" t="s">
        <v>96</v>
      </c>
      <c r="C173" s="11"/>
      <c r="D173" s="11"/>
      <c r="E173" s="11"/>
      <c r="F173" s="11"/>
      <c r="G173" s="23"/>
      <c r="I173" s="48"/>
      <c r="J173" s="47"/>
      <c r="K173" s="47"/>
      <c r="L173" s="47"/>
      <c r="M173" s="18"/>
      <c r="N173" s="7">
        <v>2021419.56</v>
      </c>
    </row>
    <row r="174" spans="2:14" hidden="1" x14ac:dyDescent="0.25">
      <c r="B174" s="6" t="s">
        <v>97</v>
      </c>
      <c r="C174" s="11"/>
      <c r="D174" s="11"/>
      <c r="E174" s="11"/>
      <c r="F174" s="11"/>
      <c r="G174" s="23"/>
      <c r="I174" s="48"/>
      <c r="J174" s="47"/>
      <c r="K174" s="47"/>
      <c r="L174" s="47"/>
      <c r="M174" s="18"/>
      <c r="N174" s="7">
        <v>2957160.13</v>
      </c>
    </row>
    <row r="175" spans="2:14" hidden="1" x14ac:dyDescent="0.25">
      <c r="B175" s="6" t="s">
        <v>80</v>
      </c>
      <c r="C175" s="11"/>
      <c r="D175" s="11"/>
      <c r="E175" s="11"/>
      <c r="F175" s="11"/>
      <c r="G175" s="15">
        <f>SUM(G168:G172)</f>
        <v>0</v>
      </c>
      <c r="I175" s="29"/>
      <c r="J175" s="28"/>
      <c r="K175" s="28"/>
      <c r="L175" s="28"/>
      <c r="M175" s="18">
        <f>SUM(M168:M172)</f>
        <v>0</v>
      </c>
      <c r="N175" s="7">
        <f>SUM(N168:N174)</f>
        <v>26525559.749999993</v>
      </c>
    </row>
    <row r="176" spans="2:14" hidden="1" x14ac:dyDescent="0.25">
      <c r="B176" s="31"/>
      <c r="C176" s="32"/>
      <c r="D176" s="32"/>
      <c r="E176" s="32"/>
      <c r="F176" s="32"/>
      <c r="G176" s="33"/>
      <c r="I176" s="31"/>
      <c r="J176" s="32"/>
      <c r="K176" s="32"/>
      <c r="L176" s="32"/>
      <c r="M176" s="32"/>
      <c r="N176" s="33"/>
    </row>
    <row r="177" spans="2:14" hidden="1" x14ac:dyDescent="0.25">
      <c r="B177" s="6" t="s">
        <v>98</v>
      </c>
      <c r="C177" s="11"/>
      <c r="D177" s="11"/>
      <c r="E177" s="11"/>
      <c r="F177" s="11"/>
      <c r="G177" s="23">
        <f>SUM(C177:F177)</f>
        <v>0</v>
      </c>
      <c r="I177" s="48"/>
      <c r="J177" s="47"/>
      <c r="K177" s="47"/>
      <c r="L177" s="47"/>
      <c r="M177" s="18">
        <f>(I177*C177+J177*D177+K177*E177+L177*F177)*N177</f>
        <v>0</v>
      </c>
      <c r="N177" s="7">
        <v>7493010.4400000004</v>
      </c>
    </row>
    <row r="178" spans="2:14" hidden="1" x14ac:dyDescent="0.25">
      <c r="B178" s="6" t="s">
        <v>99</v>
      </c>
      <c r="C178" s="11"/>
      <c r="D178" s="11"/>
      <c r="E178" s="11"/>
      <c r="F178" s="11"/>
      <c r="G178" s="23">
        <f>SUM(C178:F178)</f>
        <v>0</v>
      </c>
      <c r="I178" s="48"/>
      <c r="J178" s="47"/>
      <c r="K178" s="47"/>
      <c r="L178" s="47"/>
      <c r="M178" s="18">
        <f>(I178*C178+J178*D178+K178*E178+L178*F178)*N178</f>
        <v>0</v>
      </c>
      <c r="N178" s="7">
        <v>4971493.75</v>
      </c>
    </row>
    <row r="179" spans="2:14" hidden="1" x14ac:dyDescent="0.25">
      <c r="B179" s="6" t="s">
        <v>100</v>
      </c>
      <c r="C179" s="52"/>
      <c r="D179" s="52"/>
      <c r="E179" s="52"/>
      <c r="F179" s="52"/>
      <c r="G179" s="53"/>
      <c r="I179" s="54"/>
      <c r="J179" s="55"/>
      <c r="K179" s="55"/>
      <c r="L179" s="55"/>
      <c r="M179" s="56"/>
      <c r="N179" s="57">
        <v>4800070.75</v>
      </c>
    </row>
    <row r="180" spans="2:14" hidden="1" x14ac:dyDescent="0.25">
      <c r="B180" s="51" t="s">
        <v>101</v>
      </c>
      <c r="C180" s="52"/>
      <c r="D180" s="52"/>
      <c r="E180" s="52"/>
      <c r="F180" s="52"/>
      <c r="G180" s="53"/>
      <c r="I180" s="54"/>
      <c r="J180" s="55"/>
      <c r="K180" s="55"/>
      <c r="L180" s="55"/>
      <c r="M180" s="56"/>
      <c r="N180" s="57">
        <v>4092894.19</v>
      </c>
    </row>
    <row r="181" spans="2:14" hidden="1" x14ac:dyDescent="0.25">
      <c r="B181" s="51" t="s">
        <v>102</v>
      </c>
      <c r="C181" s="52"/>
      <c r="D181" s="52"/>
      <c r="E181" s="52"/>
      <c r="F181" s="52"/>
      <c r="G181" s="53"/>
      <c r="I181" s="54"/>
      <c r="J181" s="55"/>
      <c r="K181" s="55"/>
      <c r="L181" s="55"/>
      <c r="M181" s="56"/>
      <c r="N181" s="57">
        <v>1878567.06</v>
      </c>
    </row>
    <row r="182" spans="2:14" hidden="1" x14ac:dyDescent="0.25">
      <c r="B182" s="51" t="s">
        <v>103</v>
      </c>
      <c r="C182" s="52"/>
      <c r="D182" s="52"/>
      <c r="E182" s="52"/>
      <c r="F182" s="52"/>
      <c r="G182" s="53"/>
      <c r="I182" s="54"/>
      <c r="J182" s="55"/>
      <c r="K182" s="55"/>
      <c r="L182" s="55"/>
      <c r="M182" s="56"/>
      <c r="N182" s="57">
        <v>1650003.06</v>
      </c>
    </row>
    <row r="183" spans="2:14" ht="15.75" hidden="1" thickBot="1" x14ac:dyDescent="0.3">
      <c r="B183" s="9" t="s">
        <v>81</v>
      </c>
      <c r="C183" s="22"/>
      <c r="D183" s="22"/>
      <c r="E183" s="22"/>
      <c r="F183" s="22"/>
      <c r="G183" s="16">
        <f>SUM(G177:G178)</f>
        <v>0</v>
      </c>
      <c r="I183" s="43"/>
      <c r="J183" s="44"/>
      <c r="K183" s="44"/>
      <c r="L183" s="44"/>
      <c r="M183" s="19">
        <f>SUM(M177:M178)</f>
        <v>0</v>
      </c>
      <c r="N183" s="45">
        <f>SUM(N177:N182)</f>
        <v>24886039.25</v>
      </c>
    </row>
    <row r="184" spans="2:14" ht="15.75" thickBot="1" x14ac:dyDescent="0.3"/>
    <row r="185" spans="2:14" ht="15.75" thickBot="1" x14ac:dyDescent="0.3">
      <c r="B185" s="197" t="s">
        <v>20</v>
      </c>
      <c r="C185" s="198"/>
      <c r="D185" s="198"/>
      <c r="E185" s="198"/>
      <c r="F185" s="198"/>
      <c r="G185" s="199"/>
      <c r="H185" s="36"/>
      <c r="I185" s="197" t="s">
        <v>27</v>
      </c>
      <c r="J185" s="198"/>
      <c r="K185" s="198"/>
      <c r="L185" s="198"/>
      <c r="M185" s="198"/>
      <c r="N185" s="199"/>
    </row>
    <row r="186" spans="2:14" x14ac:dyDescent="0.25">
      <c r="B186" s="200" t="s">
        <v>115</v>
      </c>
      <c r="C186" s="201"/>
      <c r="D186" s="201"/>
      <c r="E186" s="201"/>
      <c r="F186" s="201"/>
      <c r="G186" s="202"/>
      <c r="I186" s="203" t="s">
        <v>116</v>
      </c>
      <c r="J186" s="204"/>
      <c r="K186" s="204"/>
      <c r="L186" s="204"/>
      <c r="M186" s="204"/>
      <c r="N186" s="205"/>
    </row>
    <row r="187" spans="2:14" x14ac:dyDescent="0.25">
      <c r="B187" s="5"/>
      <c r="C187" s="6" t="s">
        <v>133</v>
      </c>
      <c r="D187" s="4" t="s">
        <v>24</v>
      </c>
      <c r="E187" s="4" t="s">
        <v>23</v>
      </c>
      <c r="F187" s="4" t="s">
        <v>25</v>
      </c>
      <c r="G187" s="14" t="s">
        <v>26</v>
      </c>
      <c r="I187" s="6" t="s">
        <v>133</v>
      </c>
      <c r="J187" s="13" t="s">
        <v>24</v>
      </c>
      <c r="K187" s="13" t="s">
        <v>23</v>
      </c>
      <c r="L187" s="13" t="s">
        <v>25</v>
      </c>
      <c r="M187" s="17" t="s">
        <v>28</v>
      </c>
      <c r="N187" s="21" t="s">
        <v>132</v>
      </c>
    </row>
    <row r="188" spans="2:14" x14ac:dyDescent="0.25">
      <c r="B188" s="6" t="s">
        <v>91</v>
      </c>
      <c r="C188" s="11">
        <f>AVERAGE('Manaus SBEG'!AL4:AL15)</f>
        <v>0.4958333333333334</v>
      </c>
      <c r="D188" s="11">
        <f>AVERAGE('Manaus SBEG'!AL16:AL40)</f>
        <v>0.51080000000000003</v>
      </c>
      <c r="E188" s="11">
        <f>AVERAGE('Manaus SBEG'!AL41:AL49)</f>
        <v>0.71777777777777774</v>
      </c>
      <c r="F188" s="11">
        <f>AVERAGE('Manaus SBEG'!AL50:AL56)</f>
        <v>0.39285714285714285</v>
      </c>
      <c r="G188" s="60">
        <f t="shared" ref="G188:G194" si="18">SUM(C188:F188)</f>
        <v>2.1172682539682541</v>
      </c>
      <c r="I188" s="48">
        <v>0.30296420387823703</v>
      </c>
      <c r="J188" s="47">
        <v>0.235256746496389</v>
      </c>
      <c r="K188" s="47">
        <v>0.22043668389670901</v>
      </c>
      <c r="L188" s="47">
        <v>0.24134215310832799</v>
      </c>
      <c r="M188" s="63">
        <f t="shared" ref="M188:M194" si="19">(I188*C188+J188*D188+K188*E188+L188*F188)*N188</f>
        <v>2461788.6497180006</v>
      </c>
      <c r="N188" s="7">
        <v>4703218</v>
      </c>
    </row>
    <row r="189" spans="2:14" x14ac:dyDescent="0.25">
      <c r="B189" s="6" t="s">
        <v>92</v>
      </c>
      <c r="C189" s="11">
        <f>AVERAGE('Porto Velho SBPV'!AL4:AL15)</f>
        <v>0.50250000000000006</v>
      </c>
      <c r="D189" s="11">
        <f>AVERAGE('Porto Velho SBPV'!AL16:AL40)</f>
        <v>0.53280000000000005</v>
      </c>
      <c r="E189" s="11">
        <f>AVERAGE('Porto Velho SBPV'!AL41:AL49)</f>
        <v>0.72888888888888881</v>
      </c>
      <c r="F189" s="11">
        <f>AVERAGE('Porto Velho SBPV'!AL50:AL56)</f>
        <v>0.6071428571428571</v>
      </c>
      <c r="G189" s="60">
        <f t="shared" si="18"/>
        <v>2.3713317460317462</v>
      </c>
      <c r="I189" s="48">
        <f>1424907/3724185</f>
        <v>0.38260908091300511</v>
      </c>
      <c r="J189" s="47">
        <f>593613/3724185</f>
        <v>0.15939406876940862</v>
      </c>
      <c r="K189" s="47">
        <f>570580/3724185</f>
        <v>0.15320935990021978</v>
      </c>
      <c r="L189" s="47">
        <f>1135085/3724185</f>
        <v>0.30478749041736647</v>
      </c>
      <c r="M189" s="63">
        <f>(I189*C189+J189*D189+K189*E189+L189*F189)*N189</f>
        <v>2137340.9461222221</v>
      </c>
      <c r="N189" s="7">
        <v>3724185</v>
      </c>
    </row>
    <row r="190" spans="2:14" x14ac:dyDescent="0.25">
      <c r="B190" s="6" t="s">
        <v>93</v>
      </c>
      <c r="C190" s="11">
        <f>AVERAGE('Rio Branco SBRB'!AL4:AL15)</f>
        <v>0.50250000000000006</v>
      </c>
      <c r="D190" s="11">
        <f>AVERAGE('Rio Branco SBRB'!AL16:AL40)</f>
        <v>0.53079999999999994</v>
      </c>
      <c r="E190" s="11">
        <f>AVERAGE('Rio Branco SBRB'!AL41:AL49)</f>
        <v>0.73444444444444446</v>
      </c>
      <c r="F190" s="11">
        <f>AVERAGE('Rio Branco SBRB'!AL50:AL56)</f>
        <v>0.6071428571428571</v>
      </c>
      <c r="G190" s="60">
        <f t="shared" si="18"/>
        <v>2.3748873015873015</v>
      </c>
      <c r="I190" s="48">
        <v>0.38708644245156598</v>
      </c>
      <c r="J190" s="47">
        <v>0.15499273588278301</v>
      </c>
      <c r="K190" s="47">
        <v>0.149566652214496</v>
      </c>
      <c r="L190" s="47">
        <v>0.30835416945115401</v>
      </c>
      <c r="M190" s="63">
        <f t="shared" si="19"/>
        <v>2112383.6157222199</v>
      </c>
      <c r="N190" s="7">
        <v>3681108</v>
      </c>
    </row>
    <row r="191" spans="2:14" x14ac:dyDescent="0.25">
      <c r="B191" s="6" t="s">
        <v>94</v>
      </c>
      <c r="C191" s="11">
        <f>AVERAGE('Cruzeiro do Sul SBCZ'!AL4:AL15)</f>
        <v>0.50250000000000006</v>
      </c>
      <c r="D191" s="11">
        <f>AVERAGE('Cruzeiro do Sul SBCZ'!AL16:AL40)</f>
        <v>0.53280000000000005</v>
      </c>
      <c r="E191" s="11">
        <f>AVERAGE('Cruzeiro do Sul SBCZ'!AL41:AL49)</f>
        <v>0.73777777777777775</v>
      </c>
      <c r="F191" s="11">
        <f>AVERAGE('Cruzeiro do Sul SBCZ'!AL50:AL56)</f>
        <v>0.6071428571428571</v>
      </c>
      <c r="G191" s="60">
        <f t="shared" si="18"/>
        <v>2.3802206349206352</v>
      </c>
      <c r="I191" s="48">
        <v>0.39187697395126803</v>
      </c>
      <c r="J191" s="47">
        <v>0.14960006688470201</v>
      </c>
      <c r="K191" s="47">
        <v>0.146352638590492</v>
      </c>
      <c r="L191" s="47">
        <v>0.312170320573536</v>
      </c>
      <c r="M191" s="63">
        <f t="shared" si="19"/>
        <v>2052082.6313348119</v>
      </c>
      <c r="N191" s="7">
        <v>3574229.92</v>
      </c>
    </row>
    <row r="192" spans="2:14" x14ac:dyDescent="0.25">
      <c r="B192" s="6" t="s">
        <v>95</v>
      </c>
      <c r="C192" s="11">
        <f>AVERAGE('Tabatinga SBTT'!AL4:AL15)</f>
        <v>0.50250000000000006</v>
      </c>
      <c r="D192" s="11">
        <f>AVERAGE('Tabatinga SBTT'!AL16:AL40)</f>
        <v>0.55080000000000007</v>
      </c>
      <c r="E192" s="11">
        <f>AVERAGE('Tabatinga SBTT'!AL41:AL49)</f>
        <v>0.74444444444444446</v>
      </c>
      <c r="F192" s="11">
        <f>AVERAGE('Tabatinga SBTT'!AL50:AL56)</f>
        <v>0.6071428571428571</v>
      </c>
      <c r="G192" s="60">
        <f t="shared" si="18"/>
        <v>2.4048873015873018</v>
      </c>
      <c r="I192" s="48">
        <v>0.39222733603827198</v>
      </c>
      <c r="J192" s="47">
        <v>0.15022929592662501</v>
      </c>
      <c r="K192" s="47">
        <v>0.14509394801891601</v>
      </c>
      <c r="L192" s="47">
        <v>0.31244942001618498</v>
      </c>
      <c r="M192" s="63">
        <f t="shared" si="19"/>
        <v>2048731.4824737238</v>
      </c>
      <c r="N192" s="7">
        <v>3547240.86</v>
      </c>
    </row>
    <row r="193" spans="2:14" x14ac:dyDescent="0.25">
      <c r="B193" s="6" t="s">
        <v>96</v>
      </c>
      <c r="C193" s="11">
        <f>AVERAGE('Tefé SBTF'!AL4:AL15)</f>
        <v>0.50250000000000006</v>
      </c>
      <c r="D193" s="11">
        <f>AVERAGE('Tefé SBTF'!AL16:AL40)</f>
        <v>0.56280000000000008</v>
      </c>
      <c r="E193" s="11">
        <f>AVERAGE('Tefé SBTF'!AL41:AL49)</f>
        <v>0.7366666666666668</v>
      </c>
      <c r="F193" s="11">
        <f>AVERAGE('Tefé SBTF'!AL50:AL56)</f>
        <v>8.5714285714285715E-2</v>
      </c>
      <c r="G193" s="60">
        <f t="shared" si="18"/>
        <v>1.8876809523809526</v>
      </c>
      <c r="I193" s="48">
        <v>0.392654159884328</v>
      </c>
      <c r="J193" s="47">
        <v>0.14891519797537001</v>
      </c>
      <c r="K193" s="47">
        <v>0.14564148858982701</v>
      </c>
      <c r="L193" s="47">
        <v>0.312789429115235</v>
      </c>
      <c r="M193" s="63">
        <f t="shared" si="19"/>
        <v>1466969.9646727014</v>
      </c>
      <c r="N193" s="7">
        <v>3533011.99</v>
      </c>
    </row>
    <row r="194" spans="2:14" x14ac:dyDescent="0.25">
      <c r="B194" s="6" t="s">
        <v>97</v>
      </c>
      <c r="C194" s="11">
        <f>AVERAGE('Boa Vista SBBV'!AL4:AL15)</f>
        <v>0.4958333333333334</v>
      </c>
      <c r="D194" s="11">
        <f>AVERAGE('Boa Vista SBBV'!AL16:AL40)</f>
        <v>0.56280000000000008</v>
      </c>
      <c r="E194" s="11">
        <f>AVERAGE('Boa Vista SBBV'!AL41:AL49)</f>
        <v>0.74</v>
      </c>
      <c r="F194" s="11">
        <f>AVERAGE('Boa Vista SBBV'!AL50:AL56)</f>
        <v>0.59285714285714286</v>
      </c>
      <c r="G194" s="60">
        <f t="shared" si="18"/>
        <v>2.3914904761904765</v>
      </c>
      <c r="I194" s="48">
        <v>0.38230871041941</v>
      </c>
      <c r="J194" s="47">
        <v>0.159493237523647</v>
      </c>
      <c r="K194" s="47">
        <v>0.153649837635637</v>
      </c>
      <c r="L194" s="47">
        <v>0.30454821442130298</v>
      </c>
      <c r="M194" s="63">
        <f t="shared" si="19"/>
        <v>2137791.3346999935</v>
      </c>
      <c r="N194" s="7">
        <v>3727111</v>
      </c>
    </row>
    <row r="195" spans="2:14" x14ac:dyDescent="0.25">
      <c r="B195" s="193" t="s">
        <v>80</v>
      </c>
      <c r="C195" s="11"/>
      <c r="D195" s="11"/>
      <c r="E195" s="11"/>
      <c r="F195" s="11"/>
      <c r="G195" s="61">
        <f>SUM(G188:G194)</f>
        <v>15.927766666666667</v>
      </c>
      <c r="I195" s="206"/>
      <c r="J195" s="207"/>
      <c r="K195" s="207"/>
      <c r="L195" s="208"/>
      <c r="M195" s="63">
        <f>SUM(M188:M194)</f>
        <v>14417088.624743674</v>
      </c>
      <c r="N195" s="7">
        <f>SUM(N188:N194)</f>
        <v>26490104.770000003</v>
      </c>
    </row>
    <row r="196" spans="2:14" x14ac:dyDescent="0.25">
      <c r="B196" s="194" t="s">
        <v>1620</v>
      </c>
      <c r="C196" s="209">
        <f>AVERAGE(C188:F194)</f>
        <v>0.56884880952380956</v>
      </c>
      <c r="D196" s="210"/>
      <c r="E196" s="210"/>
      <c r="F196" s="210"/>
      <c r="G196" s="211"/>
      <c r="I196" s="206"/>
      <c r="J196" s="207"/>
      <c r="K196" s="207"/>
      <c r="L196" s="207"/>
      <c r="M196" s="207"/>
      <c r="N196" s="228"/>
    </row>
    <row r="197" spans="2:14" x14ac:dyDescent="0.25">
      <c r="B197" s="31"/>
      <c r="C197" s="32"/>
      <c r="D197" s="32"/>
      <c r="E197" s="32"/>
      <c r="F197" s="32"/>
      <c r="G197" s="33"/>
      <c r="I197" s="31"/>
      <c r="J197" s="32"/>
      <c r="K197" s="32"/>
      <c r="L197" s="32"/>
      <c r="M197" s="32"/>
      <c r="N197" s="33"/>
    </row>
    <row r="198" spans="2:14" x14ac:dyDescent="0.25">
      <c r="B198" s="6" t="s">
        <v>98</v>
      </c>
      <c r="C198" s="11">
        <f>AVERAGE('Goiânia SBGO'!AL4:AL15)</f>
        <v>0.4958333333333334</v>
      </c>
      <c r="D198" s="11">
        <f>AVERAGE('Goiânia SBGO'!AL16:AL40)</f>
        <v>0.52480000000000004</v>
      </c>
      <c r="E198" s="11">
        <f>AVERAGE('Goiânia SBGO'!AL41:AL49)</f>
        <v>0.7400000000000001</v>
      </c>
      <c r="F198" s="11">
        <f>AVERAGE('Goiânia SBGO'!AL50:AL56)</f>
        <v>0.4</v>
      </c>
      <c r="G198" s="60">
        <f t="shared" ref="G198:G203" si="20">SUM(C198:F198)</f>
        <v>2.1606333333333336</v>
      </c>
      <c r="I198" s="48">
        <v>0.36087473111801699</v>
      </c>
      <c r="J198" s="47">
        <v>0.18107609668800201</v>
      </c>
      <c r="K198" s="47">
        <v>0.170648352632467</v>
      </c>
      <c r="L198" s="47">
        <v>0.28740081956151098</v>
      </c>
      <c r="M198" s="63">
        <f t="shared" ref="M198:M203" si="21">(I198*C198+J198*D198+K198*E198+L198*F198)*N198</f>
        <v>2065307.4638333269</v>
      </c>
      <c r="N198" s="7">
        <v>4008729</v>
      </c>
    </row>
    <row r="199" spans="2:14" x14ac:dyDescent="0.25">
      <c r="B199" s="6" t="s">
        <v>99</v>
      </c>
      <c r="C199" s="11">
        <f>AVERAGE('São Luiz SBSL'!AL4:AL15)</f>
        <v>0.4958333333333334</v>
      </c>
      <c r="D199" s="11">
        <f>AVERAGE('São Luiz SBSL'!AL16:AL40)</f>
        <v>0.53120000000000001</v>
      </c>
      <c r="E199" s="11">
        <f>AVERAGE('São Luiz SBSL'!AL41:AL49)</f>
        <v>0.71666666666666667</v>
      </c>
      <c r="F199" s="11">
        <f>AVERAGE('São Luiz SBSL'!AL50:AL56)</f>
        <v>0.4</v>
      </c>
      <c r="G199" s="60">
        <f t="shared" si="20"/>
        <v>2.1436999999999999</v>
      </c>
      <c r="I199" s="48">
        <v>0.38455909052968201</v>
      </c>
      <c r="J199" s="47">
        <v>0.15771386221309899</v>
      </c>
      <c r="K199" s="47">
        <v>0.15146399180400599</v>
      </c>
      <c r="L199" s="47">
        <v>0.30626305545321197</v>
      </c>
      <c r="M199" s="63">
        <f t="shared" si="21"/>
        <v>1901643.8519666647</v>
      </c>
      <c r="N199" s="7">
        <v>3761838</v>
      </c>
    </row>
    <row r="200" spans="2:14" x14ac:dyDescent="0.25">
      <c r="B200" s="6" t="s">
        <v>100</v>
      </c>
      <c r="C200" s="52">
        <f>AVERAGE('Teresina SBTE'!AL4:AL15)</f>
        <v>0.4958333333333334</v>
      </c>
      <c r="D200" s="52">
        <f>AVERAGE('Teresina SBTE'!AL16:AL40)</f>
        <v>0.56720000000000004</v>
      </c>
      <c r="E200" s="52">
        <f>AVERAGE('Teresina SBTE'!AL41:AL49)</f>
        <v>0.73111111111111127</v>
      </c>
      <c r="F200" s="52">
        <f>AVERAGE('Teresina SBTE'!AL50:AL56)</f>
        <v>0.40714285714285714</v>
      </c>
      <c r="G200" s="64">
        <f t="shared" si="20"/>
        <v>2.201287301587302</v>
      </c>
      <c r="I200" s="54">
        <v>0.36853017840475</v>
      </c>
      <c r="J200" s="55">
        <v>0.173048430551762</v>
      </c>
      <c r="K200" s="55">
        <v>0.164923769365903</v>
      </c>
      <c r="L200" s="55">
        <v>0.29349762167758298</v>
      </c>
      <c r="M200" s="65">
        <f t="shared" si="21"/>
        <v>2044988.0675506685</v>
      </c>
      <c r="N200" s="57">
        <v>3925455</v>
      </c>
    </row>
    <row r="201" spans="2:14" x14ac:dyDescent="0.25">
      <c r="B201" s="51" t="s">
        <v>101</v>
      </c>
      <c r="C201" s="52">
        <f>AVERAGE('Palmas SBPJ'!AL4:AL15)</f>
        <v>0.50250000000000006</v>
      </c>
      <c r="D201" s="52">
        <f>AVERAGE('Palmas SBPJ'!AL16:AL40)</f>
        <v>0.55400000000000005</v>
      </c>
      <c r="E201" s="52">
        <f>AVERAGE('Palmas SBPJ'!AL41:AL49)</f>
        <v>0.69222222222222229</v>
      </c>
      <c r="F201" s="52">
        <f>AVERAGE('Palmas SBPJ'!AL50:AL56)</f>
        <v>0.5714285714285714</v>
      </c>
      <c r="G201" s="64">
        <f t="shared" si="20"/>
        <v>2.3201507936507939</v>
      </c>
      <c r="I201" s="54">
        <v>0.38514912508402999</v>
      </c>
      <c r="J201" s="55">
        <v>0.15749339403499599</v>
      </c>
      <c r="K201" s="55">
        <v>0.15062425537296201</v>
      </c>
      <c r="L201" s="55">
        <v>0.30673295927264499</v>
      </c>
      <c r="M201" s="65">
        <f t="shared" si="21"/>
        <v>2104642.2903412664</v>
      </c>
      <c r="N201" s="57">
        <v>3756075</v>
      </c>
    </row>
    <row r="202" spans="2:14" x14ac:dyDescent="0.25">
      <c r="B202" s="51" t="s">
        <v>102</v>
      </c>
      <c r="C202" s="52">
        <f>AVERAGE('Petrolina SBPL'!AL4:AL15)</f>
        <v>0.4958333333333334</v>
      </c>
      <c r="D202" s="52">
        <f>AVERAGE('Petrolina SBPL'!AL16:AL40)</f>
        <v>0.56120000000000003</v>
      </c>
      <c r="E202" s="52">
        <f>AVERAGE('Petrolina SBPL'!AL41:AL49)</f>
        <v>0.71555555555555561</v>
      </c>
      <c r="F202" s="52">
        <f>AVERAGE('Petrolina SBPL'!AL50:AL56)</f>
        <v>0.5714285714285714</v>
      </c>
      <c r="G202" s="64">
        <f t="shared" si="20"/>
        <v>2.3440174603174606</v>
      </c>
      <c r="I202" s="54">
        <v>0.38468118758382802</v>
      </c>
      <c r="J202" s="55">
        <v>0.157673260218196</v>
      </c>
      <c r="K202" s="55">
        <v>0.15128525858868799</v>
      </c>
      <c r="L202" s="55">
        <v>0.30636029360928602</v>
      </c>
      <c r="M202" s="65">
        <f t="shared" si="21"/>
        <v>2115512.7559412657</v>
      </c>
      <c r="N202" s="57">
        <v>3760644</v>
      </c>
    </row>
    <row r="203" spans="2:14" x14ac:dyDescent="0.25">
      <c r="B203" s="51" t="s">
        <v>103</v>
      </c>
      <c r="C203" s="52">
        <f>AVERAGE('Imperatriz SBIZ'!AL4:AL15)</f>
        <v>0.4958333333333334</v>
      </c>
      <c r="D203" s="52">
        <f>AVERAGE('Imperatriz SBIZ'!AL16:AL40)</f>
        <v>0.56679999999999997</v>
      </c>
      <c r="E203" s="52">
        <f>AVERAGE('Imperatriz SBIZ'!AL41:AL49)</f>
        <v>0.72666666666666668</v>
      </c>
      <c r="F203" s="52">
        <f>AVERAGE('Imperatriz SBIZ'!AL50:AL56)</f>
        <v>0.6071428571428571</v>
      </c>
      <c r="G203" s="64">
        <f t="shared" si="20"/>
        <v>2.3964428571428571</v>
      </c>
      <c r="I203" s="54">
        <v>0.39374873606472999</v>
      </c>
      <c r="J203" s="55">
        <v>0.14900405303043701</v>
      </c>
      <c r="K203" s="55">
        <v>0.14366551706962399</v>
      </c>
      <c r="L203" s="55">
        <v>0.31358169383520701</v>
      </c>
      <c r="M203" s="65">
        <f t="shared" si="21"/>
        <v>2110644.399053494</v>
      </c>
      <c r="N203" s="57">
        <v>3674040</v>
      </c>
    </row>
    <row r="204" spans="2:14" x14ac:dyDescent="0.25">
      <c r="B204" s="193" t="s">
        <v>81</v>
      </c>
      <c r="C204" s="52"/>
      <c r="D204" s="52"/>
      <c r="E204" s="52"/>
      <c r="F204" s="52"/>
      <c r="G204" s="64">
        <f>SUM(G198:G203)</f>
        <v>13.566231746031745</v>
      </c>
      <c r="I204" s="224"/>
      <c r="J204" s="225"/>
      <c r="K204" s="225"/>
      <c r="L204" s="227"/>
      <c r="M204" s="63">
        <f>SUM(M198:M203)</f>
        <v>12342738.828686686</v>
      </c>
      <c r="N204" s="7">
        <f>SUM(N198:N203)</f>
        <v>22886781</v>
      </c>
    </row>
    <row r="205" spans="2:14" ht="15.75" thickBot="1" x14ac:dyDescent="0.3">
      <c r="B205" s="195" t="s">
        <v>1620</v>
      </c>
      <c r="C205" s="221">
        <f>AVERAGE(C198:F203)</f>
        <v>0.56525965608465623</v>
      </c>
      <c r="D205" s="222"/>
      <c r="E205" s="222"/>
      <c r="F205" s="222"/>
      <c r="G205" s="223"/>
      <c r="I205" s="215"/>
      <c r="J205" s="216"/>
      <c r="K205" s="216"/>
      <c r="L205" s="216"/>
      <c r="M205" s="216"/>
      <c r="N205" s="217"/>
    </row>
    <row r="206" spans="2:14" ht="15.75" thickBot="1" x14ac:dyDescent="0.3"/>
    <row r="207" spans="2:14" ht="15.75" thickBot="1" x14ac:dyDescent="0.3">
      <c r="B207" s="197" t="s">
        <v>20</v>
      </c>
      <c r="C207" s="198"/>
      <c r="D207" s="198"/>
      <c r="E207" s="198"/>
      <c r="F207" s="198"/>
      <c r="G207" s="199"/>
      <c r="H207" s="36"/>
      <c r="I207" s="197" t="s">
        <v>27</v>
      </c>
      <c r="J207" s="198"/>
      <c r="K207" s="198"/>
      <c r="L207" s="198"/>
      <c r="M207" s="198"/>
      <c r="N207" s="199"/>
    </row>
    <row r="208" spans="2:14" x14ac:dyDescent="0.25">
      <c r="B208" s="200" t="s">
        <v>117</v>
      </c>
      <c r="C208" s="201"/>
      <c r="D208" s="201"/>
      <c r="E208" s="201"/>
      <c r="F208" s="201"/>
      <c r="G208" s="202"/>
      <c r="I208" s="229" t="s">
        <v>118</v>
      </c>
      <c r="J208" s="230"/>
      <c r="K208" s="230"/>
      <c r="L208" s="230"/>
      <c r="M208" s="230"/>
      <c r="N208" s="231"/>
    </row>
    <row r="209" spans="2:15" x14ac:dyDescent="0.25">
      <c r="B209" s="5"/>
      <c r="C209" s="6" t="s">
        <v>133</v>
      </c>
      <c r="D209" s="4" t="s">
        <v>24</v>
      </c>
      <c r="E209" s="4" t="s">
        <v>23</v>
      </c>
      <c r="F209" s="4" t="s">
        <v>25</v>
      </c>
      <c r="G209" s="14" t="s">
        <v>26</v>
      </c>
      <c r="I209" s="6" t="s">
        <v>133</v>
      </c>
      <c r="J209" s="13" t="s">
        <v>24</v>
      </c>
      <c r="K209" s="13" t="s">
        <v>23</v>
      </c>
      <c r="L209" s="13" t="s">
        <v>25</v>
      </c>
      <c r="M209" s="17" t="s">
        <v>28</v>
      </c>
      <c r="N209" s="21" t="s">
        <v>132</v>
      </c>
    </row>
    <row r="210" spans="2:15" x14ac:dyDescent="0.25">
      <c r="B210" s="6" t="s">
        <v>82</v>
      </c>
      <c r="C210" s="11">
        <f>AVERAGE('Curitiba SBCT'!AQ4:AQ15)</f>
        <v>0.22499999999999998</v>
      </c>
      <c r="D210" s="11">
        <f>AVERAGE('Curitiba SBCT'!AQ16:AQ40)</f>
        <v>0.66280000000000006</v>
      </c>
      <c r="E210" s="11">
        <f>AVERAGE('Curitiba SBCT'!AQ41:AQ49)</f>
        <v>0.88111111111111107</v>
      </c>
      <c r="F210" s="11">
        <f>AVERAGE('Curitiba SBCT'!AQ50:AQ56)</f>
        <v>0.7142857142857143</v>
      </c>
      <c r="G210" s="23">
        <f t="shared" ref="G210:G215" si="22">SUM(C210:F210)</f>
        <v>2.4831968253968255</v>
      </c>
      <c r="I210" s="48">
        <v>0.24897463112249099</v>
      </c>
      <c r="J210" s="47">
        <v>0.521117024629145</v>
      </c>
      <c r="K210" s="47">
        <v>0.149691161933732</v>
      </c>
      <c r="L210" s="47">
        <v>8.0217182314631194E-2</v>
      </c>
      <c r="M210" s="18">
        <f t="shared" ref="M210:M215" si="23">(I210*C210+J210*D210+K210*E210+L210*F210)*N210</f>
        <v>6509157.4491954083</v>
      </c>
      <c r="N210" s="7">
        <v>11021109.369999999</v>
      </c>
    </row>
    <row r="211" spans="2:15" x14ac:dyDescent="0.25">
      <c r="B211" s="6" t="s">
        <v>83</v>
      </c>
      <c r="C211" s="11">
        <f>AVERAGE('Foz do Iguaçú SBFI'!AQ4:AQ15)</f>
        <v>0.22166666666666665</v>
      </c>
      <c r="D211" s="11">
        <f>AVERAGE('Foz do Iguaçú SBFI'!AQ16:AQ40)</f>
        <v>0.66079999999999994</v>
      </c>
      <c r="E211" s="11">
        <f>AVERAGE('Foz do Iguaçú SBFI'!AQ41:AQ49)</f>
        <v>0.84777777777777785</v>
      </c>
      <c r="F211" s="11">
        <f>AVERAGE('Foz do Iguaçú SBFI'!AQ50:AQ56)</f>
        <v>0.7142857142857143</v>
      </c>
      <c r="G211" s="23">
        <f t="shared" si="22"/>
        <v>2.4445301587301587</v>
      </c>
      <c r="I211" s="48">
        <v>0.24915115590137499</v>
      </c>
      <c r="J211" s="47">
        <v>0.50177739021862899</v>
      </c>
      <c r="K211" s="47">
        <v>0.15944017601888499</v>
      </c>
      <c r="L211" s="47">
        <v>8.9674133786430604E-2</v>
      </c>
      <c r="M211" s="18">
        <f t="shared" si="23"/>
        <v>4051622.3660959201</v>
      </c>
      <c r="N211" s="7">
        <v>6913726.9900000002</v>
      </c>
    </row>
    <row r="212" spans="2:15" x14ac:dyDescent="0.25">
      <c r="B212" s="6" t="s">
        <v>84</v>
      </c>
      <c r="C212" s="11">
        <f>AVERAGE('Navegantes SBNF'!AQ4:AQ15)</f>
        <v>0.20833333333333334</v>
      </c>
      <c r="D212" s="11">
        <f>AVERAGE('Navegantes SBNF'!AQ16:AQ40)</f>
        <v>0.6432000000000001</v>
      </c>
      <c r="E212" s="11">
        <f>AVERAGE('Navegantes SBNF'!AQ41:AQ49)</f>
        <v>0.88444444444444448</v>
      </c>
      <c r="F212" s="11">
        <f>AVERAGE('Navegantes SBNF'!AQ50:AQ56)</f>
        <v>0.79285714285714282</v>
      </c>
      <c r="G212" s="23">
        <f t="shared" si="22"/>
        <v>2.5288349206349205</v>
      </c>
      <c r="I212" s="48">
        <v>0.250360273880116</v>
      </c>
      <c r="J212" s="47">
        <v>0.49877618115957001</v>
      </c>
      <c r="K212" s="47">
        <v>0.16091683343294799</v>
      </c>
      <c r="L212" s="47">
        <v>8.99467115273649E-2</v>
      </c>
      <c r="M212" s="18">
        <f t="shared" si="23"/>
        <v>3000405.4615985989</v>
      </c>
      <c r="N212" s="7">
        <v>5114837.91</v>
      </c>
    </row>
    <row r="213" spans="2:15" x14ac:dyDescent="0.25">
      <c r="B213" s="6" t="s">
        <v>85</v>
      </c>
      <c r="C213" s="11">
        <f>AVERAGE('Londrina SBLO'!AQ4:AQ15)</f>
        <v>0.22083333333333333</v>
      </c>
      <c r="D213" s="11">
        <f>AVERAGE('Londrina SBLO'!AQ16:AQ40)</f>
        <v>0.66880000000000006</v>
      </c>
      <c r="E213" s="11">
        <f>AVERAGE('Londrina SBLO'!AQ41:AQ49)</f>
        <v>0.89888888888888885</v>
      </c>
      <c r="F213" s="11">
        <f>AVERAGE('Londrina SBLO'!AQ50:AQ56)</f>
        <v>0.76428571428571423</v>
      </c>
      <c r="G213" s="23">
        <f t="shared" si="22"/>
        <v>2.5528079365079366</v>
      </c>
      <c r="I213" s="48">
        <v>0.250019784227138</v>
      </c>
      <c r="J213" s="47">
        <v>0.48081249207001397</v>
      </c>
      <c r="K213" s="47">
        <v>0.169319454412864</v>
      </c>
      <c r="L213" s="47">
        <v>9.9848269289983901E-2</v>
      </c>
      <c r="M213" s="18">
        <f t="shared" si="23"/>
        <v>1861915.6789502217</v>
      </c>
      <c r="N213" s="7">
        <v>3076061.53</v>
      </c>
    </row>
    <row r="214" spans="2:15" x14ac:dyDescent="0.25">
      <c r="B214" s="6" t="s">
        <v>86</v>
      </c>
      <c r="C214" s="11">
        <f>AVERAGE('Joinville SBJV'!AQ4:AQ15)</f>
        <v>0.2191666666666667</v>
      </c>
      <c r="D214" s="11">
        <f>AVERAGE('Joinville SBJV'!AQ16:AQ40)</f>
        <v>0.65600000000000014</v>
      </c>
      <c r="E214" s="11">
        <f>AVERAGE('Joinville SBJV'!AQ41:AQ49)</f>
        <v>0.89666666666666672</v>
      </c>
      <c r="F214" s="11">
        <f>AVERAGE('Joinville SBJV'!AQ50:AQ56)</f>
        <v>0.72142857142857142</v>
      </c>
      <c r="G214" s="23">
        <f t="shared" si="22"/>
        <v>2.4932619047619049</v>
      </c>
      <c r="I214" s="48">
        <v>0.250019784227138</v>
      </c>
      <c r="J214" s="47">
        <v>0.48081249207001397</v>
      </c>
      <c r="K214" s="47">
        <v>0.169319454412864</v>
      </c>
      <c r="L214" s="47">
        <v>9.9848269289983901E-2</v>
      </c>
      <c r="M214" s="18">
        <f t="shared" si="23"/>
        <v>1827382.0387599999</v>
      </c>
      <c r="N214" s="7">
        <v>3076061.53</v>
      </c>
    </row>
    <row r="215" spans="2:15" x14ac:dyDescent="0.25">
      <c r="B215" s="6" t="s">
        <v>87</v>
      </c>
      <c r="C215" s="11">
        <f>AVERAGE('Bacacheri SBBI'!AQ4:AQ15)</f>
        <v>0.24583333333333332</v>
      </c>
      <c r="D215" s="11">
        <f>AVERAGE('Bacacheri SBBI'!AQ16:AQ40)</f>
        <v>0.66480000000000006</v>
      </c>
      <c r="E215" s="11">
        <f>AVERAGE('Bacacheri SBBI'!AQ41:AQ49)</f>
        <v>0.90000000000000013</v>
      </c>
      <c r="F215" s="11">
        <f>AVERAGE('Bacacheri SBBI'!AQ50:AQ56)</f>
        <v>0.7142857142857143</v>
      </c>
      <c r="G215" s="23">
        <f t="shared" si="22"/>
        <v>2.524919047619048</v>
      </c>
      <c r="I215" s="48">
        <v>0.25085570563777498</v>
      </c>
      <c r="J215" s="47">
        <v>0.47774824751033101</v>
      </c>
      <c r="K215" s="47">
        <v>0.17186681482078001</v>
      </c>
      <c r="L215" s="47">
        <v>9.9529232031111803E-2</v>
      </c>
      <c r="M215" s="18">
        <f t="shared" si="23"/>
        <v>211399.55331966619</v>
      </c>
      <c r="N215" s="7">
        <v>349392.93</v>
      </c>
    </row>
    <row r="216" spans="2:15" x14ac:dyDescent="0.25">
      <c r="B216" s="6" t="s">
        <v>88</v>
      </c>
      <c r="C216" s="11">
        <f>AVERAGE('Pelotas SBPK'!AQ4:AQ15)</f>
        <v>0.24166666666666661</v>
      </c>
      <c r="D216" s="11">
        <f>AVERAGE('Pelotas SBPK'!AQ16:AQ40)</f>
        <v>0.67760000000000009</v>
      </c>
      <c r="E216" s="11">
        <f>AVERAGE('Pelotas SBPK'!AQ41:AQ49)</f>
        <v>0.90777777777777779</v>
      </c>
      <c r="F216" s="11">
        <f>AVERAGE('Pelotas SBPK'!AQ50:AQ56)</f>
        <v>0.85</v>
      </c>
      <c r="G216" s="23">
        <f>SUM(C216:F216)</f>
        <v>2.6770444444444443</v>
      </c>
      <c r="I216" s="48">
        <v>0.25010487077501498</v>
      </c>
      <c r="J216" s="47">
        <v>0.47987046029139202</v>
      </c>
      <c r="K216" s="47">
        <v>0.16995301068999799</v>
      </c>
      <c r="L216" s="47">
        <v>0.100071658243593</v>
      </c>
      <c r="M216" s="18">
        <f>(I216*C216+J216*D216+K216*E216+L216*F216)*N216</f>
        <v>784345.87239088712</v>
      </c>
      <c r="N216" s="7">
        <v>1255068.44</v>
      </c>
    </row>
    <row r="217" spans="2:15" x14ac:dyDescent="0.25">
      <c r="B217" s="6" t="s">
        <v>89</v>
      </c>
      <c r="C217" s="11">
        <f>AVERAGE('Uruguaiana SBUG'!AQ4:AQ15)</f>
        <v>0.2583333333333333</v>
      </c>
      <c r="D217" s="11">
        <f>AVERAGE('Uruguaiana SBUG'!AQ16:AQ40)</f>
        <v>0.68400000000000005</v>
      </c>
      <c r="E217" s="11">
        <f>AVERAGE('Uruguaiana SBUG'!AQ41:AQ49)</f>
        <v>0.87111111111111106</v>
      </c>
      <c r="F217" s="11">
        <f>AVERAGE('Uruguaiana SBUG'!AQ50:AQ56)</f>
        <v>0.83571428571428563</v>
      </c>
      <c r="G217" s="23">
        <f>SUM(C217:F217)</f>
        <v>2.6491587301587298</v>
      </c>
      <c r="I217" s="48">
        <v>0.25010487077501498</v>
      </c>
      <c r="J217" s="47">
        <v>0.47987046029139202</v>
      </c>
      <c r="K217" s="47">
        <v>0.16995301068999799</v>
      </c>
      <c r="L217" s="47">
        <v>0.100071658243593</v>
      </c>
      <c r="M217" s="18">
        <f>(I217*C217+J217*D217+K217*E217+L217*F217)*N217</f>
        <v>783816.71037126798</v>
      </c>
      <c r="N217" s="7">
        <v>1255068.44</v>
      </c>
    </row>
    <row r="218" spans="2:15" x14ac:dyDescent="0.25">
      <c r="B218" s="6" t="s">
        <v>90</v>
      </c>
      <c r="C218" s="11">
        <f>AVERAGE('Bagé SBBG'!AQ4:AQ15)</f>
        <v>0.24583333333333332</v>
      </c>
      <c r="D218" s="11">
        <f>AVERAGE('Bagé SBBG'!AQ16:AQ40)</f>
        <v>0.6956</v>
      </c>
      <c r="E218" s="11">
        <f>AVERAGE('Bagé SBBG'!AQ41:AQ49)</f>
        <v>0.89666666666666672</v>
      </c>
      <c r="F218" s="11">
        <f>AVERAGE('Bagé SBBG'!AQ50:AQ56)</f>
        <v>0.85</v>
      </c>
      <c r="G218" s="23">
        <f>SUM(C218:F218)</f>
        <v>2.6880999999999999</v>
      </c>
      <c r="I218" s="48">
        <v>0.249546045466425</v>
      </c>
      <c r="J218" s="47">
        <v>0.48032951196790502</v>
      </c>
      <c r="K218" s="47">
        <v>0.17002387225259299</v>
      </c>
      <c r="L218" s="47">
        <v>0.100100570313075</v>
      </c>
      <c r="M218" s="18">
        <f>(I218*C218+J218*D218+K218*E218+L218*F218)*N218</f>
        <v>561809.12600404059</v>
      </c>
      <c r="N218" s="7">
        <v>887528.32</v>
      </c>
    </row>
    <row r="219" spans="2:15" x14ac:dyDescent="0.25">
      <c r="B219" s="193" t="s">
        <v>79</v>
      </c>
      <c r="C219" s="11"/>
      <c r="D219" s="11"/>
      <c r="E219" s="11"/>
      <c r="F219" s="11"/>
      <c r="G219" s="15">
        <f>SUM(G210:G218)</f>
        <v>23.041853968253967</v>
      </c>
      <c r="I219" s="224"/>
      <c r="J219" s="225"/>
      <c r="K219" s="225"/>
      <c r="L219" s="227"/>
      <c r="M219" s="18">
        <f>SUM(M210:M218)</f>
        <v>19591854.256686013</v>
      </c>
      <c r="N219" s="7">
        <f>SUM(N210:N218)</f>
        <v>32948855.460000005</v>
      </c>
    </row>
    <row r="220" spans="2:15" x14ac:dyDescent="0.25">
      <c r="B220" s="194" t="s">
        <v>1620</v>
      </c>
      <c r="C220" s="209">
        <f>AVERAGE(C210:F218)</f>
        <v>0.64005149911816595</v>
      </c>
      <c r="D220" s="210"/>
      <c r="E220" s="210"/>
      <c r="F220" s="210"/>
      <c r="G220" s="211"/>
      <c r="I220" s="224"/>
      <c r="J220" s="225"/>
      <c r="K220" s="225"/>
      <c r="L220" s="225"/>
      <c r="M220" s="225"/>
      <c r="N220" s="226"/>
      <c r="O220" s="69"/>
    </row>
    <row r="221" spans="2:15" x14ac:dyDescent="0.25">
      <c r="B221" s="31"/>
      <c r="C221" s="32"/>
      <c r="D221" s="32"/>
      <c r="E221" s="32"/>
      <c r="F221" s="32"/>
      <c r="G221" s="33"/>
      <c r="I221" s="31"/>
      <c r="J221" s="32"/>
      <c r="K221" s="32"/>
      <c r="L221" s="32"/>
      <c r="M221" s="32"/>
      <c r="N221" s="33"/>
    </row>
    <row r="222" spans="2:15" x14ac:dyDescent="0.25">
      <c r="B222" s="6" t="s">
        <v>91</v>
      </c>
      <c r="C222" s="11">
        <f>AVERAGE('Manaus SBEG'!AQ4:AQ15)</f>
        <v>0.22083333333333333</v>
      </c>
      <c r="D222" s="11">
        <f>AVERAGE('Manaus SBEG'!AQ16:AQ40)</f>
        <v>0.63119999999999998</v>
      </c>
      <c r="E222" s="11">
        <f>AVERAGE('Manaus SBEG'!AQ41:AQ49)</f>
        <v>0.84666666666666668</v>
      </c>
      <c r="F222" s="11">
        <f>AVERAGE('Manaus SBEG'!AQ50:AQ56)</f>
        <v>0.73571428571428577</v>
      </c>
      <c r="G222" s="23">
        <f t="shared" ref="G222:G228" si="24">SUM(C222:F222)</f>
        <v>2.4344142857142859</v>
      </c>
      <c r="I222" s="48">
        <v>0.24967644373800399</v>
      </c>
      <c r="J222" s="47">
        <v>0.52019380549519201</v>
      </c>
      <c r="K222" s="47">
        <v>0.15021713489793101</v>
      </c>
      <c r="L222" s="47">
        <v>7.9912615868871897E-2</v>
      </c>
      <c r="M222" s="18">
        <f t="shared" ref="M222:M228" si="25">(I222*C222+J222*D222+K222*E222+L222*F222)*N222</f>
        <v>3596530.3844929012</v>
      </c>
      <c r="N222" s="7">
        <v>6315686.7599999998</v>
      </c>
    </row>
    <row r="223" spans="2:15" x14ac:dyDescent="0.25">
      <c r="B223" s="6" t="s">
        <v>92</v>
      </c>
      <c r="C223" s="11">
        <f>AVERAGE('Porto Velho SBPV'!AQ4:AQ15)</f>
        <v>0.22499999999999998</v>
      </c>
      <c r="D223" s="11">
        <f>AVERAGE('Porto Velho SBPV'!AQ16:AQ40)</f>
        <v>0.66400000000000003</v>
      </c>
      <c r="E223" s="11">
        <f>AVERAGE('Porto Velho SBPV'!AQ41:AQ49)</f>
        <v>0.91333333333333344</v>
      </c>
      <c r="F223" s="11">
        <f>AVERAGE('Porto Velho SBPV'!AQ50:AQ56)</f>
        <v>0.83571428571428563</v>
      </c>
      <c r="G223" s="23">
        <f t="shared" si="24"/>
        <v>2.6380476190476188</v>
      </c>
      <c r="I223" s="48">
        <v>0.24981776319649801</v>
      </c>
      <c r="J223" s="47">
        <v>0.49905208962407499</v>
      </c>
      <c r="K223" s="47">
        <v>0.16118041848072501</v>
      </c>
      <c r="L223" s="47">
        <v>8.99497286987017E-2</v>
      </c>
      <c r="M223" s="18">
        <f t="shared" si="25"/>
        <v>2925224.3289966658</v>
      </c>
      <c r="N223" s="7">
        <v>4795738.2</v>
      </c>
    </row>
    <row r="224" spans="2:15" x14ac:dyDescent="0.25">
      <c r="B224" s="6" t="s">
        <v>93</v>
      </c>
      <c r="C224" s="11">
        <f>AVERAGE('Rio Branco SBRB'!AQ4:AQ15)</f>
        <v>0.2583333333333333</v>
      </c>
      <c r="D224" s="11">
        <f>AVERAGE('Rio Branco SBRB'!AQ16:AQ40)</f>
        <v>0.6764</v>
      </c>
      <c r="E224" s="11">
        <f>AVERAGE('Rio Branco SBRB'!AQ41:AQ49)</f>
        <v>0.88</v>
      </c>
      <c r="F224" s="11">
        <f>AVERAGE('Rio Branco SBRB'!AQ50:AQ56)</f>
        <v>0.83571428571428563</v>
      </c>
      <c r="G224" s="23">
        <f t="shared" si="24"/>
        <v>2.6504476190476192</v>
      </c>
      <c r="I224" s="48">
        <f>1198078.2/4795755.81</f>
        <v>0.24982051786327295</v>
      </c>
      <c r="J224" s="47">
        <f>2393323.17/4795755.81</f>
        <v>0.49905025710639761</v>
      </c>
      <c r="K224" s="47">
        <f>772979.09/4795755.81</f>
        <v>0.16117982662674396</v>
      </c>
      <c r="L224" s="47">
        <f>431375.35/4795755.81</f>
        <v>8.9949398403585526E-2</v>
      </c>
      <c r="M224" s="18">
        <f t="shared" si="25"/>
        <v>2969075.4688879997</v>
      </c>
      <c r="N224" s="7">
        <v>4795755.8099999996</v>
      </c>
    </row>
    <row r="225" spans="2:14" x14ac:dyDescent="0.25">
      <c r="B225" s="6" t="s">
        <v>94</v>
      </c>
      <c r="C225" s="11">
        <f>AVERAGE('Cruzeiro do Sul SBCZ'!AQ4:AQ15)</f>
        <v>0.25416666666666665</v>
      </c>
      <c r="D225" s="11">
        <f>AVERAGE('Cruzeiro do Sul SBCZ'!AQ16:AQ40)</f>
        <v>0.66920000000000002</v>
      </c>
      <c r="E225" s="11">
        <f>AVERAGE('Cruzeiro do Sul SBCZ'!AQ41:AQ49)</f>
        <v>0.88555555555555554</v>
      </c>
      <c r="F225" s="11">
        <f>AVERAGE('Cruzeiro do Sul SBCZ'!AQ50:AQ56)</f>
        <v>0.83571428571428563</v>
      </c>
      <c r="G225" s="23">
        <f t="shared" si="24"/>
        <v>2.6446365079365082</v>
      </c>
      <c r="I225" s="48">
        <v>0.319772682977153</v>
      </c>
      <c r="J225" s="47">
        <v>0.33198314742565599</v>
      </c>
      <c r="K225" s="47">
        <v>0.22018347843542899</v>
      </c>
      <c r="L225" s="47">
        <v>0.12806069116176</v>
      </c>
      <c r="M225" s="18">
        <f t="shared" si="25"/>
        <v>1345888.2021363489</v>
      </c>
      <c r="N225" s="7">
        <v>2222971.5699999998</v>
      </c>
    </row>
    <row r="226" spans="2:14" x14ac:dyDescent="0.25">
      <c r="B226" s="6" t="s">
        <v>95</v>
      </c>
      <c r="C226" s="11">
        <f>AVERAGE('Tabatinga SBTT'!AQ4:AQ15)</f>
        <v>0.25416666666666665</v>
      </c>
      <c r="D226" s="11">
        <f>AVERAGE('Tabatinga SBTT'!AQ16:AQ40)</f>
        <v>0.67440000000000011</v>
      </c>
      <c r="E226" s="11">
        <f>AVERAGE('Tabatinga SBTT'!AQ41:AQ49)</f>
        <v>0.91666666666666663</v>
      </c>
      <c r="F226" s="11">
        <f>AVERAGE('Tabatinga SBTT'!AQ50:AQ56)</f>
        <v>0.83571428571428563</v>
      </c>
      <c r="G226" s="23">
        <f t="shared" si="24"/>
        <v>2.6809476190476191</v>
      </c>
      <c r="I226" s="48">
        <v>0.24916045836137601</v>
      </c>
      <c r="J226" s="47">
        <v>0.48031686539768997</v>
      </c>
      <c r="K226" s="47">
        <v>0.17075228122394701</v>
      </c>
      <c r="L226" s="47">
        <v>9.9770395016985702E-2</v>
      </c>
      <c r="M226" s="18">
        <f t="shared" si="25"/>
        <v>1090848.8604646178</v>
      </c>
      <c r="N226" s="7">
        <v>1739356.85</v>
      </c>
    </row>
    <row r="227" spans="2:14" x14ac:dyDescent="0.25">
      <c r="B227" s="6" t="s">
        <v>96</v>
      </c>
      <c r="C227" s="11">
        <f>AVERAGE('Tefé SBTF'!AQ4:AQ15)</f>
        <v>0.25416666666666665</v>
      </c>
      <c r="D227" s="11">
        <f>AVERAGE('Tefé SBTF'!AQ16:AQ40)</f>
        <v>0.67520000000000013</v>
      </c>
      <c r="E227" s="11">
        <f>AVERAGE('Tefé SBTF'!AQ41:AQ49)</f>
        <v>0.91888888888888887</v>
      </c>
      <c r="F227" s="11">
        <f>AVERAGE('Tefé SBTF'!AQ50:AQ56)</f>
        <v>0.85</v>
      </c>
      <c r="G227" s="23">
        <f t="shared" si="24"/>
        <v>2.6982555555555559</v>
      </c>
      <c r="I227" s="48">
        <v>0.24848362154422701</v>
      </c>
      <c r="J227" s="47">
        <v>0.48071515190645198</v>
      </c>
      <c r="K227" s="47">
        <v>0.17121882067739599</v>
      </c>
      <c r="L227" s="47">
        <v>9.9582405871923199E-2</v>
      </c>
      <c r="M227" s="18">
        <f t="shared" si="25"/>
        <v>1399581.5640306647</v>
      </c>
      <c r="N227" s="7">
        <v>2222576.75</v>
      </c>
    </row>
    <row r="228" spans="2:14" x14ac:dyDescent="0.25">
      <c r="B228" s="6" t="s">
        <v>97</v>
      </c>
      <c r="C228" s="11">
        <f>AVERAGE('Boa Vista SBBV'!AQ4:AQ15)</f>
        <v>0.23333333333333331</v>
      </c>
      <c r="D228" s="11">
        <f>AVERAGE('Boa Vista SBBV'!AQ16:AQ40)</f>
        <v>0.65280000000000005</v>
      </c>
      <c r="E228" s="11">
        <f>AVERAGE('Boa Vista SBBV'!AQ41:AQ49)</f>
        <v>0.8933333333333332</v>
      </c>
      <c r="F228" s="11">
        <f>AVERAGE('Boa Vista SBBV'!AQ50:AQ56)</f>
        <v>0.83571428571428563</v>
      </c>
      <c r="G228" s="23">
        <f t="shared" si="24"/>
        <v>2.6151809523809524</v>
      </c>
      <c r="I228" s="48">
        <v>0.24981795090867501</v>
      </c>
      <c r="J228" s="47">
        <v>0.49905196475021102</v>
      </c>
      <c r="K228" s="47">
        <v>0.161180378149821</v>
      </c>
      <c r="L228" s="47">
        <v>8.9949706191291404E-2</v>
      </c>
      <c r="M228" s="18">
        <f t="shared" si="25"/>
        <v>2892943.6459426614</v>
      </c>
      <c r="N228" s="7">
        <v>4795739.4000000004</v>
      </c>
    </row>
    <row r="229" spans="2:14" x14ac:dyDescent="0.25">
      <c r="B229" s="193" t="s">
        <v>80</v>
      </c>
      <c r="C229" s="11"/>
      <c r="D229" s="11"/>
      <c r="E229" s="11"/>
      <c r="F229" s="11"/>
      <c r="G229" s="15">
        <f>SUM(G222:G228)</f>
        <v>18.361930158730161</v>
      </c>
      <c r="I229" s="206"/>
      <c r="J229" s="207"/>
      <c r="K229" s="207"/>
      <c r="L229" s="208"/>
      <c r="M229" s="18">
        <f>SUM(M222:M228)</f>
        <v>16220092.454951858</v>
      </c>
      <c r="N229" s="7">
        <f>SUM(N222:N228)</f>
        <v>26887825.340000004</v>
      </c>
    </row>
    <row r="230" spans="2:14" ht="15.75" thickBot="1" x14ac:dyDescent="0.3">
      <c r="B230" s="195" t="s">
        <v>1620</v>
      </c>
      <c r="C230" s="212">
        <f>AVERAGE(C222:F228)</f>
        <v>0.6557832199546485</v>
      </c>
      <c r="D230" s="213"/>
      <c r="E230" s="213"/>
      <c r="F230" s="213"/>
      <c r="G230" s="214"/>
      <c r="I230" s="215"/>
      <c r="J230" s="216"/>
      <c r="K230" s="216"/>
      <c r="L230" s="216"/>
      <c r="M230" s="216"/>
      <c r="N230" s="217"/>
    </row>
  </sheetData>
  <mergeCells count="59">
    <mergeCell ref="I45:L45"/>
    <mergeCell ref="I55:L55"/>
    <mergeCell ref="I64:L64"/>
    <mergeCell ref="I79:L79"/>
    <mergeCell ref="I89:L89"/>
    <mergeCell ref="I56:N56"/>
    <mergeCell ref="I46:N46"/>
    <mergeCell ref="I80:N80"/>
    <mergeCell ref="I68:N68"/>
    <mergeCell ref="C80:G80"/>
    <mergeCell ref="C90:G90"/>
    <mergeCell ref="C220:G220"/>
    <mergeCell ref="I90:N90"/>
    <mergeCell ref="B92:G92"/>
    <mergeCell ref="I92:N92"/>
    <mergeCell ref="B93:G93"/>
    <mergeCell ref="I93:N93"/>
    <mergeCell ref="B123:G123"/>
    <mergeCell ref="I123:N123"/>
    <mergeCell ref="B124:G124"/>
    <mergeCell ref="I124:N124"/>
    <mergeCell ref="B154:G154"/>
    <mergeCell ref="I154:N154"/>
    <mergeCell ref="B155:G155"/>
    <mergeCell ref="I155:N155"/>
    <mergeCell ref="C230:G230"/>
    <mergeCell ref="C196:G196"/>
    <mergeCell ref="C205:G205"/>
    <mergeCell ref="I230:N230"/>
    <mergeCell ref="I220:N220"/>
    <mergeCell ref="I205:N205"/>
    <mergeCell ref="I204:L204"/>
    <mergeCell ref="I229:L229"/>
    <mergeCell ref="I219:L219"/>
    <mergeCell ref="I196:N196"/>
    <mergeCell ref="B207:G207"/>
    <mergeCell ref="I207:N207"/>
    <mergeCell ref="B208:G208"/>
    <mergeCell ref="I208:N208"/>
    <mergeCell ref="B2:G2"/>
    <mergeCell ref="I33:N33"/>
    <mergeCell ref="I2:N2"/>
    <mergeCell ref="I3:N3"/>
    <mergeCell ref="I34:N34"/>
    <mergeCell ref="B34:G34"/>
    <mergeCell ref="B3:G3"/>
    <mergeCell ref="B33:G33"/>
    <mergeCell ref="B67:G67"/>
    <mergeCell ref="I67:N67"/>
    <mergeCell ref="B68:G68"/>
    <mergeCell ref="C46:G46"/>
    <mergeCell ref="C56:G56"/>
    <mergeCell ref="C65:G65"/>
    <mergeCell ref="I65:N65"/>
    <mergeCell ref="B185:G185"/>
    <mergeCell ref="I185:N185"/>
    <mergeCell ref="B186:G186"/>
    <mergeCell ref="I186:N186"/>
    <mergeCell ref="I195:L195"/>
  </mergeCells>
  <pageMargins left="0.511811024" right="0.511811024" top="0.78740157499999996" bottom="0.78740157499999996" header="0.31496062000000002" footer="0.31496062000000002"/>
  <pageSetup paperSize="9" orientation="portrait" horizontalDpi="200" verticalDpi="2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56"/>
  <sheetViews>
    <sheetView zoomScale="60" zoomScaleNormal="60" workbookViewId="0">
      <pane xSplit="4" ySplit="3" topLeftCell="N8" activePane="bottomRight" state="frozen"/>
      <selection pane="topRight" activeCell="E1" sqref="E1"/>
      <selection pane="bottomLeft" activeCell="A4" sqref="A4"/>
      <selection pane="bottomRight" activeCell="S10" sqref="S10"/>
    </sheetView>
  </sheetViews>
  <sheetFormatPr defaultRowHeight="15" x14ac:dyDescent="0.25"/>
  <cols>
    <col min="1" max="1" width="4.42578125" style="73" bestFit="1" customWidth="1"/>
    <col min="2" max="2" width="16.5703125" style="74" bestFit="1" customWidth="1"/>
    <col min="3" max="3" width="20.7109375" style="74" customWidth="1"/>
    <col min="4" max="4" width="58.7109375" style="74" bestFit="1" customWidth="1"/>
    <col min="5" max="5" width="2.42578125" style="74" customWidth="1"/>
    <col min="6" max="6" width="20.140625" style="74" hidden="1" customWidth="1"/>
    <col min="7" max="7" width="14.28515625" style="74" hidden="1" customWidth="1"/>
    <col min="8" max="8" width="9.140625" style="74" hidden="1" customWidth="1"/>
    <col min="9" max="9" width="52.85546875" style="110" hidden="1" customWidth="1"/>
    <col min="10" max="10" width="1.85546875" style="74" hidden="1" customWidth="1"/>
    <col min="11" max="11" width="20.28515625" style="75" bestFit="1" customWidth="1"/>
    <col min="12" max="12" width="14.42578125" style="75" bestFit="1" customWidth="1"/>
    <col min="13" max="13" width="9.140625" style="75" customWidth="1"/>
    <col min="14" max="14" width="119.85546875" style="74" customWidth="1"/>
    <col min="15" max="15" width="1.5703125" style="74" customWidth="1"/>
    <col min="16" max="16" width="11.42578125" style="75" customWidth="1"/>
    <col min="17" max="17" width="14.42578125" style="75" bestFit="1" customWidth="1"/>
    <col min="18" max="18" width="9.140625" style="75" customWidth="1"/>
    <col min="19" max="19" width="110.5703125" style="74" customWidth="1"/>
    <col min="20" max="20" width="4.28515625" style="74" customWidth="1"/>
    <col min="21" max="21" width="14" style="74" hidden="1" customWidth="1"/>
    <col min="22" max="22" width="13.28515625" style="74" hidden="1" customWidth="1"/>
    <col min="23" max="23" width="0" style="74" hidden="1" customWidth="1"/>
    <col min="24" max="24" width="69.85546875" style="74" hidden="1" customWidth="1"/>
    <col min="25" max="25" width="0" style="74" hidden="1" customWidth="1"/>
    <col min="26" max="26" width="14.7109375" style="74" hidden="1" customWidth="1"/>
    <col min="27" max="27" width="16.7109375" style="74" hidden="1" customWidth="1"/>
    <col min="28" max="28" width="0" style="74" hidden="1" customWidth="1"/>
    <col min="29" max="29" width="76" style="74" hidden="1" customWidth="1"/>
    <col min="30" max="30" width="0" style="74" hidden="1" customWidth="1"/>
    <col min="31" max="31" width="15.140625" style="74" hidden="1" customWidth="1"/>
    <col min="32" max="32" width="15.7109375" style="74" hidden="1" customWidth="1"/>
    <col min="33" max="33" width="0" style="74" hidden="1" customWidth="1"/>
    <col min="34" max="34" width="69.28515625" style="74" hidden="1" customWidth="1"/>
    <col min="35" max="35" width="0" style="74" hidden="1" customWidth="1"/>
    <col min="36" max="36" width="16.5703125" style="74" hidden="1" customWidth="1"/>
    <col min="37" max="37" width="12.7109375" style="74" hidden="1" customWidth="1"/>
    <col min="38" max="38" width="0" style="74" hidden="1" customWidth="1"/>
    <col min="39" max="39" width="72.5703125" style="74" hidden="1" customWidth="1"/>
    <col min="40" max="40" width="0" style="74" hidden="1" customWidth="1"/>
    <col min="41" max="41" width="13.85546875" style="75" customWidth="1"/>
    <col min="42" max="42" width="12.7109375" style="75" customWidth="1"/>
    <col min="43" max="43" width="9.28515625" style="75" bestFit="1" customWidth="1"/>
    <col min="44" max="44" width="126.7109375" style="74" customWidth="1"/>
    <col min="45" max="16384" width="9.140625" style="74"/>
  </cols>
  <sheetData>
    <row r="1" spans="1:44" x14ac:dyDescent="0.25">
      <c r="I1" s="74"/>
    </row>
    <row r="2" spans="1:44" ht="39.75" customHeight="1" x14ac:dyDescent="0.25">
      <c r="B2" s="241" t="s">
        <v>16</v>
      </c>
      <c r="C2" s="241"/>
      <c r="D2" s="241"/>
      <c r="F2" s="240" t="s">
        <v>121</v>
      </c>
      <c r="G2" s="240"/>
      <c r="H2" s="240"/>
      <c r="I2" s="240"/>
      <c r="K2" s="242" t="s">
        <v>119</v>
      </c>
      <c r="L2" s="243"/>
      <c r="M2" s="243"/>
      <c r="N2" s="244"/>
      <c r="P2" s="241" t="s">
        <v>120</v>
      </c>
      <c r="Q2" s="241"/>
      <c r="R2" s="241"/>
      <c r="S2" s="241"/>
      <c r="U2" s="240" t="s">
        <v>122</v>
      </c>
      <c r="V2" s="240"/>
      <c r="W2" s="240"/>
      <c r="X2" s="240"/>
      <c r="Z2" s="240" t="s">
        <v>123</v>
      </c>
      <c r="AA2" s="240"/>
      <c r="AB2" s="240"/>
      <c r="AC2" s="240"/>
      <c r="AE2" s="240" t="s">
        <v>124</v>
      </c>
      <c r="AF2" s="240"/>
      <c r="AG2" s="240"/>
      <c r="AH2" s="240"/>
      <c r="AJ2" s="240" t="s">
        <v>125</v>
      </c>
      <c r="AK2" s="240"/>
      <c r="AL2" s="240"/>
      <c r="AM2" s="240"/>
      <c r="AO2" s="233" t="s">
        <v>1318</v>
      </c>
      <c r="AP2" s="233"/>
      <c r="AQ2" s="233"/>
      <c r="AR2" s="233"/>
    </row>
    <row r="3" spans="1:44" ht="64.5" customHeight="1" x14ac:dyDescent="0.25">
      <c r="A3" s="77"/>
      <c r="B3" s="79" t="s">
        <v>0</v>
      </c>
      <c r="C3" s="79" t="s">
        <v>1</v>
      </c>
      <c r="D3" s="79" t="s">
        <v>2</v>
      </c>
      <c r="E3" s="77"/>
      <c r="F3" s="124" t="s">
        <v>17</v>
      </c>
      <c r="G3" s="124" t="s">
        <v>18</v>
      </c>
      <c r="H3" s="124" t="s">
        <v>21</v>
      </c>
      <c r="I3" s="124" t="s">
        <v>19</v>
      </c>
      <c r="J3" s="77"/>
      <c r="K3" s="125" t="s">
        <v>17</v>
      </c>
      <c r="L3" s="125" t="s">
        <v>18</v>
      </c>
      <c r="M3" s="125" t="s">
        <v>21</v>
      </c>
      <c r="N3" s="124" t="s">
        <v>19</v>
      </c>
      <c r="O3" s="77"/>
      <c r="P3" s="125" t="s">
        <v>17</v>
      </c>
      <c r="Q3" s="125" t="s">
        <v>18</v>
      </c>
      <c r="R3" s="125" t="s">
        <v>21</v>
      </c>
      <c r="S3" s="124" t="s">
        <v>19</v>
      </c>
      <c r="T3" s="77"/>
      <c r="U3" s="124" t="s">
        <v>17</v>
      </c>
      <c r="V3" s="124" t="s">
        <v>18</v>
      </c>
      <c r="W3" s="124" t="s">
        <v>21</v>
      </c>
      <c r="X3" s="124" t="s">
        <v>19</v>
      </c>
      <c r="Y3" s="77"/>
      <c r="Z3" s="124" t="s">
        <v>17</v>
      </c>
      <c r="AA3" s="124" t="s">
        <v>18</v>
      </c>
      <c r="AB3" s="124" t="s">
        <v>21</v>
      </c>
      <c r="AC3" s="124" t="s">
        <v>19</v>
      </c>
      <c r="AD3" s="77"/>
      <c r="AE3" s="124" t="s">
        <v>17</v>
      </c>
      <c r="AF3" s="124" t="s">
        <v>18</v>
      </c>
      <c r="AG3" s="124" t="s">
        <v>21</v>
      </c>
      <c r="AH3" s="124" t="s">
        <v>19</v>
      </c>
      <c r="AI3" s="77"/>
      <c r="AJ3" s="124" t="s">
        <v>17</v>
      </c>
      <c r="AK3" s="124" t="s">
        <v>18</v>
      </c>
      <c r="AL3" s="124" t="s">
        <v>21</v>
      </c>
      <c r="AM3" s="124" t="s">
        <v>19</v>
      </c>
      <c r="AN3" s="77"/>
      <c r="AO3" s="125" t="s">
        <v>17</v>
      </c>
      <c r="AP3" s="125" t="s">
        <v>18</v>
      </c>
      <c r="AQ3" s="125" t="s">
        <v>21</v>
      </c>
      <c r="AR3" s="124" t="s">
        <v>19</v>
      </c>
    </row>
    <row r="4" spans="1:44" ht="110.25" x14ac:dyDescent="0.25">
      <c r="A4" s="77">
        <v>1</v>
      </c>
      <c r="B4" s="78" t="s">
        <v>3</v>
      </c>
      <c r="C4" s="78" t="s">
        <v>4</v>
      </c>
      <c r="D4" s="78" t="s">
        <v>127</v>
      </c>
      <c r="E4" s="77"/>
      <c r="F4" s="79"/>
      <c r="G4" s="80"/>
      <c r="H4" s="81">
        <f>F4*G4</f>
        <v>0</v>
      </c>
      <c r="I4" s="82"/>
      <c r="J4" s="77"/>
      <c r="K4" s="83">
        <v>1</v>
      </c>
      <c r="L4" s="84">
        <v>1</v>
      </c>
      <c r="M4" s="85">
        <f>K4*L4</f>
        <v>1</v>
      </c>
      <c r="N4" s="86"/>
      <c r="O4" s="77"/>
      <c r="P4" s="83">
        <v>1</v>
      </c>
      <c r="Q4" s="84">
        <v>0.8</v>
      </c>
      <c r="R4" s="85">
        <f>P4*Q4</f>
        <v>0.8</v>
      </c>
      <c r="S4" s="86" t="s">
        <v>1283</v>
      </c>
      <c r="T4" s="77"/>
      <c r="U4" s="79"/>
      <c r="V4" s="80"/>
      <c r="W4" s="81">
        <f>U4*V4</f>
        <v>0</v>
      </c>
      <c r="X4" s="82"/>
      <c r="Y4" s="77"/>
      <c r="Z4" s="79"/>
      <c r="AA4" s="80"/>
      <c r="AB4" s="81">
        <f>Z4*AA4</f>
        <v>0</v>
      </c>
      <c r="AC4" s="82"/>
      <c r="AD4" s="77"/>
      <c r="AE4" s="79"/>
      <c r="AF4" s="80"/>
      <c r="AG4" s="81">
        <f>AE4*AF4</f>
        <v>0</v>
      </c>
      <c r="AH4" s="82"/>
      <c r="AI4" s="77"/>
      <c r="AJ4" s="79"/>
      <c r="AK4" s="80"/>
      <c r="AL4" s="81">
        <f>AJ4*AK4</f>
        <v>0</v>
      </c>
      <c r="AM4" s="82"/>
      <c r="AN4" s="77"/>
      <c r="AO4" s="83">
        <v>1</v>
      </c>
      <c r="AP4" s="118">
        <v>0.45</v>
      </c>
      <c r="AQ4" s="85">
        <f>AO4*AP4</f>
        <v>0.45</v>
      </c>
      <c r="AR4" s="86" t="s">
        <v>1224</v>
      </c>
    </row>
    <row r="5" spans="1:44" ht="208.5" customHeight="1" x14ac:dyDescent="0.25">
      <c r="A5" s="77">
        <v>2</v>
      </c>
      <c r="B5" s="78" t="s">
        <v>3</v>
      </c>
      <c r="C5" s="78" t="s">
        <v>4</v>
      </c>
      <c r="D5" s="78" t="s">
        <v>33</v>
      </c>
      <c r="E5" s="77"/>
      <c r="F5" s="79"/>
      <c r="G5" s="80"/>
      <c r="H5" s="81">
        <f t="shared" ref="H5:H56" si="0">F5*G5</f>
        <v>0</v>
      </c>
      <c r="I5" s="82"/>
      <c r="J5" s="77"/>
      <c r="K5" s="126">
        <v>1</v>
      </c>
      <c r="L5" s="127">
        <v>1</v>
      </c>
      <c r="M5" s="85">
        <f t="shared" ref="M5:M56" si="1">K5*L5</f>
        <v>1</v>
      </c>
      <c r="N5" s="128"/>
      <c r="O5" s="77"/>
      <c r="P5" s="126">
        <v>1</v>
      </c>
      <c r="Q5" s="127">
        <v>0.75</v>
      </c>
      <c r="R5" s="85">
        <f t="shared" ref="R5:R56" si="2">P5*Q5</f>
        <v>0.75</v>
      </c>
      <c r="S5" s="128" t="s">
        <v>1284</v>
      </c>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79"/>
      <c r="AK5" s="80"/>
      <c r="AL5" s="81">
        <f t="shared" ref="AL5:AL56" si="6">AJ5*AK5</f>
        <v>0</v>
      </c>
      <c r="AM5" s="82"/>
      <c r="AN5" s="77"/>
      <c r="AO5" s="126">
        <v>1</v>
      </c>
      <c r="AP5" s="129">
        <v>0.1</v>
      </c>
      <c r="AQ5" s="85">
        <f t="shared" ref="AQ5:AQ56" si="7">AO5*AP5</f>
        <v>0.1</v>
      </c>
      <c r="AR5" s="128" t="s">
        <v>1234</v>
      </c>
    </row>
    <row r="6" spans="1:44" ht="365.25" customHeight="1" x14ac:dyDescent="0.25">
      <c r="A6" s="77">
        <v>3</v>
      </c>
      <c r="B6" s="78" t="s">
        <v>3</v>
      </c>
      <c r="C6" s="78" t="s">
        <v>4</v>
      </c>
      <c r="D6" s="78" t="s">
        <v>128</v>
      </c>
      <c r="E6" s="77"/>
      <c r="F6" s="79"/>
      <c r="G6" s="80"/>
      <c r="H6" s="81">
        <f t="shared" si="0"/>
        <v>0</v>
      </c>
      <c r="I6" s="82"/>
      <c r="J6" s="77"/>
      <c r="K6" s="83">
        <v>1</v>
      </c>
      <c r="L6" s="84">
        <v>1</v>
      </c>
      <c r="M6" s="85">
        <f t="shared" si="1"/>
        <v>1</v>
      </c>
      <c r="N6" s="86"/>
      <c r="O6" s="77"/>
      <c r="P6" s="83">
        <v>1</v>
      </c>
      <c r="Q6" s="84">
        <v>0.95</v>
      </c>
      <c r="R6" s="85">
        <f t="shared" si="2"/>
        <v>0.95</v>
      </c>
      <c r="S6" s="86" t="s">
        <v>1200</v>
      </c>
      <c r="T6" s="77"/>
      <c r="U6" s="79"/>
      <c r="V6" s="80"/>
      <c r="W6" s="81">
        <f t="shared" si="3"/>
        <v>0</v>
      </c>
      <c r="X6" s="82"/>
      <c r="Y6" s="77"/>
      <c r="Z6" s="79"/>
      <c r="AA6" s="80"/>
      <c r="AB6" s="81">
        <f t="shared" si="4"/>
        <v>0</v>
      </c>
      <c r="AC6" s="82"/>
      <c r="AD6" s="77"/>
      <c r="AE6" s="79"/>
      <c r="AF6" s="80"/>
      <c r="AG6" s="81">
        <f t="shared" si="5"/>
        <v>0</v>
      </c>
      <c r="AH6" s="82"/>
      <c r="AI6" s="77"/>
      <c r="AJ6" s="79"/>
      <c r="AK6" s="80"/>
      <c r="AL6" s="81">
        <f t="shared" si="6"/>
        <v>0</v>
      </c>
      <c r="AM6" s="82"/>
      <c r="AN6" s="77"/>
      <c r="AO6" s="83">
        <v>1</v>
      </c>
      <c r="AP6" s="118">
        <v>0.3</v>
      </c>
      <c r="AQ6" s="85">
        <f t="shared" si="7"/>
        <v>0.3</v>
      </c>
      <c r="AR6" s="130" t="s">
        <v>1594</v>
      </c>
    </row>
    <row r="7" spans="1:44" ht="291.75" customHeight="1" x14ac:dyDescent="0.25">
      <c r="A7" s="77">
        <v>4</v>
      </c>
      <c r="B7" s="78" t="s">
        <v>3</v>
      </c>
      <c r="C7" s="78" t="s">
        <v>4</v>
      </c>
      <c r="D7" s="78" t="s">
        <v>34</v>
      </c>
      <c r="E7" s="77"/>
      <c r="F7" s="79"/>
      <c r="G7" s="80"/>
      <c r="H7" s="81">
        <f t="shared" si="0"/>
        <v>0</v>
      </c>
      <c r="I7" s="82"/>
      <c r="J7" s="77"/>
      <c r="K7" s="126">
        <v>1</v>
      </c>
      <c r="L7" s="127">
        <v>0.89500000000000002</v>
      </c>
      <c r="M7" s="85">
        <f t="shared" si="1"/>
        <v>0.89500000000000002</v>
      </c>
      <c r="N7" s="128" t="s">
        <v>1375</v>
      </c>
      <c r="O7" s="77"/>
      <c r="P7" s="126">
        <v>1</v>
      </c>
      <c r="Q7" s="127">
        <v>0.98</v>
      </c>
      <c r="R7" s="85">
        <f t="shared" si="2"/>
        <v>0.98</v>
      </c>
      <c r="S7" s="128" t="s">
        <v>1229</v>
      </c>
      <c r="T7" s="77"/>
      <c r="U7" s="79"/>
      <c r="V7" s="80"/>
      <c r="W7" s="81">
        <f t="shared" si="3"/>
        <v>0</v>
      </c>
      <c r="X7" s="82"/>
      <c r="Y7" s="77"/>
      <c r="Z7" s="79"/>
      <c r="AA7" s="80"/>
      <c r="AB7" s="81">
        <f t="shared" si="4"/>
        <v>0</v>
      </c>
      <c r="AC7" s="82"/>
      <c r="AD7" s="77"/>
      <c r="AE7" s="79"/>
      <c r="AF7" s="80"/>
      <c r="AG7" s="81">
        <f t="shared" si="5"/>
        <v>0</v>
      </c>
      <c r="AH7" s="82"/>
      <c r="AI7" s="77"/>
      <c r="AJ7" s="79"/>
      <c r="AK7" s="80"/>
      <c r="AL7" s="81">
        <f t="shared" si="6"/>
        <v>0</v>
      </c>
      <c r="AM7" s="82"/>
      <c r="AN7" s="77"/>
      <c r="AO7" s="126">
        <v>1</v>
      </c>
      <c r="AP7" s="129">
        <v>0.25</v>
      </c>
      <c r="AQ7" s="85">
        <f t="shared" si="7"/>
        <v>0.25</v>
      </c>
      <c r="AR7" s="131" t="s">
        <v>1607</v>
      </c>
    </row>
    <row r="8" spans="1:44" ht="94.5" x14ac:dyDescent="0.25">
      <c r="A8" s="77">
        <v>5</v>
      </c>
      <c r="B8" s="78" t="s">
        <v>3</v>
      </c>
      <c r="C8" s="78" t="s">
        <v>4</v>
      </c>
      <c r="D8" s="78" t="s">
        <v>35</v>
      </c>
      <c r="E8" s="77"/>
      <c r="F8" s="79"/>
      <c r="G8" s="80"/>
      <c r="H8" s="81">
        <f t="shared" si="0"/>
        <v>0</v>
      </c>
      <c r="I8" s="82"/>
      <c r="J8" s="77"/>
      <c r="K8" s="83">
        <v>1</v>
      </c>
      <c r="L8" s="84">
        <v>0.8</v>
      </c>
      <c r="M8" s="85">
        <f t="shared" si="1"/>
        <v>0.8</v>
      </c>
      <c r="N8" s="86" t="s">
        <v>1233</v>
      </c>
      <c r="O8" s="77"/>
      <c r="P8" s="83">
        <v>1</v>
      </c>
      <c r="Q8" s="84">
        <v>0.8</v>
      </c>
      <c r="R8" s="85">
        <f t="shared" si="2"/>
        <v>0.8</v>
      </c>
      <c r="S8" s="86" t="s">
        <v>1287</v>
      </c>
      <c r="T8" s="77"/>
      <c r="U8" s="79"/>
      <c r="V8" s="80"/>
      <c r="W8" s="81">
        <f t="shared" si="3"/>
        <v>0</v>
      </c>
      <c r="X8" s="78"/>
      <c r="Y8" s="77"/>
      <c r="Z8" s="79"/>
      <c r="AA8" s="80"/>
      <c r="AB8" s="81">
        <f t="shared" si="4"/>
        <v>0</v>
      </c>
      <c r="AC8" s="78"/>
      <c r="AD8" s="77"/>
      <c r="AE8" s="79"/>
      <c r="AF8" s="80"/>
      <c r="AG8" s="81">
        <f t="shared" si="5"/>
        <v>0</v>
      </c>
      <c r="AH8" s="78"/>
      <c r="AI8" s="77"/>
      <c r="AJ8" s="79"/>
      <c r="AK8" s="80"/>
      <c r="AL8" s="81">
        <f t="shared" si="6"/>
        <v>0</v>
      </c>
      <c r="AM8" s="78"/>
      <c r="AN8" s="77"/>
      <c r="AO8" s="83">
        <v>1</v>
      </c>
      <c r="AP8" s="118">
        <v>0.3</v>
      </c>
      <c r="AQ8" s="85">
        <f t="shared" si="7"/>
        <v>0.3</v>
      </c>
      <c r="AR8" s="86" t="s">
        <v>1190</v>
      </c>
    </row>
    <row r="9" spans="1:44" ht="220.5" x14ac:dyDescent="0.25">
      <c r="A9" s="77">
        <v>6</v>
      </c>
      <c r="B9" s="78" t="s">
        <v>3</v>
      </c>
      <c r="C9" s="78" t="s">
        <v>4</v>
      </c>
      <c r="D9" s="78" t="s">
        <v>129</v>
      </c>
      <c r="E9" s="77"/>
      <c r="F9" s="79"/>
      <c r="G9" s="80"/>
      <c r="H9" s="81">
        <f t="shared" si="0"/>
        <v>0</v>
      </c>
      <c r="I9" s="78"/>
      <c r="J9" s="77"/>
      <c r="K9" s="126">
        <v>1</v>
      </c>
      <c r="L9" s="127">
        <v>0.79</v>
      </c>
      <c r="M9" s="85">
        <f t="shared" si="1"/>
        <v>0.79</v>
      </c>
      <c r="N9" s="128" t="s">
        <v>1623</v>
      </c>
      <c r="O9" s="77"/>
      <c r="P9" s="126">
        <v>1</v>
      </c>
      <c r="Q9" s="127">
        <v>0.95</v>
      </c>
      <c r="R9" s="85">
        <f t="shared" si="2"/>
        <v>0.95</v>
      </c>
      <c r="S9" s="128" t="s">
        <v>1633</v>
      </c>
      <c r="T9" s="77"/>
      <c r="U9" s="79"/>
      <c r="V9" s="80"/>
      <c r="W9" s="81">
        <f t="shared" si="3"/>
        <v>0</v>
      </c>
      <c r="X9" s="78"/>
      <c r="Y9" s="77"/>
      <c r="Z9" s="79"/>
      <c r="AA9" s="80"/>
      <c r="AB9" s="81">
        <f t="shared" si="4"/>
        <v>0</v>
      </c>
      <c r="AC9" s="78"/>
      <c r="AD9" s="77"/>
      <c r="AE9" s="79"/>
      <c r="AF9" s="80"/>
      <c r="AG9" s="81">
        <f t="shared" si="5"/>
        <v>0</v>
      </c>
      <c r="AH9" s="78"/>
      <c r="AI9" s="77"/>
      <c r="AJ9" s="79"/>
      <c r="AK9" s="80"/>
      <c r="AL9" s="81">
        <f t="shared" si="6"/>
        <v>0</v>
      </c>
      <c r="AM9" s="78"/>
      <c r="AN9" s="77"/>
      <c r="AO9" s="126">
        <v>1</v>
      </c>
      <c r="AP9" s="129">
        <v>0.2</v>
      </c>
      <c r="AQ9" s="85">
        <f t="shared" si="7"/>
        <v>0.2</v>
      </c>
      <c r="AR9" s="128" t="s">
        <v>1615</v>
      </c>
    </row>
    <row r="10" spans="1:44" ht="110.25" x14ac:dyDescent="0.25">
      <c r="A10" s="77">
        <v>7</v>
      </c>
      <c r="B10" s="78" t="s">
        <v>3</v>
      </c>
      <c r="C10" s="78" t="s">
        <v>4</v>
      </c>
      <c r="D10" s="78" t="s">
        <v>36</v>
      </c>
      <c r="E10" s="77"/>
      <c r="F10" s="79"/>
      <c r="G10" s="80"/>
      <c r="H10" s="81">
        <f t="shared" si="0"/>
        <v>0</v>
      </c>
      <c r="I10" s="82"/>
      <c r="J10" s="77"/>
      <c r="K10" s="83">
        <v>1</v>
      </c>
      <c r="L10" s="84">
        <v>0.75</v>
      </c>
      <c r="M10" s="85">
        <f t="shared" si="1"/>
        <v>0.75</v>
      </c>
      <c r="N10" s="86" t="s">
        <v>1181</v>
      </c>
      <c r="O10" s="77"/>
      <c r="P10" s="83">
        <v>1</v>
      </c>
      <c r="Q10" s="84">
        <v>0.7</v>
      </c>
      <c r="R10" s="85">
        <f t="shared" si="2"/>
        <v>0.7</v>
      </c>
      <c r="S10" s="86" t="s">
        <v>1184</v>
      </c>
      <c r="T10" s="77"/>
      <c r="U10" s="79"/>
      <c r="V10" s="80"/>
      <c r="W10" s="81">
        <f t="shared" si="3"/>
        <v>0</v>
      </c>
      <c r="X10" s="82"/>
      <c r="Y10" s="77"/>
      <c r="Z10" s="79"/>
      <c r="AA10" s="80"/>
      <c r="AB10" s="81">
        <f t="shared" si="4"/>
        <v>0</v>
      </c>
      <c r="AC10" s="82"/>
      <c r="AD10" s="77"/>
      <c r="AE10" s="79"/>
      <c r="AF10" s="80"/>
      <c r="AG10" s="81">
        <f t="shared" si="5"/>
        <v>0</v>
      </c>
      <c r="AH10" s="82"/>
      <c r="AI10" s="77"/>
      <c r="AJ10" s="79"/>
      <c r="AK10" s="80"/>
      <c r="AL10" s="81">
        <f t="shared" si="6"/>
        <v>0</v>
      </c>
      <c r="AM10" s="82"/>
      <c r="AN10" s="77"/>
      <c r="AO10" s="83">
        <v>1</v>
      </c>
      <c r="AP10" s="118">
        <v>0.2</v>
      </c>
      <c r="AQ10" s="85">
        <f t="shared" si="7"/>
        <v>0.2</v>
      </c>
      <c r="AR10" s="86" t="s">
        <v>1226</v>
      </c>
    </row>
    <row r="11" spans="1:44" ht="78.75" x14ac:dyDescent="0.25">
      <c r="A11" s="77">
        <v>8</v>
      </c>
      <c r="B11" s="78" t="s">
        <v>3</v>
      </c>
      <c r="C11" s="78" t="s">
        <v>4</v>
      </c>
      <c r="D11" s="78" t="s">
        <v>64</v>
      </c>
      <c r="E11" s="77"/>
      <c r="F11" s="79"/>
      <c r="G11" s="80"/>
      <c r="H11" s="81">
        <f t="shared" si="0"/>
        <v>0</v>
      </c>
      <c r="I11" s="78"/>
      <c r="J11" s="77"/>
      <c r="K11" s="126">
        <v>1</v>
      </c>
      <c r="L11" s="127">
        <v>1</v>
      </c>
      <c r="M11" s="85">
        <f t="shared" si="1"/>
        <v>1</v>
      </c>
      <c r="N11" s="128"/>
      <c r="O11" s="77"/>
      <c r="P11" s="126">
        <v>1</v>
      </c>
      <c r="Q11" s="127">
        <v>0.9</v>
      </c>
      <c r="R11" s="85">
        <f t="shared" si="2"/>
        <v>0.9</v>
      </c>
      <c r="S11" s="128" t="s">
        <v>1185</v>
      </c>
      <c r="T11" s="77"/>
      <c r="U11" s="79"/>
      <c r="V11" s="80"/>
      <c r="W11" s="81">
        <f t="shared" si="3"/>
        <v>0</v>
      </c>
      <c r="X11" s="82"/>
      <c r="Y11" s="77"/>
      <c r="Z11" s="79"/>
      <c r="AA11" s="80"/>
      <c r="AB11" s="81">
        <f t="shared" si="4"/>
        <v>0</v>
      </c>
      <c r="AC11" s="82"/>
      <c r="AD11" s="77"/>
      <c r="AE11" s="79"/>
      <c r="AF11" s="80"/>
      <c r="AG11" s="81">
        <f t="shared" si="5"/>
        <v>0</v>
      </c>
      <c r="AH11" s="82"/>
      <c r="AI11" s="77"/>
      <c r="AJ11" s="79"/>
      <c r="AK11" s="80"/>
      <c r="AL11" s="81">
        <f t="shared" si="6"/>
        <v>0</v>
      </c>
      <c r="AM11" s="82"/>
      <c r="AN11" s="77"/>
      <c r="AO11" s="126">
        <v>1</v>
      </c>
      <c r="AP11" s="129">
        <v>0.15</v>
      </c>
      <c r="AQ11" s="85">
        <f t="shared" si="7"/>
        <v>0.15</v>
      </c>
      <c r="AR11" s="128" t="s">
        <v>1192</v>
      </c>
    </row>
    <row r="12" spans="1:44" ht="47.25" x14ac:dyDescent="0.25">
      <c r="A12" s="77">
        <v>9</v>
      </c>
      <c r="B12" s="78" t="s">
        <v>3</v>
      </c>
      <c r="C12" s="78" t="s">
        <v>5</v>
      </c>
      <c r="D12" s="78" t="s">
        <v>37</v>
      </c>
      <c r="E12" s="77"/>
      <c r="F12" s="79"/>
      <c r="G12" s="80"/>
      <c r="H12" s="81">
        <f t="shared" si="0"/>
        <v>0</v>
      </c>
      <c r="I12" s="82"/>
      <c r="J12" s="77"/>
      <c r="K12" s="83">
        <v>1</v>
      </c>
      <c r="L12" s="99">
        <v>0.6</v>
      </c>
      <c r="M12" s="85">
        <f t="shared" si="1"/>
        <v>0.6</v>
      </c>
      <c r="N12" s="86" t="s">
        <v>1198</v>
      </c>
      <c r="O12" s="77"/>
      <c r="P12" s="83">
        <v>1</v>
      </c>
      <c r="Q12" s="84">
        <v>1</v>
      </c>
      <c r="R12" s="85">
        <f t="shared" si="2"/>
        <v>1</v>
      </c>
      <c r="S12" s="86"/>
      <c r="T12" s="77"/>
      <c r="U12" s="79"/>
      <c r="V12" s="80"/>
      <c r="W12" s="81">
        <f t="shared" si="3"/>
        <v>0</v>
      </c>
      <c r="X12" s="82"/>
      <c r="Y12" s="77"/>
      <c r="Z12" s="79"/>
      <c r="AA12" s="80"/>
      <c r="AB12" s="81">
        <f t="shared" si="4"/>
        <v>0</v>
      </c>
      <c r="AC12" s="82"/>
      <c r="AD12" s="77"/>
      <c r="AE12" s="79"/>
      <c r="AF12" s="80"/>
      <c r="AG12" s="81">
        <f t="shared" si="5"/>
        <v>0</v>
      </c>
      <c r="AH12" s="82"/>
      <c r="AI12" s="77"/>
      <c r="AJ12" s="79"/>
      <c r="AK12" s="80"/>
      <c r="AL12" s="81">
        <f t="shared" si="6"/>
        <v>0</v>
      </c>
      <c r="AM12" s="82"/>
      <c r="AN12" s="77"/>
      <c r="AO12" s="83">
        <v>1</v>
      </c>
      <c r="AP12" s="118">
        <v>0.3</v>
      </c>
      <c r="AQ12" s="85">
        <f t="shared" si="7"/>
        <v>0.3</v>
      </c>
      <c r="AR12" s="86" t="s">
        <v>1227</v>
      </c>
    </row>
    <row r="13" spans="1:44" ht="141.75" x14ac:dyDescent="0.25">
      <c r="A13" s="77">
        <v>10</v>
      </c>
      <c r="B13" s="78" t="s">
        <v>3</v>
      </c>
      <c r="C13" s="78" t="s">
        <v>5</v>
      </c>
      <c r="D13" s="78" t="s">
        <v>38</v>
      </c>
      <c r="E13" s="77"/>
      <c r="F13" s="79"/>
      <c r="G13" s="80"/>
      <c r="H13" s="81">
        <f t="shared" si="0"/>
        <v>0</v>
      </c>
      <c r="I13" s="82"/>
      <c r="J13" s="77"/>
      <c r="K13" s="126">
        <v>1</v>
      </c>
      <c r="L13" s="127">
        <v>0.6</v>
      </c>
      <c r="M13" s="85">
        <f t="shared" si="1"/>
        <v>0.6</v>
      </c>
      <c r="N13" s="128" t="s">
        <v>1198</v>
      </c>
      <c r="O13" s="77"/>
      <c r="P13" s="126">
        <v>1</v>
      </c>
      <c r="Q13" s="127">
        <v>1</v>
      </c>
      <c r="R13" s="85">
        <f t="shared" si="2"/>
        <v>1</v>
      </c>
      <c r="S13" s="128"/>
      <c r="T13" s="77"/>
      <c r="U13" s="79"/>
      <c r="V13" s="80"/>
      <c r="W13" s="81">
        <f t="shared" si="3"/>
        <v>0</v>
      </c>
      <c r="X13" s="82"/>
      <c r="Y13" s="77"/>
      <c r="Z13" s="79"/>
      <c r="AA13" s="80"/>
      <c r="AB13" s="81">
        <f t="shared" si="4"/>
        <v>0</v>
      </c>
      <c r="AC13" s="82"/>
      <c r="AD13" s="77"/>
      <c r="AE13" s="79"/>
      <c r="AF13" s="80"/>
      <c r="AG13" s="81">
        <f t="shared" si="5"/>
        <v>0</v>
      </c>
      <c r="AH13" s="82"/>
      <c r="AI13" s="77"/>
      <c r="AJ13" s="79"/>
      <c r="AK13" s="80"/>
      <c r="AL13" s="81">
        <f t="shared" si="6"/>
        <v>0</v>
      </c>
      <c r="AM13" s="82"/>
      <c r="AN13" s="77"/>
      <c r="AO13" s="126">
        <v>1</v>
      </c>
      <c r="AP13" s="129">
        <v>0.05</v>
      </c>
      <c r="AQ13" s="85">
        <f t="shared" si="7"/>
        <v>0.05</v>
      </c>
      <c r="AR13" s="128" t="s">
        <v>1228</v>
      </c>
    </row>
    <row r="14" spans="1:44" ht="78.75" x14ac:dyDescent="0.25">
      <c r="A14" s="77">
        <v>11</v>
      </c>
      <c r="B14" s="78" t="s">
        <v>3</v>
      </c>
      <c r="C14" s="78" t="s">
        <v>31</v>
      </c>
      <c r="D14" s="78" t="s">
        <v>39</v>
      </c>
      <c r="E14" s="77"/>
      <c r="F14" s="79"/>
      <c r="G14" s="80"/>
      <c r="H14" s="81">
        <f t="shared" si="0"/>
        <v>0</v>
      </c>
      <c r="I14" s="82"/>
      <c r="J14" s="77"/>
      <c r="K14" s="83">
        <v>1</v>
      </c>
      <c r="L14" s="84">
        <v>0.85</v>
      </c>
      <c r="M14" s="85">
        <f t="shared" si="1"/>
        <v>0.85</v>
      </c>
      <c r="N14" s="86" t="s">
        <v>1199</v>
      </c>
      <c r="O14" s="77"/>
      <c r="P14" s="83">
        <v>1</v>
      </c>
      <c r="Q14" s="84">
        <v>1</v>
      </c>
      <c r="R14" s="85">
        <f t="shared" si="2"/>
        <v>1</v>
      </c>
      <c r="S14" s="86"/>
      <c r="T14" s="77"/>
      <c r="U14" s="79"/>
      <c r="V14" s="80"/>
      <c r="W14" s="81">
        <f t="shared" si="3"/>
        <v>0</v>
      </c>
      <c r="X14" s="82"/>
      <c r="Y14" s="77"/>
      <c r="Z14" s="79"/>
      <c r="AA14" s="80"/>
      <c r="AB14" s="81">
        <f t="shared" si="4"/>
        <v>0</v>
      </c>
      <c r="AC14" s="82"/>
      <c r="AD14" s="77"/>
      <c r="AE14" s="79"/>
      <c r="AF14" s="80"/>
      <c r="AG14" s="81">
        <f t="shared" si="5"/>
        <v>0</v>
      </c>
      <c r="AH14" s="82"/>
      <c r="AI14" s="77"/>
      <c r="AJ14" s="79"/>
      <c r="AK14" s="80"/>
      <c r="AL14" s="81">
        <f t="shared" si="6"/>
        <v>0</v>
      </c>
      <c r="AM14" s="82"/>
      <c r="AN14" s="77"/>
      <c r="AO14" s="83">
        <v>1</v>
      </c>
      <c r="AP14" s="118">
        <v>0.15</v>
      </c>
      <c r="AQ14" s="85">
        <f t="shared" si="7"/>
        <v>0.15</v>
      </c>
      <c r="AR14" s="86" t="s">
        <v>1195</v>
      </c>
    </row>
    <row r="15" spans="1:44" ht="47.25" x14ac:dyDescent="0.25">
      <c r="A15" s="77">
        <v>12</v>
      </c>
      <c r="B15" s="78" t="s">
        <v>3</v>
      </c>
      <c r="C15" s="78" t="s">
        <v>31</v>
      </c>
      <c r="D15" s="78" t="s">
        <v>40</v>
      </c>
      <c r="E15" s="77"/>
      <c r="F15" s="79"/>
      <c r="G15" s="80"/>
      <c r="H15" s="81">
        <f t="shared" si="0"/>
        <v>0</v>
      </c>
      <c r="I15" s="82"/>
      <c r="J15" s="77"/>
      <c r="K15" s="126">
        <v>1</v>
      </c>
      <c r="L15" s="127">
        <v>1</v>
      </c>
      <c r="M15" s="85">
        <f t="shared" si="1"/>
        <v>1</v>
      </c>
      <c r="N15" s="128"/>
      <c r="O15" s="77"/>
      <c r="P15" s="126">
        <v>1</v>
      </c>
      <c r="Q15" s="127">
        <v>0.95</v>
      </c>
      <c r="R15" s="85">
        <f t="shared" si="2"/>
        <v>0.95</v>
      </c>
      <c r="S15" s="128" t="s">
        <v>1187</v>
      </c>
      <c r="T15" s="77"/>
      <c r="U15" s="79"/>
      <c r="V15" s="80"/>
      <c r="W15" s="81">
        <f t="shared" si="3"/>
        <v>0</v>
      </c>
      <c r="X15" s="82"/>
      <c r="Y15" s="77"/>
      <c r="Z15" s="79"/>
      <c r="AA15" s="80"/>
      <c r="AB15" s="81">
        <f t="shared" si="4"/>
        <v>0</v>
      </c>
      <c r="AC15" s="82"/>
      <c r="AD15" s="77"/>
      <c r="AE15" s="79"/>
      <c r="AF15" s="80"/>
      <c r="AG15" s="81">
        <f t="shared" si="5"/>
        <v>0</v>
      </c>
      <c r="AH15" s="82"/>
      <c r="AI15" s="77"/>
      <c r="AJ15" s="79"/>
      <c r="AK15" s="80"/>
      <c r="AL15" s="81">
        <f t="shared" si="6"/>
        <v>0</v>
      </c>
      <c r="AM15" s="82"/>
      <c r="AN15" s="77"/>
      <c r="AO15" s="126">
        <v>1</v>
      </c>
      <c r="AP15" s="129">
        <v>0.5</v>
      </c>
      <c r="AQ15" s="85">
        <f t="shared" si="7"/>
        <v>0.5</v>
      </c>
      <c r="AR15" s="128" t="s">
        <v>1196</v>
      </c>
    </row>
    <row r="16" spans="1:44" ht="157.5" x14ac:dyDescent="0.25">
      <c r="A16" s="77">
        <v>13</v>
      </c>
      <c r="B16" s="78" t="s">
        <v>6</v>
      </c>
      <c r="C16" s="78" t="s">
        <v>7</v>
      </c>
      <c r="D16" s="78" t="s">
        <v>41</v>
      </c>
      <c r="E16" s="77"/>
      <c r="F16" s="79"/>
      <c r="G16" s="80"/>
      <c r="H16" s="81">
        <f t="shared" si="0"/>
        <v>0</v>
      </c>
      <c r="I16" s="82"/>
      <c r="J16" s="77"/>
      <c r="K16" s="100">
        <v>1</v>
      </c>
      <c r="L16" s="101">
        <v>0.98</v>
      </c>
      <c r="M16" s="85">
        <f t="shared" si="1"/>
        <v>0.98</v>
      </c>
      <c r="N16" s="102" t="s">
        <v>521</v>
      </c>
      <c r="O16" s="77"/>
      <c r="P16" s="100">
        <v>1</v>
      </c>
      <c r="Q16" s="101">
        <v>0.9</v>
      </c>
      <c r="R16" s="85">
        <f t="shared" si="2"/>
        <v>0.9</v>
      </c>
      <c r="S16" s="102" t="s">
        <v>537</v>
      </c>
      <c r="T16" s="77"/>
      <c r="U16" s="79"/>
      <c r="V16" s="80"/>
      <c r="W16" s="81">
        <f t="shared" si="3"/>
        <v>0</v>
      </c>
      <c r="X16" s="82"/>
      <c r="Y16" s="77"/>
      <c r="Z16" s="79"/>
      <c r="AA16" s="80"/>
      <c r="AB16" s="81">
        <f t="shared" si="4"/>
        <v>0</v>
      </c>
      <c r="AC16" s="82"/>
      <c r="AD16" s="77"/>
      <c r="AE16" s="79"/>
      <c r="AF16" s="80"/>
      <c r="AG16" s="81">
        <f t="shared" si="5"/>
        <v>0</v>
      </c>
      <c r="AH16" s="82"/>
      <c r="AI16" s="77"/>
      <c r="AJ16" s="79"/>
      <c r="AK16" s="80"/>
      <c r="AL16" s="81">
        <f t="shared" si="6"/>
        <v>0</v>
      </c>
      <c r="AM16" s="82"/>
      <c r="AN16" s="77"/>
      <c r="AO16" s="100">
        <v>1</v>
      </c>
      <c r="AP16" s="101">
        <v>0.94</v>
      </c>
      <c r="AQ16" s="85">
        <f t="shared" si="7"/>
        <v>0.94</v>
      </c>
      <c r="AR16" s="102" t="s">
        <v>548</v>
      </c>
    </row>
    <row r="17" spans="1:44" ht="126" x14ac:dyDescent="0.25">
      <c r="A17" s="77">
        <v>14</v>
      </c>
      <c r="B17" s="78" t="s">
        <v>6</v>
      </c>
      <c r="C17" s="78" t="s">
        <v>7</v>
      </c>
      <c r="D17" s="78" t="s">
        <v>130</v>
      </c>
      <c r="E17" s="77"/>
      <c r="F17" s="79"/>
      <c r="G17" s="80"/>
      <c r="H17" s="81">
        <f t="shared" si="0"/>
        <v>0</v>
      </c>
      <c r="I17" s="82"/>
      <c r="J17" s="77"/>
      <c r="K17" s="100">
        <v>1</v>
      </c>
      <c r="L17" s="101">
        <v>0.95</v>
      </c>
      <c r="M17" s="85">
        <f t="shared" si="1"/>
        <v>0.95</v>
      </c>
      <c r="N17" s="102" t="s">
        <v>522</v>
      </c>
      <c r="O17" s="77"/>
      <c r="P17" s="100">
        <v>1</v>
      </c>
      <c r="Q17" s="101">
        <v>0.6</v>
      </c>
      <c r="R17" s="85">
        <f t="shared" si="2"/>
        <v>0.6</v>
      </c>
      <c r="S17" s="102" t="s">
        <v>538</v>
      </c>
      <c r="T17" s="77"/>
      <c r="U17" s="79"/>
      <c r="V17" s="80"/>
      <c r="W17" s="81">
        <f t="shared" si="3"/>
        <v>0</v>
      </c>
      <c r="X17" s="82"/>
      <c r="Y17" s="77"/>
      <c r="Z17" s="79"/>
      <c r="AA17" s="80"/>
      <c r="AB17" s="81">
        <f t="shared" si="4"/>
        <v>0</v>
      </c>
      <c r="AC17" s="82"/>
      <c r="AD17" s="77"/>
      <c r="AE17" s="79"/>
      <c r="AF17" s="80"/>
      <c r="AG17" s="81">
        <f t="shared" si="5"/>
        <v>0</v>
      </c>
      <c r="AH17" s="82"/>
      <c r="AI17" s="77"/>
      <c r="AJ17" s="79"/>
      <c r="AK17" s="80"/>
      <c r="AL17" s="81">
        <f t="shared" si="6"/>
        <v>0</v>
      </c>
      <c r="AM17" s="82"/>
      <c r="AN17" s="77"/>
      <c r="AO17" s="100">
        <v>1</v>
      </c>
      <c r="AP17" s="101">
        <v>1</v>
      </c>
      <c r="AQ17" s="85">
        <f t="shared" si="7"/>
        <v>1</v>
      </c>
      <c r="AR17" s="102" t="s">
        <v>549</v>
      </c>
    </row>
    <row r="18" spans="1:44" ht="143.25" customHeight="1" x14ac:dyDescent="0.25">
      <c r="A18" s="77">
        <v>15</v>
      </c>
      <c r="B18" s="78" t="s">
        <v>6</v>
      </c>
      <c r="C18" s="78" t="s">
        <v>7</v>
      </c>
      <c r="D18" s="78" t="s">
        <v>131</v>
      </c>
      <c r="E18" s="77"/>
      <c r="F18" s="79"/>
      <c r="G18" s="80"/>
      <c r="H18" s="81">
        <f t="shared" si="0"/>
        <v>0</v>
      </c>
      <c r="I18" s="82"/>
      <c r="J18" s="77"/>
      <c r="K18" s="100">
        <v>1</v>
      </c>
      <c r="L18" s="101">
        <v>1</v>
      </c>
      <c r="M18" s="85">
        <f t="shared" si="1"/>
        <v>1</v>
      </c>
      <c r="N18" s="78" t="s">
        <v>523</v>
      </c>
      <c r="O18" s="77"/>
      <c r="P18" s="100">
        <v>1</v>
      </c>
      <c r="Q18" s="101">
        <v>1</v>
      </c>
      <c r="R18" s="85">
        <f t="shared" si="2"/>
        <v>1</v>
      </c>
      <c r="S18" s="78" t="s">
        <v>456</v>
      </c>
      <c r="T18" s="77"/>
      <c r="U18" s="79"/>
      <c r="V18" s="80"/>
      <c r="W18" s="81">
        <f t="shared" si="3"/>
        <v>0</v>
      </c>
      <c r="X18" s="82"/>
      <c r="Y18" s="77"/>
      <c r="Z18" s="79"/>
      <c r="AA18" s="80"/>
      <c r="AB18" s="81">
        <f t="shared" si="4"/>
        <v>0</v>
      </c>
      <c r="AC18" s="82"/>
      <c r="AD18" s="77"/>
      <c r="AE18" s="79"/>
      <c r="AF18" s="80"/>
      <c r="AG18" s="81">
        <f t="shared" si="5"/>
        <v>0</v>
      </c>
      <c r="AH18" s="82"/>
      <c r="AI18" s="77"/>
      <c r="AJ18" s="79"/>
      <c r="AK18" s="80"/>
      <c r="AL18" s="81">
        <f t="shared" si="6"/>
        <v>0</v>
      </c>
      <c r="AM18" s="82"/>
      <c r="AN18" s="77"/>
      <c r="AO18" s="100">
        <v>1</v>
      </c>
      <c r="AP18" s="101">
        <v>0.95</v>
      </c>
      <c r="AQ18" s="85">
        <f t="shared" si="7"/>
        <v>0.95</v>
      </c>
      <c r="AR18" s="78" t="s">
        <v>469</v>
      </c>
    </row>
    <row r="19" spans="1:44" ht="78.75" x14ac:dyDescent="0.25">
      <c r="A19" s="77">
        <v>16</v>
      </c>
      <c r="B19" s="78" t="s">
        <v>6</v>
      </c>
      <c r="C19" s="78" t="s">
        <v>7</v>
      </c>
      <c r="D19" s="78" t="s">
        <v>42</v>
      </c>
      <c r="E19" s="77"/>
      <c r="F19" s="79"/>
      <c r="G19" s="80"/>
      <c r="H19" s="81">
        <f t="shared" si="0"/>
        <v>0</v>
      </c>
      <c r="I19" s="82"/>
      <c r="J19" s="77"/>
      <c r="K19" s="100">
        <v>1</v>
      </c>
      <c r="L19" s="101">
        <v>1</v>
      </c>
      <c r="M19" s="85">
        <f t="shared" si="1"/>
        <v>1</v>
      </c>
      <c r="N19" s="78" t="s">
        <v>524</v>
      </c>
      <c r="O19" s="77"/>
      <c r="P19" s="100">
        <v>1</v>
      </c>
      <c r="Q19" s="101">
        <v>1</v>
      </c>
      <c r="R19" s="85">
        <f t="shared" si="2"/>
        <v>1</v>
      </c>
      <c r="S19" s="78" t="s">
        <v>539</v>
      </c>
      <c r="T19" s="77"/>
      <c r="U19" s="79"/>
      <c r="V19" s="80"/>
      <c r="W19" s="81">
        <f t="shared" si="3"/>
        <v>0</v>
      </c>
      <c r="X19" s="82"/>
      <c r="Y19" s="77"/>
      <c r="Z19" s="79"/>
      <c r="AA19" s="80"/>
      <c r="AB19" s="81">
        <f t="shared" si="4"/>
        <v>0</v>
      </c>
      <c r="AC19" s="82"/>
      <c r="AD19" s="77"/>
      <c r="AE19" s="79"/>
      <c r="AF19" s="80"/>
      <c r="AG19" s="81">
        <f t="shared" si="5"/>
        <v>0</v>
      </c>
      <c r="AH19" s="82"/>
      <c r="AI19" s="77"/>
      <c r="AJ19" s="79"/>
      <c r="AK19" s="80"/>
      <c r="AL19" s="81">
        <f t="shared" si="6"/>
        <v>0</v>
      </c>
      <c r="AM19" s="82"/>
      <c r="AN19" s="77"/>
      <c r="AO19" s="100">
        <v>1</v>
      </c>
      <c r="AP19" s="101">
        <v>0.95</v>
      </c>
      <c r="AQ19" s="85">
        <f t="shared" si="7"/>
        <v>0.95</v>
      </c>
      <c r="AR19" s="78" t="s">
        <v>239</v>
      </c>
    </row>
    <row r="20" spans="1:44" ht="173.25" x14ac:dyDescent="0.25">
      <c r="A20" s="77">
        <v>17</v>
      </c>
      <c r="B20" s="78" t="s">
        <v>6</v>
      </c>
      <c r="C20" s="78" t="s">
        <v>7</v>
      </c>
      <c r="D20" s="78" t="s">
        <v>43</v>
      </c>
      <c r="E20" s="77"/>
      <c r="F20" s="79"/>
      <c r="G20" s="80"/>
      <c r="H20" s="81">
        <f t="shared" si="0"/>
        <v>0</v>
      </c>
      <c r="I20" s="82"/>
      <c r="J20" s="77"/>
      <c r="K20" s="100">
        <v>1</v>
      </c>
      <c r="L20" s="101">
        <v>0.65</v>
      </c>
      <c r="M20" s="85">
        <f t="shared" si="1"/>
        <v>0.65</v>
      </c>
      <c r="N20" s="102" t="s">
        <v>525</v>
      </c>
      <c r="O20" s="77"/>
      <c r="P20" s="100">
        <v>1</v>
      </c>
      <c r="Q20" s="101">
        <v>0.9</v>
      </c>
      <c r="R20" s="85">
        <f t="shared" si="2"/>
        <v>0.9</v>
      </c>
      <c r="S20" s="102" t="s">
        <v>540</v>
      </c>
      <c r="T20" s="77"/>
      <c r="U20" s="79"/>
      <c r="V20" s="80"/>
      <c r="W20" s="81">
        <f t="shared" si="3"/>
        <v>0</v>
      </c>
      <c r="X20" s="82"/>
      <c r="Y20" s="77"/>
      <c r="Z20" s="79"/>
      <c r="AA20" s="80"/>
      <c r="AB20" s="81">
        <f t="shared" si="4"/>
        <v>0</v>
      </c>
      <c r="AC20" s="82"/>
      <c r="AD20" s="77"/>
      <c r="AE20" s="79"/>
      <c r="AF20" s="80"/>
      <c r="AG20" s="81">
        <f t="shared" si="5"/>
        <v>0</v>
      </c>
      <c r="AH20" s="82"/>
      <c r="AI20" s="77"/>
      <c r="AJ20" s="79"/>
      <c r="AK20" s="80"/>
      <c r="AL20" s="81">
        <f t="shared" si="6"/>
        <v>0</v>
      </c>
      <c r="AM20" s="82"/>
      <c r="AN20" s="77"/>
      <c r="AO20" s="100">
        <v>1</v>
      </c>
      <c r="AP20" s="101">
        <v>0.6</v>
      </c>
      <c r="AQ20" s="85">
        <f>AO20*AP20</f>
        <v>0.6</v>
      </c>
      <c r="AR20" s="102" t="s">
        <v>550</v>
      </c>
    </row>
    <row r="21" spans="1:44" ht="126" x14ac:dyDescent="0.25">
      <c r="A21" s="77">
        <v>18</v>
      </c>
      <c r="B21" s="78" t="s">
        <v>6</v>
      </c>
      <c r="C21" s="78" t="s">
        <v>7</v>
      </c>
      <c r="D21" s="78" t="s">
        <v>44</v>
      </c>
      <c r="E21" s="77"/>
      <c r="F21" s="79"/>
      <c r="G21" s="80"/>
      <c r="H21" s="81">
        <f t="shared" si="0"/>
        <v>0</v>
      </c>
      <c r="I21" s="82"/>
      <c r="J21" s="77"/>
      <c r="K21" s="100">
        <v>1</v>
      </c>
      <c r="L21" s="101">
        <v>0.75</v>
      </c>
      <c r="M21" s="85">
        <f t="shared" si="1"/>
        <v>0.75</v>
      </c>
      <c r="N21" s="102" t="s">
        <v>526</v>
      </c>
      <c r="O21" s="77"/>
      <c r="P21" s="100">
        <v>1</v>
      </c>
      <c r="Q21" s="101">
        <v>0.75</v>
      </c>
      <c r="R21" s="85">
        <f t="shared" si="2"/>
        <v>0.75</v>
      </c>
      <c r="S21" s="102" t="s">
        <v>1369</v>
      </c>
      <c r="T21" s="77"/>
      <c r="U21" s="79"/>
      <c r="V21" s="80"/>
      <c r="W21" s="81">
        <f t="shared" si="3"/>
        <v>0</v>
      </c>
      <c r="X21" s="82"/>
      <c r="Y21" s="77"/>
      <c r="Z21" s="79"/>
      <c r="AA21" s="80"/>
      <c r="AB21" s="81">
        <f t="shared" si="4"/>
        <v>0</v>
      </c>
      <c r="AC21" s="82"/>
      <c r="AD21" s="77"/>
      <c r="AE21" s="79"/>
      <c r="AF21" s="80"/>
      <c r="AG21" s="81">
        <f t="shared" si="5"/>
        <v>0</v>
      </c>
      <c r="AH21" s="82"/>
      <c r="AI21" s="77"/>
      <c r="AJ21" s="79"/>
      <c r="AK21" s="80"/>
      <c r="AL21" s="81">
        <f t="shared" si="6"/>
        <v>0</v>
      </c>
      <c r="AM21" s="82"/>
      <c r="AN21" s="77"/>
      <c r="AO21" s="100">
        <v>1</v>
      </c>
      <c r="AP21" s="101">
        <v>0.72</v>
      </c>
      <c r="AQ21" s="85">
        <f t="shared" ref="AQ21:AQ27" si="8">AO21*AP21</f>
        <v>0.72</v>
      </c>
      <c r="AR21" s="102" t="s">
        <v>513</v>
      </c>
    </row>
    <row r="22" spans="1:44" ht="110.25" x14ac:dyDescent="0.25">
      <c r="A22" s="77">
        <v>19</v>
      </c>
      <c r="B22" s="78" t="s">
        <v>6</v>
      </c>
      <c r="C22" s="78" t="s">
        <v>7</v>
      </c>
      <c r="D22" s="78" t="s">
        <v>45</v>
      </c>
      <c r="E22" s="77"/>
      <c r="F22" s="79"/>
      <c r="G22" s="80"/>
      <c r="H22" s="81">
        <f t="shared" si="0"/>
        <v>0</v>
      </c>
      <c r="I22" s="82"/>
      <c r="J22" s="77"/>
      <c r="K22" s="100">
        <v>1</v>
      </c>
      <c r="L22" s="101">
        <v>0.55000000000000004</v>
      </c>
      <c r="M22" s="85">
        <f t="shared" si="1"/>
        <v>0.55000000000000004</v>
      </c>
      <c r="N22" s="102" t="s">
        <v>527</v>
      </c>
      <c r="O22" s="77"/>
      <c r="P22" s="100">
        <v>1</v>
      </c>
      <c r="Q22" s="101">
        <v>0.7</v>
      </c>
      <c r="R22" s="85">
        <f t="shared" si="2"/>
        <v>0.7</v>
      </c>
      <c r="S22" s="102" t="s">
        <v>541</v>
      </c>
      <c r="T22" s="77"/>
      <c r="U22" s="79"/>
      <c r="V22" s="80"/>
      <c r="W22" s="81">
        <f t="shared" si="3"/>
        <v>0</v>
      </c>
      <c r="X22" s="82"/>
      <c r="Y22" s="77"/>
      <c r="Z22" s="79"/>
      <c r="AA22" s="80"/>
      <c r="AB22" s="81">
        <f t="shared" si="4"/>
        <v>0</v>
      </c>
      <c r="AC22" s="82"/>
      <c r="AD22" s="77"/>
      <c r="AE22" s="79"/>
      <c r="AF22" s="80"/>
      <c r="AG22" s="81">
        <f t="shared" si="5"/>
        <v>0</v>
      </c>
      <c r="AH22" s="82"/>
      <c r="AI22" s="77"/>
      <c r="AJ22" s="79"/>
      <c r="AK22" s="80"/>
      <c r="AL22" s="81">
        <f t="shared" si="6"/>
        <v>0</v>
      </c>
      <c r="AM22" s="82"/>
      <c r="AN22" s="77"/>
      <c r="AO22" s="100">
        <v>1</v>
      </c>
      <c r="AP22" s="101">
        <v>0.25</v>
      </c>
      <c r="AQ22" s="85">
        <f t="shared" si="8"/>
        <v>0.25</v>
      </c>
      <c r="AR22" s="102" t="s">
        <v>551</v>
      </c>
    </row>
    <row r="23" spans="1:44" ht="47.25" x14ac:dyDescent="0.25">
      <c r="A23" s="77">
        <v>20</v>
      </c>
      <c r="B23" s="78" t="s">
        <v>6</v>
      </c>
      <c r="C23" s="78" t="s">
        <v>7</v>
      </c>
      <c r="D23" s="78" t="s">
        <v>46</v>
      </c>
      <c r="E23" s="77"/>
      <c r="F23" s="79"/>
      <c r="G23" s="80"/>
      <c r="H23" s="81">
        <f t="shared" si="0"/>
        <v>0</v>
      </c>
      <c r="I23" s="82"/>
      <c r="J23" s="77"/>
      <c r="K23" s="100">
        <v>1</v>
      </c>
      <c r="L23" s="101">
        <v>1</v>
      </c>
      <c r="M23" s="85">
        <f t="shared" si="1"/>
        <v>1</v>
      </c>
      <c r="N23" s="102" t="s">
        <v>528</v>
      </c>
      <c r="O23" s="77"/>
      <c r="P23" s="100">
        <v>1</v>
      </c>
      <c r="Q23" s="101">
        <v>0.98</v>
      </c>
      <c r="R23" s="85">
        <f t="shared" si="2"/>
        <v>0.98</v>
      </c>
      <c r="S23" s="102" t="s">
        <v>542</v>
      </c>
      <c r="T23" s="77"/>
      <c r="U23" s="79"/>
      <c r="V23" s="80"/>
      <c r="W23" s="81">
        <f t="shared" si="3"/>
        <v>0</v>
      </c>
      <c r="X23" s="82"/>
      <c r="Y23" s="77"/>
      <c r="Z23" s="79"/>
      <c r="AA23" s="80"/>
      <c r="AB23" s="81">
        <f t="shared" si="4"/>
        <v>0</v>
      </c>
      <c r="AC23" s="82"/>
      <c r="AD23" s="77"/>
      <c r="AE23" s="79"/>
      <c r="AF23" s="80"/>
      <c r="AG23" s="81">
        <f t="shared" si="5"/>
        <v>0</v>
      </c>
      <c r="AH23" s="82"/>
      <c r="AI23" s="77"/>
      <c r="AJ23" s="79"/>
      <c r="AK23" s="80"/>
      <c r="AL23" s="81">
        <f t="shared" si="6"/>
        <v>0</v>
      </c>
      <c r="AM23" s="82"/>
      <c r="AN23" s="77"/>
      <c r="AO23" s="100">
        <v>1</v>
      </c>
      <c r="AP23" s="101">
        <v>0.7</v>
      </c>
      <c r="AQ23" s="85">
        <f t="shared" si="8"/>
        <v>0.7</v>
      </c>
      <c r="AR23" s="102" t="s">
        <v>552</v>
      </c>
    </row>
    <row r="24" spans="1:44" ht="94.5" x14ac:dyDescent="0.25">
      <c r="A24" s="77">
        <v>21</v>
      </c>
      <c r="B24" s="78" t="s">
        <v>6</v>
      </c>
      <c r="C24" s="78" t="s">
        <v>7</v>
      </c>
      <c r="D24" s="78" t="s">
        <v>47</v>
      </c>
      <c r="E24" s="77"/>
      <c r="F24" s="79"/>
      <c r="G24" s="80"/>
      <c r="H24" s="81">
        <f t="shared" si="0"/>
        <v>0</v>
      </c>
      <c r="I24" s="82"/>
      <c r="J24" s="77" t="s">
        <v>30</v>
      </c>
      <c r="K24" s="100">
        <v>1</v>
      </c>
      <c r="L24" s="101">
        <v>0.98</v>
      </c>
      <c r="M24" s="85">
        <f t="shared" si="1"/>
        <v>0.98</v>
      </c>
      <c r="N24" s="102" t="s">
        <v>358</v>
      </c>
      <c r="O24" s="77"/>
      <c r="P24" s="100">
        <v>1</v>
      </c>
      <c r="Q24" s="101">
        <v>0.9</v>
      </c>
      <c r="R24" s="85">
        <f t="shared" si="2"/>
        <v>0.9</v>
      </c>
      <c r="S24" s="102" t="s">
        <v>224</v>
      </c>
      <c r="T24" s="77"/>
      <c r="U24" s="79"/>
      <c r="V24" s="80"/>
      <c r="W24" s="81">
        <f t="shared" si="3"/>
        <v>0</v>
      </c>
      <c r="X24" s="82"/>
      <c r="Y24" s="77"/>
      <c r="Z24" s="79"/>
      <c r="AA24" s="80"/>
      <c r="AB24" s="81">
        <f t="shared" si="4"/>
        <v>0</v>
      </c>
      <c r="AC24" s="82"/>
      <c r="AD24" s="77"/>
      <c r="AE24" s="79"/>
      <c r="AF24" s="80"/>
      <c r="AG24" s="81">
        <f t="shared" si="5"/>
        <v>0</v>
      </c>
      <c r="AH24" s="82"/>
      <c r="AI24" s="77"/>
      <c r="AJ24" s="79"/>
      <c r="AK24" s="80"/>
      <c r="AL24" s="81">
        <f t="shared" si="6"/>
        <v>0</v>
      </c>
      <c r="AM24" s="82"/>
      <c r="AN24" s="77"/>
      <c r="AO24" s="100">
        <v>1</v>
      </c>
      <c r="AP24" s="101">
        <v>0.95</v>
      </c>
      <c r="AQ24" s="85">
        <f t="shared" si="8"/>
        <v>0.95</v>
      </c>
      <c r="AR24" s="102" t="s">
        <v>185</v>
      </c>
    </row>
    <row r="25" spans="1:44" s="73" customFormat="1" ht="126" x14ac:dyDescent="0.25">
      <c r="A25" s="77">
        <v>22</v>
      </c>
      <c r="B25" s="78" t="s">
        <v>6</v>
      </c>
      <c r="C25" s="78" t="s">
        <v>8</v>
      </c>
      <c r="D25" s="78" t="s">
        <v>48</v>
      </c>
      <c r="E25" s="77"/>
      <c r="F25" s="79"/>
      <c r="G25" s="80"/>
      <c r="H25" s="81">
        <f t="shared" si="0"/>
        <v>0</v>
      </c>
      <c r="I25" s="82"/>
      <c r="J25" s="77"/>
      <c r="K25" s="100">
        <v>1</v>
      </c>
      <c r="L25" s="101">
        <v>1</v>
      </c>
      <c r="M25" s="85">
        <f t="shared" si="1"/>
        <v>1</v>
      </c>
      <c r="N25" s="102" t="s">
        <v>529</v>
      </c>
      <c r="O25" s="77"/>
      <c r="P25" s="100">
        <v>1</v>
      </c>
      <c r="Q25" s="101">
        <v>1</v>
      </c>
      <c r="R25" s="85">
        <f t="shared" si="2"/>
        <v>1</v>
      </c>
      <c r="S25" s="102" t="s">
        <v>543</v>
      </c>
      <c r="T25" s="77"/>
      <c r="U25" s="79"/>
      <c r="V25" s="80"/>
      <c r="W25" s="81">
        <f t="shared" si="3"/>
        <v>0</v>
      </c>
      <c r="X25" s="82"/>
      <c r="Y25" s="77"/>
      <c r="Z25" s="79"/>
      <c r="AA25" s="80"/>
      <c r="AB25" s="81">
        <f t="shared" si="4"/>
        <v>0</v>
      </c>
      <c r="AC25" s="82"/>
      <c r="AD25" s="77"/>
      <c r="AE25" s="79"/>
      <c r="AF25" s="80"/>
      <c r="AG25" s="81">
        <f t="shared" si="5"/>
        <v>0</v>
      </c>
      <c r="AH25" s="82"/>
      <c r="AI25" s="77"/>
      <c r="AJ25" s="79"/>
      <c r="AK25" s="80"/>
      <c r="AL25" s="81">
        <f t="shared" si="6"/>
        <v>0</v>
      </c>
      <c r="AM25" s="82"/>
      <c r="AN25" s="77"/>
      <c r="AO25" s="100">
        <v>1</v>
      </c>
      <c r="AP25" s="101">
        <v>0.5</v>
      </c>
      <c r="AQ25" s="85">
        <f t="shared" si="8"/>
        <v>0.5</v>
      </c>
      <c r="AR25" s="102" t="s">
        <v>553</v>
      </c>
    </row>
    <row r="26" spans="1:44" ht="94.5" x14ac:dyDescent="0.25">
      <c r="A26" s="77">
        <v>23</v>
      </c>
      <c r="B26" s="78" t="s">
        <v>6</v>
      </c>
      <c r="C26" s="78" t="s">
        <v>8</v>
      </c>
      <c r="D26" s="78" t="s">
        <v>49</v>
      </c>
      <c r="E26" s="77"/>
      <c r="F26" s="79"/>
      <c r="G26" s="80"/>
      <c r="H26" s="81">
        <f t="shared" si="0"/>
        <v>0</v>
      </c>
      <c r="I26" s="82"/>
      <c r="J26" s="77"/>
      <c r="K26" s="100">
        <v>1</v>
      </c>
      <c r="L26" s="101">
        <v>1</v>
      </c>
      <c r="M26" s="85">
        <f t="shared" si="1"/>
        <v>1</v>
      </c>
      <c r="N26" s="102" t="s">
        <v>530</v>
      </c>
      <c r="O26" s="77"/>
      <c r="P26" s="100">
        <v>1</v>
      </c>
      <c r="Q26" s="101">
        <v>1</v>
      </c>
      <c r="R26" s="85">
        <f t="shared" si="2"/>
        <v>1</v>
      </c>
      <c r="S26" s="102" t="s">
        <v>544</v>
      </c>
      <c r="T26" s="77"/>
      <c r="U26" s="79"/>
      <c r="V26" s="80"/>
      <c r="W26" s="81">
        <f t="shared" si="3"/>
        <v>0</v>
      </c>
      <c r="X26" s="82"/>
      <c r="Y26" s="77"/>
      <c r="Z26" s="79"/>
      <c r="AA26" s="80"/>
      <c r="AB26" s="81">
        <f t="shared" si="4"/>
        <v>0</v>
      </c>
      <c r="AC26" s="82"/>
      <c r="AD26" s="77"/>
      <c r="AE26" s="79"/>
      <c r="AF26" s="80"/>
      <c r="AG26" s="81">
        <f t="shared" si="5"/>
        <v>0</v>
      </c>
      <c r="AH26" s="82"/>
      <c r="AI26" s="77"/>
      <c r="AJ26" s="79"/>
      <c r="AK26" s="80"/>
      <c r="AL26" s="81">
        <f t="shared" si="6"/>
        <v>0</v>
      </c>
      <c r="AM26" s="82"/>
      <c r="AN26" s="77"/>
      <c r="AO26" s="100">
        <v>1</v>
      </c>
      <c r="AP26" s="101">
        <v>0.6</v>
      </c>
      <c r="AQ26" s="85">
        <f t="shared" si="8"/>
        <v>0.6</v>
      </c>
      <c r="AR26" s="102" t="s">
        <v>433</v>
      </c>
    </row>
    <row r="27" spans="1:44" ht="110.25" x14ac:dyDescent="0.25">
      <c r="A27" s="77">
        <v>24</v>
      </c>
      <c r="B27" s="78" t="s">
        <v>6</v>
      </c>
      <c r="C27" s="78" t="s">
        <v>8</v>
      </c>
      <c r="D27" s="78" t="s">
        <v>50</v>
      </c>
      <c r="E27" s="77"/>
      <c r="F27" s="79"/>
      <c r="G27" s="80"/>
      <c r="H27" s="81">
        <f t="shared" si="0"/>
        <v>0</v>
      </c>
      <c r="I27" s="82"/>
      <c r="J27" s="77"/>
      <c r="K27" s="100">
        <v>1</v>
      </c>
      <c r="L27" s="101">
        <v>0.99</v>
      </c>
      <c r="M27" s="85">
        <f t="shared" si="1"/>
        <v>0.99</v>
      </c>
      <c r="N27" s="102" t="s">
        <v>361</v>
      </c>
      <c r="O27" s="77"/>
      <c r="P27" s="100">
        <v>1</v>
      </c>
      <c r="Q27" s="101">
        <v>1</v>
      </c>
      <c r="R27" s="85">
        <f t="shared" si="2"/>
        <v>1</v>
      </c>
      <c r="S27" s="102" t="s">
        <v>461</v>
      </c>
      <c r="T27" s="77"/>
      <c r="U27" s="79"/>
      <c r="V27" s="80"/>
      <c r="W27" s="81">
        <f t="shared" si="3"/>
        <v>0</v>
      </c>
      <c r="X27" s="82"/>
      <c r="Y27" s="77"/>
      <c r="Z27" s="79"/>
      <c r="AA27" s="80"/>
      <c r="AB27" s="81">
        <f t="shared" si="4"/>
        <v>0</v>
      </c>
      <c r="AC27" s="82"/>
      <c r="AD27" s="77"/>
      <c r="AE27" s="79"/>
      <c r="AF27" s="80"/>
      <c r="AG27" s="81">
        <f t="shared" si="5"/>
        <v>0</v>
      </c>
      <c r="AH27" s="82"/>
      <c r="AI27" s="77"/>
      <c r="AJ27" s="79"/>
      <c r="AK27" s="80"/>
      <c r="AL27" s="81">
        <f t="shared" si="6"/>
        <v>0</v>
      </c>
      <c r="AM27" s="82"/>
      <c r="AN27" s="77"/>
      <c r="AO27" s="100">
        <v>1</v>
      </c>
      <c r="AP27" s="101">
        <v>0.7</v>
      </c>
      <c r="AQ27" s="85">
        <f t="shared" si="8"/>
        <v>0.7</v>
      </c>
      <c r="AR27" s="102" t="s">
        <v>188</v>
      </c>
    </row>
    <row r="28" spans="1:44" ht="283.5" x14ac:dyDescent="0.25">
      <c r="A28" s="77">
        <v>25</v>
      </c>
      <c r="B28" s="78" t="s">
        <v>6</v>
      </c>
      <c r="C28" s="78" t="s">
        <v>8</v>
      </c>
      <c r="D28" s="78" t="s">
        <v>51</v>
      </c>
      <c r="E28" s="77"/>
      <c r="F28" s="79"/>
      <c r="G28" s="80"/>
      <c r="H28" s="81">
        <f t="shared" si="0"/>
        <v>0</v>
      </c>
      <c r="I28" s="82"/>
      <c r="J28" s="77"/>
      <c r="K28" s="100">
        <v>1</v>
      </c>
      <c r="L28" s="101">
        <v>0.85</v>
      </c>
      <c r="M28" s="85">
        <f t="shared" si="1"/>
        <v>0.85</v>
      </c>
      <c r="N28" s="102" t="s">
        <v>531</v>
      </c>
      <c r="O28" s="77"/>
      <c r="P28" s="100">
        <v>1</v>
      </c>
      <c r="Q28" s="101">
        <v>0.7</v>
      </c>
      <c r="R28" s="85">
        <f t="shared" si="2"/>
        <v>0.7</v>
      </c>
      <c r="S28" s="102" t="s">
        <v>545</v>
      </c>
      <c r="T28" s="77"/>
      <c r="U28" s="79"/>
      <c r="V28" s="80"/>
      <c r="W28" s="81">
        <f t="shared" si="3"/>
        <v>0</v>
      </c>
      <c r="X28" s="82"/>
      <c r="Y28" s="77"/>
      <c r="Z28" s="79"/>
      <c r="AA28" s="80"/>
      <c r="AB28" s="81">
        <f t="shared" si="4"/>
        <v>0</v>
      </c>
      <c r="AC28" s="82"/>
      <c r="AD28" s="77"/>
      <c r="AE28" s="79"/>
      <c r="AF28" s="80"/>
      <c r="AG28" s="81">
        <f t="shared" si="5"/>
        <v>0</v>
      </c>
      <c r="AH28" s="82"/>
      <c r="AI28" s="77"/>
      <c r="AJ28" s="79"/>
      <c r="AK28" s="80"/>
      <c r="AL28" s="81">
        <f t="shared" si="6"/>
        <v>0</v>
      </c>
      <c r="AM28" s="82"/>
      <c r="AN28" s="77"/>
      <c r="AO28" s="100">
        <v>1</v>
      </c>
      <c r="AP28" s="101">
        <v>0.65</v>
      </c>
      <c r="AQ28" s="85">
        <f t="shared" si="7"/>
        <v>0.65</v>
      </c>
      <c r="AR28" s="102" t="s">
        <v>554</v>
      </c>
    </row>
    <row r="29" spans="1:44" ht="94.5" x14ac:dyDescent="0.25">
      <c r="A29" s="77">
        <v>26</v>
      </c>
      <c r="B29" s="78" t="s">
        <v>6</v>
      </c>
      <c r="C29" s="78" t="s">
        <v>8</v>
      </c>
      <c r="D29" s="78" t="s">
        <v>52</v>
      </c>
      <c r="E29" s="77"/>
      <c r="F29" s="79"/>
      <c r="G29" s="80"/>
      <c r="H29" s="81">
        <f t="shared" si="0"/>
        <v>0</v>
      </c>
      <c r="I29" s="82"/>
      <c r="J29" s="77"/>
      <c r="K29" s="100">
        <v>1</v>
      </c>
      <c r="L29" s="101">
        <v>1</v>
      </c>
      <c r="M29" s="85">
        <f t="shared" si="1"/>
        <v>1</v>
      </c>
      <c r="N29" s="102" t="s">
        <v>147</v>
      </c>
      <c r="O29" s="77"/>
      <c r="P29" s="100">
        <v>1</v>
      </c>
      <c r="Q29" s="101">
        <v>0.85</v>
      </c>
      <c r="R29" s="85">
        <f t="shared" si="2"/>
        <v>0.85</v>
      </c>
      <c r="S29" s="102" t="s">
        <v>546</v>
      </c>
      <c r="T29" s="77"/>
      <c r="U29" s="79"/>
      <c r="V29" s="80"/>
      <c r="W29" s="81">
        <f t="shared" si="3"/>
        <v>0</v>
      </c>
      <c r="X29" s="78"/>
      <c r="Y29" s="77"/>
      <c r="Z29" s="79"/>
      <c r="AA29" s="80"/>
      <c r="AB29" s="81">
        <f t="shared" si="4"/>
        <v>0</v>
      </c>
      <c r="AC29" s="78"/>
      <c r="AD29" s="77"/>
      <c r="AE29" s="79"/>
      <c r="AF29" s="80"/>
      <c r="AG29" s="81">
        <f t="shared" si="5"/>
        <v>0</v>
      </c>
      <c r="AH29" s="78"/>
      <c r="AI29" s="77"/>
      <c r="AJ29" s="79"/>
      <c r="AK29" s="80"/>
      <c r="AL29" s="81">
        <f t="shared" si="6"/>
        <v>0</v>
      </c>
      <c r="AM29" s="78"/>
      <c r="AN29" s="77"/>
      <c r="AO29" s="100">
        <v>1</v>
      </c>
      <c r="AP29" s="101">
        <v>0.75</v>
      </c>
      <c r="AQ29" s="85">
        <f t="shared" si="7"/>
        <v>0.75</v>
      </c>
      <c r="AR29" s="102" t="s">
        <v>555</v>
      </c>
    </row>
    <row r="30" spans="1:44" ht="267.75" x14ac:dyDescent="0.25">
      <c r="A30" s="77">
        <v>27</v>
      </c>
      <c r="B30" s="78" t="s">
        <v>6</v>
      </c>
      <c r="C30" s="78" t="s">
        <v>8</v>
      </c>
      <c r="D30" s="78" t="s">
        <v>53</v>
      </c>
      <c r="E30" s="77"/>
      <c r="F30" s="79"/>
      <c r="G30" s="80"/>
      <c r="H30" s="81">
        <f t="shared" si="0"/>
        <v>0</v>
      </c>
      <c r="I30" s="82"/>
      <c r="J30" s="77"/>
      <c r="K30" s="100">
        <v>1</v>
      </c>
      <c r="L30" s="107">
        <v>1</v>
      </c>
      <c r="M30" s="85">
        <f t="shared" si="1"/>
        <v>1</v>
      </c>
      <c r="N30" s="102"/>
      <c r="O30" s="77"/>
      <c r="P30" s="100">
        <v>1</v>
      </c>
      <c r="Q30" s="101">
        <v>0.6</v>
      </c>
      <c r="R30" s="85">
        <f t="shared" si="2"/>
        <v>0.6</v>
      </c>
      <c r="S30" s="102" t="s">
        <v>464</v>
      </c>
      <c r="T30" s="77"/>
      <c r="U30" s="79"/>
      <c r="V30" s="80"/>
      <c r="W30" s="81">
        <f t="shared" si="3"/>
        <v>0</v>
      </c>
      <c r="X30" s="82"/>
      <c r="Y30" s="77"/>
      <c r="Z30" s="79"/>
      <c r="AA30" s="80"/>
      <c r="AB30" s="81">
        <f t="shared" si="4"/>
        <v>0</v>
      </c>
      <c r="AC30" s="82"/>
      <c r="AD30" s="77"/>
      <c r="AE30" s="79"/>
      <c r="AF30" s="80"/>
      <c r="AG30" s="81">
        <f t="shared" si="5"/>
        <v>0</v>
      </c>
      <c r="AH30" s="82"/>
      <c r="AI30" s="77"/>
      <c r="AJ30" s="79"/>
      <c r="AK30" s="80"/>
      <c r="AL30" s="81">
        <f t="shared" si="6"/>
        <v>0</v>
      </c>
      <c r="AM30" s="82"/>
      <c r="AN30" s="77"/>
      <c r="AO30" s="100">
        <v>1</v>
      </c>
      <c r="AP30" s="101">
        <v>1</v>
      </c>
      <c r="AQ30" s="85">
        <f t="shared" si="7"/>
        <v>1</v>
      </c>
      <c r="AR30" s="102"/>
    </row>
    <row r="31" spans="1:44" ht="78.75" x14ac:dyDescent="0.25">
      <c r="A31" s="77">
        <v>28</v>
      </c>
      <c r="B31" s="78" t="s">
        <v>6</v>
      </c>
      <c r="C31" s="78" t="s">
        <v>8</v>
      </c>
      <c r="D31" s="78" t="s">
        <v>54</v>
      </c>
      <c r="E31" s="77"/>
      <c r="F31" s="79"/>
      <c r="G31" s="80"/>
      <c r="H31" s="81">
        <f t="shared" si="0"/>
        <v>0</v>
      </c>
      <c r="I31" s="82"/>
      <c r="J31" s="77"/>
      <c r="K31" s="100">
        <v>1</v>
      </c>
      <c r="L31" s="101">
        <v>1</v>
      </c>
      <c r="M31" s="85">
        <f t="shared" si="1"/>
        <v>1</v>
      </c>
      <c r="N31" s="102" t="s">
        <v>532</v>
      </c>
      <c r="O31" s="77"/>
      <c r="P31" s="100">
        <v>1</v>
      </c>
      <c r="Q31" s="101">
        <v>1</v>
      </c>
      <c r="R31" s="85">
        <f t="shared" si="2"/>
        <v>1</v>
      </c>
      <c r="S31" s="102" t="s">
        <v>506</v>
      </c>
      <c r="T31" s="77"/>
      <c r="U31" s="79"/>
      <c r="V31" s="80"/>
      <c r="W31" s="81">
        <f t="shared" si="3"/>
        <v>0</v>
      </c>
      <c r="X31" s="82"/>
      <c r="Y31" s="77"/>
      <c r="Z31" s="79"/>
      <c r="AA31" s="80"/>
      <c r="AB31" s="81">
        <f t="shared" si="4"/>
        <v>0</v>
      </c>
      <c r="AC31" s="82"/>
      <c r="AD31" s="77"/>
      <c r="AE31" s="79"/>
      <c r="AF31" s="80"/>
      <c r="AG31" s="81">
        <f t="shared" si="5"/>
        <v>0</v>
      </c>
      <c r="AH31" s="82"/>
      <c r="AI31" s="77"/>
      <c r="AJ31" s="79"/>
      <c r="AK31" s="80"/>
      <c r="AL31" s="81">
        <f t="shared" si="6"/>
        <v>0</v>
      </c>
      <c r="AM31" s="82"/>
      <c r="AN31" s="77"/>
      <c r="AO31" s="100">
        <v>1</v>
      </c>
      <c r="AP31" s="101">
        <v>0.98</v>
      </c>
      <c r="AQ31" s="85">
        <f t="shared" si="7"/>
        <v>0.98</v>
      </c>
      <c r="AR31" s="102" t="s">
        <v>556</v>
      </c>
    </row>
    <row r="32" spans="1:44" ht="94.5" x14ac:dyDescent="0.25">
      <c r="A32" s="77">
        <v>29</v>
      </c>
      <c r="B32" s="78" t="s">
        <v>6</v>
      </c>
      <c r="C32" s="78" t="s">
        <v>8</v>
      </c>
      <c r="D32" s="78" t="s">
        <v>55</v>
      </c>
      <c r="E32" s="77"/>
      <c r="F32" s="79"/>
      <c r="G32" s="80"/>
      <c r="H32" s="81">
        <f t="shared" si="0"/>
        <v>0</v>
      </c>
      <c r="I32" s="82"/>
      <c r="J32" s="77"/>
      <c r="K32" s="100">
        <v>1</v>
      </c>
      <c r="L32" s="101">
        <v>1</v>
      </c>
      <c r="M32" s="85">
        <f t="shared" si="1"/>
        <v>1</v>
      </c>
      <c r="N32" s="102" t="s">
        <v>533</v>
      </c>
      <c r="O32" s="77"/>
      <c r="P32" s="100">
        <v>1</v>
      </c>
      <c r="Q32" s="101">
        <v>1</v>
      </c>
      <c r="R32" s="85">
        <f t="shared" si="2"/>
        <v>1</v>
      </c>
      <c r="S32" s="102" t="s">
        <v>423</v>
      </c>
      <c r="T32" s="77"/>
      <c r="U32" s="79"/>
      <c r="V32" s="80"/>
      <c r="W32" s="81">
        <f t="shared" si="3"/>
        <v>0</v>
      </c>
      <c r="X32" s="82"/>
      <c r="Y32" s="77"/>
      <c r="Z32" s="79"/>
      <c r="AA32" s="80"/>
      <c r="AB32" s="81">
        <f t="shared" si="4"/>
        <v>0</v>
      </c>
      <c r="AC32" s="82"/>
      <c r="AD32" s="77"/>
      <c r="AE32" s="79"/>
      <c r="AF32" s="80"/>
      <c r="AG32" s="81">
        <f t="shared" si="5"/>
        <v>0</v>
      </c>
      <c r="AH32" s="82"/>
      <c r="AI32" s="77"/>
      <c r="AJ32" s="79"/>
      <c r="AK32" s="80"/>
      <c r="AL32" s="81">
        <f t="shared" si="6"/>
        <v>0</v>
      </c>
      <c r="AM32" s="82"/>
      <c r="AN32" s="77"/>
      <c r="AO32" s="100">
        <v>1</v>
      </c>
      <c r="AP32" s="101">
        <v>1</v>
      </c>
      <c r="AQ32" s="85">
        <f t="shared" si="7"/>
        <v>1</v>
      </c>
      <c r="AR32" s="102" t="s">
        <v>437</v>
      </c>
    </row>
    <row r="33" spans="1:44" ht="78.75" x14ac:dyDescent="0.25">
      <c r="A33" s="77">
        <v>30</v>
      </c>
      <c r="B33" s="78" t="s">
        <v>6</v>
      </c>
      <c r="C33" s="78" t="s">
        <v>8</v>
      </c>
      <c r="D33" s="78" t="s">
        <v>56</v>
      </c>
      <c r="E33" s="77"/>
      <c r="F33" s="79"/>
      <c r="G33" s="80"/>
      <c r="H33" s="81">
        <f t="shared" si="0"/>
        <v>0</v>
      </c>
      <c r="I33" s="82"/>
      <c r="J33" s="77"/>
      <c r="K33" s="100">
        <v>1</v>
      </c>
      <c r="L33" s="101">
        <v>1</v>
      </c>
      <c r="M33" s="85">
        <f t="shared" si="1"/>
        <v>1</v>
      </c>
      <c r="N33" s="102" t="s">
        <v>534</v>
      </c>
      <c r="O33" s="77"/>
      <c r="P33" s="100">
        <v>1</v>
      </c>
      <c r="Q33" s="101">
        <v>0.5</v>
      </c>
      <c r="R33" s="85">
        <f t="shared" si="2"/>
        <v>0.5</v>
      </c>
      <c r="S33" s="102" t="s">
        <v>465</v>
      </c>
      <c r="T33" s="77"/>
      <c r="U33" s="79"/>
      <c r="V33" s="80"/>
      <c r="W33" s="81">
        <f t="shared" si="3"/>
        <v>0</v>
      </c>
      <c r="X33" s="82"/>
      <c r="Y33" s="77"/>
      <c r="Z33" s="79"/>
      <c r="AA33" s="80"/>
      <c r="AB33" s="81">
        <f t="shared" si="4"/>
        <v>0</v>
      </c>
      <c r="AC33" s="82"/>
      <c r="AD33" s="77"/>
      <c r="AE33" s="79"/>
      <c r="AF33" s="80"/>
      <c r="AG33" s="81">
        <f t="shared" si="5"/>
        <v>0</v>
      </c>
      <c r="AH33" s="82"/>
      <c r="AI33" s="77"/>
      <c r="AJ33" s="79"/>
      <c r="AK33" s="80"/>
      <c r="AL33" s="81">
        <f t="shared" si="6"/>
        <v>0</v>
      </c>
      <c r="AM33" s="82"/>
      <c r="AN33" s="77"/>
      <c r="AO33" s="100">
        <v>1</v>
      </c>
      <c r="AP33" s="101">
        <v>0.5</v>
      </c>
      <c r="AQ33" s="85">
        <f t="shared" si="7"/>
        <v>0.5</v>
      </c>
      <c r="AR33" s="102" t="s">
        <v>557</v>
      </c>
    </row>
    <row r="34" spans="1:44" ht="234.75" customHeight="1" x14ac:dyDescent="0.25">
      <c r="A34" s="77">
        <v>31</v>
      </c>
      <c r="B34" s="78" t="s">
        <v>6</v>
      </c>
      <c r="C34" s="78" t="s">
        <v>9</v>
      </c>
      <c r="D34" s="102" t="s">
        <v>57</v>
      </c>
      <c r="E34" s="77"/>
      <c r="F34" s="79"/>
      <c r="G34" s="80"/>
      <c r="H34" s="81">
        <f t="shared" si="0"/>
        <v>0</v>
      </c>
      <c r="I34" s="82"/>
      <c r="J34" s="77"/>
      <c r="K34" s="100">
        <v>1</v>
      </c>
      <c r="L34" s="101">
        <v>0.62</v>
      </c>
      <c r="M34" s="85">
        <f t="shared" si="1"/>
        <v>0.62</v>
      </c>
      <c r="N34" s="102" t="s">
        <v>1584</v>
      </c>
      <c r="O34" s="77"/>
      <c r="P34" s="100">
        <v>1</v>
      </c>
      <c r="Q34" s="101">
        <v>0.3</v>
      </c>
      <c r="R34" s="85">
        <f t="shared" si="2"/>
        <v>0.3</v>
      </c>
      <c r="S34" s="102" t="s">
        <v>173</v>
      </c>
      <c r="T34" s="77"/>
      <c r="U34" s="79"/>
      <c r="V34" s="80"/>
      <c r="W34" s="81">
        <f t="shared" si="3"/>
        <v>0</v>
      </c>
      <c r="X34" s="82"/>
      <c r="Y34" s="77"/>
      <c r="Z34" s="79"/>
      <c r="AA34" s="80"/>
      <c r="AB34" s="81">
        <f t="shared" si="4"/>
        <v>0</v>
      </c>
      <c r="AC34" s="82"/>
      <c r="AD34" s="77"/>
      <c r="AE34" s="79"/>
      <c r="AF34" s="80"/>
      <c r="AG34" s="81">
        <f t="shared" si="5"/>
        <v>0</v>
      </c>
      <c r="AH34" s="82"/>
      <c r="AI34" s="77"/>
      <c r="AJ34" s="79"/>
      <c r="AK34" s="80"/>
      <c r="AL34" s="81">
        <f t="shared" si="6"/>
        <v>0</v>
      </c>
      <c r="AM34" s="82"/>
      <c r="AN34" s="77"/>
      <c r="AO34" s="100">
        <v>1</v>
      </c>
      <c r="AP34" s="101">
        <v>0.5</v>
      </c>
      <c r="AQ34" s="85">
        <f t="shared" si="7"/>
        <v>0.5</v>
      </c>
      <c r="AR34" s="102" t="s">
        <v>194</v>
      </c>
    </row>
    <row r="35" spans="1:44" ht="110.25" x14ac:dyDescent="0.25">
      <c r="A35" s="77">
        <v>32</v>
      </c>
      <c r="B35" s="78" t="s">
        <v>6</v>
      </c>
      <c r="C35" s="78" t="s">
        <v>9</v>
      </c>
      <c r="D35" s="102" t="s">
        <v>58</v>
      </c>
      <c r="E35" s="77"/>
      <c r="F35" s="79"/>
      <c r="G35" s="80"/>
      <c r="H35" s="81">
        <f t="shared" si="0"/>
        <v>0</v>
      </c>
      <c r="I35" s="78"/>
      <c r="J35" s="77"/>
      <c r="K35" s="100">
        <v>1</v>
      </c>
      <c r="L35" s="101">
        <v>0.9</v>
      </c>
      <c r="M35" s="85">
        <f t="shared" si="1"/>
        <v>0.9</v>
      </c>
      <c r="N35" s="102" t="s">
        <v>152</v>
      </c>
      <c r="O35" s="77"/>
      <c r="P35" s="100">
        <v>1</v>
      </c>
      <c r="Q35" s="101">
        <v>0.7</v>
      </c>
      <c r="R35" s="85">
        <f t="shared" si="2"/>
        <v>0.7</v>
      </c>
      <c r="S35" s="102" t="s">
        <v>332</v>
      </c>
      <c r="T35" s="77"/>
      <c r="U35" s="79"/>
      <c r="V35" s="80"/>
      <c r="W35" s="81">
        <f t="shared" si="3"/>
        <v>0</v>
      </c>
      <c r="X35" s="82"/>
      <c r="Y35" s="77"/>
      <c r="Z35" s="79"/>
      <c r="AA35" s="80"/>
      <c r="AB35" s="81">
        <f t="shared" si="4"/>
        <v>0</v>
      </c>
      <c r="AC35" s="82"/>
      <c r="AD35" s="77"/>
      <c r="AE35" s="79"/>
      <c r="AF35" s="80"/>
      <c r="AG35" s="81">
        <f t="shared" si="5"/>
        <v>0</v>
      </c>
      <c r="AH35" s="82"/>
      <c r="AI35" s="77"/>
      <c r="AJ35" s="79"/>
      <c r="AK35" s="80"/>
      <c r="AL35" s="81">
        <f t="shared" si="6"/>
        <v>0</v>
      </c>
      <c r="AM35" s="82"/>
      <c r="AN35" s="77"/>
      <c r="AO35" s="100">
        <v>1</v>
      </c>
      <c r="AP35" s="101">
        <v>0.5</v>
      </c>
      <c r="AQ35" s="85">
        <f t="shared" si="7"/>
        <v>0.5</v>
      </c>
      <c r="AR35" s="102" t="s">
        <v>348</v>
      </c>
    </row>
    <row r="36" spans="1:44" ht="157.5" x14ac:dyDescent="0.25">
      <c r="A36" s="77">
        <v>33</v>
      </c>
      <c r="B36" s="78" t="s">
        <v>6</v>
      </c>
      <c r="C36" s="78" t="s">
        <v>9</v>
      </c>
      <c r="D36" s="78" t="s">
        <v>59</v>
      </c>
      <c r="E36" s="77"/>
      <c r="F36" s="79"/>
      <c r="G36" s="80"/>
      <c r="H36" s="81">
        <f t="shared" si="0"/>
        <v>0</v>
      </c>
      <c r="I36" s="82"/>
      <c r="J36" s="77"/>
      <c r="K36" s="100">
        <v>1</v>
      </c>
      <c r="L36" s="101">
        <v>1</v>
      </c>
      <c r="M36" s="85">
        <f t="shared" si="1"/>
        <v>1</v>
      </c>
      <c r="N36" s="102"/>
      <c r="O36" s="77"/>
      <c r="P36" s="100">
        <v>1</v>
      </c>
      <c r="Q36" s="101">
        <v>0.5</v>
      </c>
      <c r="R36" s="85">
        <f t="shared" si="2"/>
        <v>0.5</v>
      </c>
      <c r="S36" s="102" t="s">
        <v>547</v>
      </c>
      <c r="T36" s="77"/>
      <c r="U36" s="79"/>
      <c r="V36" s="80"/>
      <c r="W36" s="81">
        <f t="shared" si="3"/>
        <v>0</v>
      </c>
      <c r="X36" s="82"/>
      <c r="Y36" s="77"/>
      <c r="Z36" s="79"/>
      <c r="AA36" s="80"/>
      <c r="AB36" s="81">
        <f t="shared" si="4"/>
        <v>0</v>
      </c>
      <c r="AC36" s="82"/>
      <c r="AD36" s="77"/>
      <c r="AE36" s="79"/>
      <c r="AF36" s="80"/>
      <c r="AG36" s="81">
        <f t="shared" si="5"/>
        <v>0</v>
      </c>
      <c r="AH36" s="82"/>
      <c r="AI36" s="77"/>
      <c r="AJ36" s="79"/>
      <c r="AK36" s="80"/>
      <c r="AL36" s="81">
        <f t="shared" si="6"/>
        <v>0</v>
      </c>
      <c r="AM36" s="82"/>
      <c r="AN36" s="77"/>
      <c r="AO36" s="100">
        <v>1</v>
      </c>
      <c r="AP36" s="101">
        <v>0.8</v>
      </c>
      <c r="AQ36" s="85">
        <f t="shared" si="7"/>
        <v>0.8</v>
      </c>
      <c r="AR36" s="102" t="s">
        <v>196</v>
      </c>
    </row>
    <row r="37" spans="1:44" ht="94.5" x14ac:dyDescent="0.25">
      <c r="A37" s="77">
        <v>34</v>
      </c>
      <c r="B37" s="78" t="s">
        <v>6</v>
      </c>
      <c r="C37" s="78" t="s">
        <v>9</v>
      </c>
      <c r="D37" s="78" t="s">
        <v>60</v>
      </c>
      <c r="E37" s="77"/>
      <c r="F37" s="79"/>
      <c r="G37" s="80"/>
      <c r="H37" s="81">
        <f t="shared" si="0"/>
        <v>0</v>
      </c>
      <c r="I37" s="82"/>
      <c r="J37" s="77"/>
      <c r="K37" s="100">
        <v>1</v>
      </c>
      <c r="L37" s="101">
        <v>1</v>
      </c>
      <c r="M37" s="85">
        <f t="shared" si="1"/>
        <v>1</v>
      </c>
      <c r="N37" s="102" t="s">
        <v>535</v>
      </c>
      <c r="O37" s="77"/>
      <c r="P37" s="100">
        <v>1</v>
      </c>
      <c r="Q37" s="101">
        <v>1</v>
      </c>
      <c r="R37" s="85">
        <f t="shared" si="2"/>
        <v>1</v>
      </c>
      <c r="S37" s="102" t="s">
        <v>176</v>
      </c>
      <c r="T37" s="77"/>
      <c r="U37" s="79"/>
      <c r="V37" s="80"/>
      <c r="W37" s="81">
        <f t="shared" si="3"/>
        <v>0</v>
      </c>
      <c r="X37" s="82"/>
      <c r="Y37" s="77"/>
      <c r="Z37" s="79"/>
      <c r="AA37" s="80"/>
      <c r="AB37" s="81">
        <f t="shared" si="4"/>
        <v>0</v>
      </c>
      <c r="AC37" s="82"/>
      <c r="AD37" s="77"/>
      <c r="AE37" s="79"/>
      <c r="AF37" s="80"/>
      <c r="AG37" s="81">
        <f t="shared" si="5"/>
        <v>0</v>
      </c>
      <c r="AH37" s="82"/>
      <c r="AI37" s="77"/>
      <c r="AJ37" s="79"/>
      <c r="AK37" s="80"/>
      <c r="AL37" s="81">
        <f t="shared" si="6"/>
        <v>0</v>
      </c>
      <c r="AM37" s="82"/>
      <c r="AN37" s="77"/>
      <c r="AO37" s="100">
        <v>0</v>
      </c>
      <c r="AP37" s="101"/>
      <c r="AQ37" s="85">
        <f t="shared" si="7"/>
        <v>0</v>
      </c>
      <c r="AR37" s="102" t="s">
        <v>297</v>
      </c>
    </row>
    <row r="38" spans="1:44" ht="342" customHeight="1" x14ac:dyDescent="0.25">
      <c r="A38" s="77">
        <v>35</v>
      </c>
      <c r="B38" s="78" t="s">
        <v>6</v>
      </c>
      <c r="C38" s="78" t="s">
        <v>9</v>
      </c>
      <c r="D38" s="78" t="s">
        <v>61</v>
      </c>
      <c r="E38" s="77"/>
      <c r="F38" s="79"/>
      <c r="G38" s="80"/>
      <c r="H38" s="81">
        <f t="shared" si="0"/>
        <v>0</v>
      </c>
      <c r="I38" s="82"/>
      <c r="J38" s="77"/>
      <c r="K38" s="100">
        <v>1</v>
      </c>
      <c r="L38" s="101">
        <v>0.9</v>
      </c>
      <c r="M38" s="85">
        <f t="shared" si="1"/>
        <v>0.9</v>
      </c>
      <c r="N38" s="102" t="s">
        <v>410</v>
      </c>
      <c r="O38" s="77"/>
      <c r="P38" s="100">
        <v>1</v>
      </c>
      <c r="Q38" s="101">
        <v>0.98</v>
      </c>
      <c r="R38" s="85">
        <f t="shared" si="2"/>
        <v>0.98</v>
      </c>
      <c r="S38" s="102" t="s">
        <v>234</v>
      </c>
      <c r="T38" s="77"/>
      <c r="U38" s="79"/>
      <c r="V38" s="80"/>
      <c r="W38" s="81">
        <f t="shared" si="3"/>
        <v>0</v>
      </c>
      <c r="X38" s="82"/>
      <c r="Y38" s="77"/>
      <c r="Z38" s="79"/>
      <c r="AA38" s="80"/>
      <c r="AB38" s="81">
        <f t="shared" si="4"/>
        <v>0</v>
      </c>
      <c r="AC38" s="82"/>
      <c r="AD38" s="77"/>
      <c r="AE38" s="79"/>
      <c r="AF38" s="80"/>
      <c r="AG38" s="81">
        <f t="shared" si="5"/>
        <v>0</v>
      </c>
      <c r="AH38" s="82"/>
      <c r="AI38" s="77"/>
      <c r="AJ38" s="79"/>
      <c r="AK38" s="80"/>
      <c r="AL38" s="81">
        <f t="shared" si="6"/>
        <v>0</v>
      </c>
      <c r="AM38" s="82"/>
      <c r="AN38" s="77"/>
      <c r="AO38" s="100">
        <v>1</v>
      </c>
      <c r="AP38" s="101">
        <v>0.6</v>
      </c>
      <c r="AQ38" s="85">
        <f t="shared" si="7"/>
        <v>0.6</v>
      </c>
      <c r="AR38" s="102" t="s">
        <v>558</v>
      </c>
    </row>
    <row r="39" spans="1:44" ht="236.25" x14ac:dyDescent="0.25">
      <c r="A39" s="77">
        <v>36</v>
      </c>
      <c r="B39" s="78" t="s">
        <v>6</v>
      </c>
      <c r="C39" s="78" t="s">
        <v>9</v>
      </c>
      <c r="D39" s="78" t="s">
        <v>62</v>
      </c>
      <c r="E39" s="77"/>
      <c r="F39" s="79"/>
      <c r="G39" s="80"/>
      <c r="H39" s="81">
        <f t="shared" si="0"/>
        <v>0</v>
      </c>
      <c r="I39" s="82"/>
      <c r="J39" s="77"/>
      <c r="K39" s="100">
        <v>1</v>
      </c>
      <c r="L39" s="101">
        <v>0.9</v>
      </c>
      <c r="M39" s="85">
        <f t="shared" si="1"/>
        <v>0.9</v>
      </c>
      <c r="N39" s="102" t="s">
        <v>216</v>
      </c>
      <c r="O39" s="77"/>
      <c r="P39" s="100">
        <v>1</v>
      </c>
      <c r="Q39" s="101">
        <v>0.96</v>
      </c>
      <c r="R39" s="85">
        <f t="shared" si="2"/>
        <v>0.96</v>
      </c>
      <c r="S39" s="102" t="s">
        <v>177</v>
      </c>
      <c r="T39" s="77"/>
      <c r="U39" s="79"/>
      <c r="V39" s="80"/>
      <c r="W39" s="81">
        <f t="shared" si="3"/>
        <v>0</v>
      </c>
      <c r="X39" s="82"/>
      <c r="Y39" s="77"/>
      <c r="Z39" s="79"/>
      <c r="AA39" s="80"/>
      <c r="AB39" s="81">
        <f t="shared" si="4"/>
        <v>0</v>
      </c>
      <c r="AC39" s="82"/>
      <c r="AD39" s="77"/>
      <c r="AE39" s="79"/>
      <c r="AF39" s="80"/>
      <c r="AG39" s="81">
        <f t="shared" si="5"/>
        <v>0</v>
      </c>
      <c r="AH39" s="82"/>
      <c r="AI39" s="77"/>
      <c r="AJ39" s="79"/>
      <c r="AK39" s="80"/>
      <c r="AL39" s="81">
        <f t="shared" si="6"/>
        <v>0</v>
      </c>
      <c r="AM39" s="82"/>
      <c r="AN39" s="77"/>
      <c r="AO39" s="100">
        <v>1</v>
      </c>
      <c r="AP39" s="101">
        <v>0.65</v>
      </c>
      <c r="AQ39" s="85">
        <f t="shared" si="7"/>
        <v>0.65</v>
      </c>
      <c r="AR39" s="102" t="s">
        <v>198</v>
      </c>
    </row>
    <row r="40" spans="1:44" ht="78.75" x14ac:dyDescent="0.25">
      <c r="A40" s="77">
        <v>37</v>
      </c>
      <c r="B40" s="78" t="s">
        <v>6</v>
      </c>
      <c r="C40" s="78" t="s">
        <v>9</v>
      </c>
      <c r="D40" s="78" t="s">
        <v>63</v>
      </c>
      <c r="E40" s="77"/>
      <c r="F40" s="79"/>
      <c r="G40" s="80"/>
      <c r="H40" s="81">
        <f t="shared" si="0"/>
        <v>0</v>
      </c>
      <c r="I40" s="82"/>
      <c r="J40" s="77"/>
      <c r="K40" s="100">
        <v>1</v>
      </c>
      <c r="L40" s="101">
        <v>0.65</v>
      </c>
      <c r="M40" s="85">
        <f t="shared" si="1"/>
        <v>0.65</v>
      </c>
      <c r="N40" s="102" t="s">
        <v>536</v>
      </c>
      <c r="O40" s="77"/>
      <c r="P40" s="100">
        <v>1</v>
      </c>
      <c r="Q40" s="101">
        <v>1</v>
      </c>
      <c r="R40" s="85">
        <f t="shared" si="2"/>
        <v>1</v>
      </c>
      <c r="S40" s="102" t="s">
        <v>285</v>
      </c>
      <c r="T40" s="77"/>
      <c r="U40" s="79"/>
      <c r="V40" s="80"/>
      <c r="W40" s="81">
        <f t="shared" si="3"/>
        <v>0</v>
      </c>
      <c r="X40" s="82"/>
      <c r="Y40" s="77"/>
      <c r="Z40" s="79"/>
      <c r="AA40" s="80"/>
      <c r="AB40" s="81">
        <f t="shared" si="4"/>
        <v>0</v>
      </c>
      <c r="AC40" s="82"/>
      <c r="AD40" s="77"/>
      <c r="AE40" s="79"/>
      <c r="AF40" s="80"/>
      <c r="AG40" s="81">
        <f t="shared" si="5"/>
        <v>0</v>
      </c>
      <c r="AH40" s="82"/>
      <c r="AI40" s="77"/>
      <c r="AJ40" s="79"/>
      <c r="AK40" s="80"/>
      <c r="AL40" s="81">
        <f t="shared" si="6"/>
        <v>0</v>
      </c>
      <c r="AM40" s="82"/>
      <c r="AN40" s="77"/>
      <c r="AO40" s="100">
        <v>1</v>
      </c>
      <c r="AP40" s="101">
        <v>0.6</v>
      </c>
      <c r="AQ40" s="85">
        <f t="shared" si="7"/>
        <v>0.6</v>
      </c>
      <c r="AR40" s="102" t="s">
        <v>199</v>
      </c>
    </row>
    <row r="41" spans="1:44" ht="157.5" x14ac:dyDescent="0.25">
      <c r="A41" s="77">
        <v>38</v>
      </c>
      <c r="B41" s="78" t="s">
        <v>10</v>
      </c>
      <c r="C41" s="78" t="s">
        <v>11</v>
      </c>
      <c r="D41" s="78" t="s">
        <v>65</v>
      </c>
      <c r="E41" s="77"/>
      <c r="F41" s="79"/>
      <c r="G41" s="80"/>
      <c r="H41" s="81">
        <f t="shared" si="0"/>
        <v>0</v>
      </c>
      <c r="I41" s="82"/>
      <c r="J41" s="77"/>
      <c r="K41" s="100">
        <v>1</v>
      </c>
      <c r="L41" s="101">
        <v>0.83</v>
      </c>
      <c r="M41" s="85">
        <f t="shared" si="1"/>
        <v>0.83</v>
      </c>
      <c r="N41" s="78" t="s">
        <v>1388</v>
      </c>
      <c r="O41" s="77"/>
      <c r="P41" s="100">
        <v>1</v>
      </c>
      <c r="Q41" s="101">
        <v>0.7</v>
      </c>
      <c r="R41" s="85">
        <f t="shared" si="2"/>
        <v>0.7</v>
      </c>
      <c r="S41" s="78" t="s">
        <v>1389</v>
      </c>
      <c r="T41" s="77"/>
      <c r="U41" s="79"/>
      <c r="V41" s="80"/>
      <c r="W41" s="81">
        <f t="shared" si="3"/>
        <v>0</v>
      </c>
      <c r="X41" s="82"/>
      <c r="Y41" s="77"/>
      <c r="Z41" s="79"/>
      <c r="AA41" s="80"/>
      <c r="AB41" s="81">
        <f t="shared" si="4"/>
        <v>0</v>
      </c>
      <c r="AC41" s="82"/>
      <c r="AD41" s="77"/>
      <c r="AE41" s="79"/>
      <c r="AF41" s="80"/>
      <c r="AG41" s="81">
        <f t="shared" si="5"/>
        <v>0</v>
      </c>
      <c r="AH41" s="82"/>
      <c r="AI41" s="77"/>
      <c r="AJ41" s="79"/>
      <c r="AK41" s="80"/>
      <c r="AL41" s="81">
        <f t="shared" si="6"/>
        <v>0</v>
      </c>
      <c r="AM41" s="82"/>
      <c r="AN41" s="77"/>
      <c r="AO41" s="100">
        <v>1</v>
      </c>
      <c r="AP41" s="101">
        <v>1</v>
      </c>
      <c r="AQ41" s="85">
        <f t="shared" si="7"/>
        <v>1</v>
      </c>
      <c r="AR41" s="102" t="s">
        <v>1070</v>
      </c>
    </row>
    <row r="42" spans="1:44" ht="105.75" customHeight="1" x14ac:dyDescent="0.25">
      <c r="A42" s="77">
        <v>39</v>
      </c>
      <c r="B42" s="78" t="s">
        <v>10</v>
      </c>
      <c r="C42" s="78" t="s">
        <v>11</v>
      </c>
      <c r="D42" s="78" t="s">
        <v>66</v>
      </c>
      <c r="E42" s="77"/>
      <c r="F42" s="79"/>
      <c r="G42" s="80"/>
      <c r="H42" s="81">
        <f t="shared" si="0"/>
        <v>0</v>
      </c>
      <c r="I42" s="82"/>
      <c r="J42" s="77"/>
      <c r="K42" s="100">
        <v>1</v>
      </c>
      <c r="L42" s="101">
        <v>1</v>
      </c>
      <c r="M42" s="85">
        <f t="shared" si="1"/>
        <v>1</v>
      </c>
      <c r="N42" s="78" t="s">
        <v>1058</v>
      </c>
      <c r="O42" s="77"/>
      <c r="P42" s="100">
        <v>1</v>
      </c>
      <c r="Q42" s="101">
        <v>1</v>
      </c>
      <c r="R42" s="85">
        <f t="shared" si="2"/>
        <v>1</v>
      </c>
      <c r="S42" s="78" t="s">
        <v>1064</v>
      </c>
      <c r="T42" s="77"/>
      <c r="U42" s="79"/>
      <c r="V42" s="80"/>
      <c r="W42" s="81">
        <f t="shared" si="3"/>
        <v>0</v>
      </c>
      <c r="X42" s="82"/>
      <c r="Y42" s="77"/>
      <c r="Z42" s="79"/>
      <c r="AA42" s="80"/>
      <c r="AB42" s="81">
        <f t="shared" si="4"/>
        <v>0</v>
      </c>
      <c r="AC42" s="82"/>
      <c r="AD42" s="77"/>
      <c r="AE42" s="79"/>
      <c r="AF42" s="80"/>
      <c r="AG42" s="81">
        <f t="shared" si="5"/>
        <v>0</v>
      </c>
      <c r="AH42" s="82"/>
      <c r="AI42" s="77"/>
      <c r="AJ42" s="79"/>
      <c r="AK42" s="80"/>
      <c r="AL42" s="81">
        <f t="shared" si="6"/>
        <v>0</v>
      </c>
      <c r="AM42" s="82"/>
      <c r="AN42" s="77"/>
      <c r="AO42" s="100">
        <v>1</v>
      </c>
      <c r="AP42" s="101">
        <v>1</v>
      </c>
      <c r="AQ42" s="85">
        <f t="shared" si="7"/>
        <v>1</v>
      </c>
      <c r="AR42" s="78" t="s">
        <v>1066</v>
      </c>
    </row>
    <row r="43" spans="1:44" ht="112.5" customHeight="1" x14ac:dyDescent="0.25">
      <c r="A43" s="77">
        <v>40</v>
      </c>
      <c r="B43" s="78" t="s">
        <v>10</v>
      </c>
      <c r="C43" s="78" t="s">
        <v>11</v>
      </c>
      <c r="D43" s="78" t="s">
        <v>67</v>
      </c>
      <c r="E43" s="77"/>
      <c r="F43" s="79"/>
      <c r="G43" s="80"/>
      <c r="H43" s="81">
        <f t="shared" si="0"/>
        <v>0</v>
      </c>
      <c r="I43" s="82"/>
      <c r="J43" s="77"/>
      <c r="K43" s="100">
        <v>1</v>
      </c>
      <c r="L43" s="101">
        <v>0.85</v>
      </c>
      <c r="M43" s="85">
        <f t="shared" si="1"/>
        <v>0.85</v>
      </c>
      <c r="N43" s="78" t="s">
        <v>1320</v>
      </c>
      <c r="O43" s="77"/>
      <c r="P43" s="100">
        <v>1</v>
      </c>
      <c r="Q43" s="101">
        <v>0.9</v>
      </c>
      <c r="R43" s="85">
        <f t="shared" si="2"/>
        <v>0.9</v>
      </c>
      <c r="S43" s="78" t="s">
        <v>1390</v>
      </c>
      <c r="T43" s="77"/>
      <c r="U43" s="79"/>
      <c r="V43" s="80"/>
      <c r="W43" s="81">
        <f t="shared" si="3"/>
        <v>0</v>
      </c>
      <c r="X43" s="82"/>
      <c r="Y43" s="77"/>
      <c r="Z43" s="79"/>
      <c r="AA43" s="80"/>
      <c r="AB43" s="81">
        <f t="shared" si="4"/>
        <v>0</v>
      </c>
      <c r="AC43" s="82"/>
      <c r="AD43" s="77"/>
      <c r="AE43" s="79"/>
      <c r="AF43" s="80"/>
      <c r="AG43" s="81">
        <f t="shared" si="5"/>
        <v>0</v>
      </c>
      <c r="AH43" s="82"/>
      <c r="AI43" s="77"/>
      <c r="AJ43" s="79"/>
      <c r="AK43" s="80"/>
      <c r="AL43" s="81">
        <f t="shared" si="6"/>
        <v>0</v>
      </c>
      <c r="AM43" s="82"/>
      <c r="AN43" s="77"/>
      <c r="AO43" s="100">
        <v>1</v>
      </c>
      <c r="AP43" s="101">
        <v>0.5</v>
      </c>
      <c r="AQ43" s="85">
        <f t="shared" si="7"/>
        <v>0.5</v>
      </c>
      <c r="AR43" s="78" t="s">
        <v>1391</v>
      </c>
    </row>
    <row r="44" spans="1:44" ht="78.75" x14ac:dyDescent="0.25">
      <c r="A44" s="77">
        <v>41</v>
      </c>
      <c r="B44" s="78" t="s">
        <v>10</v>
      </c>
      <c r="C44" s="78" t="s">
        <v>11</v>
      </c>
      <c r="D44" s="78" t="s">
        <v>68</v>
      </c>
      <c r="E44" s="77"/>
      <c r="F44" s="79"/>
      <c r="G44" s="80"/>
      <c r="H44" s="81">
        <f t="shared" si="0"/>
        <v>0</v>
      </c>
      <c r="I44" s="82"/>
      <c r="J44" s="77"/>
      <c r="K44" s="100">
        <v>1</v>
      </c>
      <c r="L44" s="101">
        <v>1</v>
      </c>
      <c r="M44" s="85">
        <f t="shared" si="1"/>
        <v>1</v>
      </c>
      <c r="N44" s="78" t="s">
        <v>1059</v>
      </c>
      <c r="O44" s="77"/>
      <c r="P44" s="100">
        <v>1</v>
      </c>
      <c r="Q44" s="101">
        <v>0.87</v>
      </c>
      <c r="R44" s="85">
        <f t="shared" si="2"/>
        <v>0.87</v>
      </c>
      <c r="S44" s="78" t="s">
        <v>1346</v>
      </c>
      <c r="T44" s="77"/>
      <c r="U44" s="79"/>
      <c r="V44" s="80"/>
      <c r="W44" s="81">
        <f t="shared" si="3"/>
        <v>0</v>
      </c>
      <c r="X44" s="82"/>
      <c r="Y44" s="77"/>
      <c r="Z44" s="79"/>
      <c r="AA44" s="80"/>
      <c r="AB44" s="81">
        <f t="shared" si="4"/>
        <v>0</v>
      </c>
      <c r="AC44" s="82"/>
      <c r="AD44" s="77"/>
      <c r="AE44" s="79"/>
      <c r="AF44" s="80"/>
      <c r="AG44" s="81">
        <f t="shared" si="5"/>
        <v>0</v>
      </c>
      <c r="AH44" s="82"/>
      <c r="AI44" s="77"/>
      <c r="AJ44" s="79"/>
      <c r="AK44" s="80"/>
      <c r="AL44" s="81">
        <f t="shared" si="6"/>
        <v>0</v>
      </c>
      <c r="AM44" s="82"/>
      <c r="AN44" s="77"/>
      <c r="AO44" s="100">
        <v>1</v>
      </c>
      <c r="AP44" s="101">
        <v>0.87</v>
      </c>
      <c r="AQ44" s="85">
        <f t="shared" si="7"/>
        <v>0.87</v>
      </c>
      <c r="AR44" s="78" t="s">
        <v>1382</v>
      </c>
    </row>
    <row r="45" spans="1:44" ht="47.25" x14ac:dyDescent="0.25">
      <c r="A45" s="77">
        <v>42</v>
      </c>
      <c r="B45" s="78" t="s">
        <v>10</v>
      </c>
      <c r="C45" s="78" t="s">
        <v>11</v>
      </c>
      <c r="D45" s="78" t="s">
        <v>69</v>
      </c>
      <c r="E45" s="77"/>
      <c r="F45" s="79"/>
      <c r="G45" s="80"/>
      <c r="H45" s="81">
        <f t="shared" si="0"/>
        <v>0</v>
      </c>
      <c r="I45" s="82"/>
      <c r="J45" s="77"/>
      <c r="K45" s="100">
        <v>1</v>
      </c>
      <c r="L45" s="101">
        <v>1</v>
      </c>
      <c r="M45" s="85">
        <f t="shared" si="1"/>
        <v>1</v>
      </c>
      <c r="N45" s="78" t="s">
        <v>1063</v>
      </c>
      <c r="O45" s="77"/>
      <c r="P45" s="100">
        <v>1</v>
      </c>
      <c r="Q45" s="101">
        <v>0.7</v>
      </c>
      <c r="R45" s="85">
        <f t="shared" si="2"/>
        <v>0.7</v>
      </c>
      <c r="S45" s="78" t="s">
        <v>1276</v>
      </c>
      <c r="T45" s="77"/>
      <c r="U45" s="79"/>
      <c r="V45" s="80"/>
      <c r="W45" s="81">
        <f t="shared" si="3"/>
        <v>0</v>
      </c>
      <c r="X45" s="82"/>
      <c r="Y45" s="77"/>
      <c r="Z45" s="79"/>
      <c r="AA45" s="80"/>
      <c r="AB45" s="81">
        <f t="shared" si="4"/>
        <v>0</v>
      </c>
      <c r="AC45" s="82"/>
      <c r="AD45" s="77"/>
      <c r="AE45" s="79"/>
      <c r="AF45" s="80"/>
      <c r="AG45" s="81">
        <f t="shared" si="5"/>
        <v>0</v>
      </c>
      <c r="AH45" s="82"/>
      <c r="AI45" s="77"/>
      <c r="AJ45" s="79"/>
      <c r="AK45" s="80"/>
      <c r="AL45" s="81">
        <f t="shared" si="6"/>
        <v>0</v>
      </c>
      <c r="AM45" s="82"/>
      <c r="AN45" s="77"/>
      <c r="AO45" s="100">
        <v>1</v>
      </c>
      <c r="AP45" s="101">
        <v>0.95</v>
      </c>
      <c r="AQ45" s="85">
        <f t="shared" si="7"/>
        <v>0.95</v>
      </c>
      <c r="AR45" s="78" t="s">
        <v>1277</v>
      </c>
    </row>
    <row r="46" spans="1:44" ht="126" x14ac:dyDescent="0.25">
      <c r="A46" s="77">
        <v>43</v>
      </c>
      <c r="B46" s="78" t="s">
        <v>10</v>
      </c>
      <c r="C46" s="78" t="s">
        <v>11</v>
      </c>
      <c r="D46" s="78" t="s">
        <v>70</v>
      </c>
      <c r="E46" s="77"/>
      <c r="F46" s="79"/>
      <c r="G46" s="80"/>
      <c r="H46" s="81">
        <f t="shared" si="0"/>
        <v>0</v>
      </c>
      <c r="I46" s="82"/>
      <c r="J46" s="77"/>
      <c r="K46" s="100">
        <v>1</v>
      </c>
      <c r="L46" s="101">
        <v>1</v>
      </c>
      <c r="M46" s="85">
        <f t="shared" si="1"/>
        <v>1</v>
      </c>
      <c r="N46" s="78" t="s">
        <v>1392</v>
      </c>
      <c r="O46" s="77"/>
      <c r="P46" s="100">
        <v>1</v>
      </c>
      <c r="Q46" s="101">
        <v>0.73</v>
      </c>
      <c r="R46" s="85">
        <f t="shared" si="2"/>
        <v>0.73</v>
      </c>
      <c r="S46" s="78" t="s">
        <v>1393</v>
      </c>
      <c r="T46" s="77"/>
      <c r="U46" s="79"/>
      <c r="V46" s="80"/>
      <c r="W46" s="81">
        <f t="shared" si="3"/>
        <v>0</v>
      </c>
      <c r="X46" s="82"/>
      <c r="Y46" s="77"/>
      <c r="Z46" s="79"/>
      <c r="AA46" s="80"/>
      <c r="AB46" s="81">
        <f t="shared" si="4"/>
        <v>0</v>
      </c>
      <c r="AC46" s="82"/>
      <c r="AD46" s="77"/>
      <c r="AE46" s="79"/>
      <c r="AF46" s="80"/>
      <c r="AG46" s="81">
        <f t="shared" si="5"/>
        <v>0</v>
      </c>
      <c r="AH46" s="82"/>
      <c r="AI46" s="77"/>
      <c r="AJ46" s="79"/>
      <c r="AK46" s="80"/>
      <c r="AL46" s="81">
        <f t="shared" si="6"/>
        <v>0</v>
      </c>
      <c r="AM46" s="82"/>
      <c r="AN46" s="77"/>
      <c r="AO46" s="100">
        <v>1</v>
      </c>
      <c r="AP46" s="101">
        <v>0.95</v>
      </c>
      <c r="AQ46" s="85">
        <f t="shared" si="7"/>
        <v>0.95</v>
      </c>
      <c r="AR46" s="78" t="s">
        <v>1394</v>
      </c>
    </row>
    <row r="47" spans="1:44" ht="47.25" x14ac:dyDescent="0.25">
      <c r="A47" s="77">
        <v>44</v>
      </c>
      <c r="B47" s="78" t="s">
        <v>10</v>
      </c>
      <c r="C47" s="78" t="s">
        <v>11</v>
      </c>
      <c r="D47" s="78" t="s">
        <v>12</v>
      </c>
      <c r="E47" s="77"/>
      <c r="F47" s="79"/>
      <c r="G47" s="80"/>
      <c r="H47" s="81">
        <f t="shared" si="0"/>
        <v>0</v>
      </c>
      <c r="I47" s="82"/>
      <c r="J47" s="77"/>
      <c r="K47" s="100">
        <v>1</v>
      </c>
      <c r="L47" s="101">
        <v>1</v>
      </c>
      <c r="M47" s="85">
        <f t="shared" si="1"/>
        <v>1</v>
      </c>
      <c r="N47" s="78" t="s">
        <v>1062</v>
      </c>
      <c r="O47" s="77"/>
      <c r="P47" s="100">
        <v>1</v>
      </c>
      <c r="Q47" s="101">
        <v>1</v>
      </c>
      <c r="R47" s="85">
        <f t="shared" si="2"/>
        <v>1</v>
      </c>
      <c r="S47" s="116" t="s">
        <v>1065</v>
      </c>
      <c r="T47" s="77"/>
      <c r="U47" s="79"/>
      <c r="V47" s="80"/>
      <c r="W47" s="81">
        <f t="shared" si="3"/>
        <v>0</v>
      </c>
      <c r="X47" s="82"/>
      <c r="Y47" s="77"/>
      <c r="Z47" s="79"/>
      <c r="AA47" s="80"/>
      <c r="AB47" s="81">
        <f t="shared" si="4"/>
        <v>0</v>
      </c>
      <c r="AC47" s="82"/>
      <c r="AD47" s="77"/>
      <c r="AE47" s="79"/>
      <c r="AF47" s="80"/>
      <c r="AG47" s="81">
        <f t="shared" si="5"/>
        <v>0</v>
      </c>
      <c r="AH47" s="82"/>
      <c r="AI47" s="77"/>
      <c r="AJ47" s="79"/>
      <c r="AK47" s="80"/>
      <c r="AL47" s="81">
        <f t="shared" si="6"/>
        <v>0</v>
      </c>
      <c r="AM47" s="82"/>
      <c r="AN47" s="77"/>
      <c r="AO47" s="100">
        <v>1</v>
      </c>
      <c r="AP47" s="101">
        <v>1</v>
      </c>
      <c r="AQ47" s="85">
        <f t="shared" si="7"/>
        <v>1</v>
      </c>
      <c r="AR47" s="78" t="s">
        <v>1058</v>
      </c>
    </row>
    <row r="48" spans="1:44" ht="63" x14ac:dyDescent="0.25">
      <c r="A48" s="77">
        <v>45</v>
      </c>
      <c r="B48" s="78" t="s">
        <v>10</v>
      </c>
      <c r="C48" s="78" t="s">
        <v>71</v>
      </c>
      <c r="D48" s="78" t="s">
        <v>72</v>
      </c>
      <c r="E48" s="77"/>
      <c r="F48" s="79"/>
      <c r="G48" s="80"/>
      <c r="H48" s="81">
        <f t="shared" si="0"/>
        <v>0</v>
      </c>
      <c r="I48" s="82"/>
      <c r="J48" s="77"/>
      <c r="K48" s="100">
        <v>1</v>
      </c>
      <c r="L48" s="101">
        <v>0.95</v>
      </c>
      <c r="M48" s="85">
        <f t="shared" si="1"/>
        <v>0.95</v>
      </c>
      <c r="N48" s="78" t="s">
        <v>1280</v>
      </c>
      <c r="O48" s="77"/>
      <c r="P48" s="100">
        <v>1</v>
      </c>
      <c r="Q48" s="101">
        <v>0.85</v>
      </c>
      <c r="R48" s="85">
        <f t="shared" si="2"/>
        <v>0.85</v>
      </c>
      <c r="S48" s="78" t="s">
        <v>1281</v>
      </c>
      <c r="T48" s="77"/>
      <c r="U48" s="79"/>
      <c r="V48" s="80"/>
      <c r="W48" s="81">
        <f t="shared" si="3"/>
        <v>0</v>
      </c>
      <c r="X48" s="82"/>
      <c r="Y48" s="77"/>
      <c r="Z48" s="79"/>
      <c r="AA48" s="80"/>
      <c r="AB48" s="81">
        <f t="shared" si="4"/>
        <v>0</v>
      </c>
      <c r="AC48" s="82"/>
      <c r="AD48" s="77"/>
      <c r="AE48" s="79"/>
      <c r="AF48" s="80"/>
      <c r="AG48" s="81">
        <f t="shared" si="5"/>
        <v>0</v>
      </c>
      <c r="AH48" s="82"/>
      <c r="AI48" s="77"/>
      <c r="AJ48" s="79"/>
      <c r="AK48" s="80"/>
      <c r="AL48" s="81">
        <f t="shared" si="6"/>
        <v>0</v>
      </c>
      <c r="AM48" s="82"/>
      <c r="AN48" s="77"/>
      <c r="AO48" s="100">
        <v>1</v>
      </c>
      <c r="AP48" s="101">
        <v>0.8</v>
      </c>
      <c r="AQ48" s="85">
        <f t="shared" si="7"/>
        <v>0.8</v>
      </c>
      <c r="AR48" s="78" t="s">
        <v>1336</v>
      </c>
    </row>
    <row r="49" spans="1:44" ht="47.25" x14ac:dyDescent="0.25">
      <c r="A49" s="77">
        <v>46</v>
      </c>
      <c r="B49" s="78" t="s">
        <v>10</v>
      </c>
      <c r="C49" s="78" t="s">
        <v>11</v>
      </c>
      <c r="D49" s="78" t="s">
        <v>13</v>
      </c>
      <c r="E49" s="77"/>
      <c r="F49" s="79"/>
      <c r="G49" s="80"/>
      <c r="H49" s="81">
        <f t="shared" si="0"/>
        <v>0</v>
      </c>
      <c r="I49" s="82"/>
      <c r="J49" s="77"/>
      <c r="K49" s="100">
        <v>1</v>
      </c>
      <c r="L49" s="101">
        <v>1</v>
      </c>
      <c r="M49" s="85">
        <f t="shared" si="1"/>
        <v>1</v>
      </c>
      <c r="N49" s="78" t="s">
        <v>1060</v>
      </c>
      <c r="O49" s="77"/>
      <c r="P49" s="100">
        <v>1</v>
      </c>
      <c r="Q49" s="101">
        <v>1</v>
      </c>
      <c r="R49" s="85">
        <f t="shared" si="2"/>
        <v>1</v>
      </c>
      <c r="S49" s="102" t="s">
        <v>1395</v>
      </c>
      <c r="T49" s="77"/>
      <c r="U49" s="79"/>
      <c r="V49" s="80"/>
      <c r="W49" s="81">
        <f t="shared" si="3"/>
        <v>0</v>
      </c>
      <c r="X49" s="82"/>
      <c r="Y49" s="77"/>
      <c r="Z49" s="79"/>
      <c r="AA49" s="80"/>
      <c r="AB49" s="81">
        <f t="shared" si="4"/>
        <v>0</v>
      </c>
      <c r="AC49" s="82"/>
      <c r="AD49" s="77"/>
      <c r="AE49" s="79"/>
      <c r="AF49" s="80"/>
      <c r="AG49" s="81">
        <f t="shared" si="5"/>
        <v>0</v>
      </c>
      <c r="AH49" s="82"/>
      <c r="AI49" s="77"/>
      <c r="AJ49" s="79"/>
      <c r="AK49" s="80"/>
      <c r="AL49" s="81">
        <f t="shared" si="6"/>
        <v>0</v>
      </c>
      <c r="AM49" s="82"/>
      <c r="AN49" s="77"/>
      <c r="AO49" s="100">
        <v>1</v>
      </c>
      <c r="AP49" s="101">
        <v>1</v>
      </c>
      <c r="AQ49" s="85">
        <f t="shared" si="7"/>
        <v>1</v>
      </c>
      <c r="AR49" s="78" t="s">
        <v>1395</v>
      </c>
    </row>
    <row r="50" spans="1:44" ht="78.75" x14ac:dyDescent="0.25">
      <c r="A50" s="77">
        <v>47</v>
      </c>
      <c r="B50" s="78" t="s">
        <v>14</v>
      </c>
      <c r="C50" s="78" t="s">
        <v>14</v>
      </c>
      <c r="D50" s="78" t="s">
        <v>15</v>
      </c>
      <c r="E50" s="77"/>
      <c r="F50" s="79"/>
      <c r="G50" s="80"/>
      <c r="H50" s="81">
        <f t="shared" si="0"/>
        <v>0</v>
      </c>
      <c r="I50" s="82"/>
      <c r="J50" s="77"/>
      <c r="K50" s="100">
        <v>1</v>
      </c>
      <c r="L50" s="101">
        <v>1</v>
      </c>
      <c r="M50" s="85">
        <f t="shared" si="1"/>
        <v>1</v>
      </c>
      <c r="N50" s="78" t="s">
        <v>1087</v>
      </c>
      <c r="O50" s="77"/>
      <c r="P50" s="100">
        <v>1</v>
      </c>
      <c r="Q50" s="101">
        <v>1</v>
      </c>
      <c r="R50" s="85">
        <f t="shared" si="2"/>
        <v>1</v>
      </c>
      <c r="S50" s="78" t="s">
        <v>1087</v>
      </c>
      <c r="T50" s="77"/>
      <c r="U50" s="79"/>
      <c r="V50" s="80"/>
      <c r="W50" s="81">
        <f t="shared" si="3"/>
        <v>0</v>
      </c>
      <c r="X50" s="82"/>
      <c r="Y50" s="77"/>
      <c r="Z50" s="79"/>
      <c r="AA50" s="80"/>
      <c r="AB50" s="81">
        <f t="shared" si="4"/>
        <v>0</v>
      </c>
      <c r="AC50" s="82"/>
      <c r="AD50" s="77"/>
      <c r="AE50" s="79"/>
      <c r="AF50" s="80"/>
      <c r="AG50" s="81">
        <f t="shared" si="5"/>
        <v>0</v>
      </c>
      <c r="AH50" s="82"/>
      <c r="AI50" s="77"/>
      <c r="AJ50" s="79"/>
      <c r="AK50" s="80"/>
      <c r="AL50" s="81">
        <f t="shared" si="6"/>
        <v>0</v>
      </c>
      <c r="AM50" s="82"/>
      <c r="AN50" s="77"/>
      <c r="AO50" s="100">
        <v>1</v>
      </c>
      <c r="AP50" s="101">
        <v>1</v>
      </c>
      <c r="AQ50" s="85">
        <f t="shared" si="7"/>
        <v>1</v>
      </c>
      <c r="AR50" s="78" t="s">
        <v>1087</v>
      </c>
    </row>
    <row r="51" spans="1:44" ht="142.5" customHeight="1" x14ac:dyDescent="0.25">
      <c r="A51" s="77">
        <v>48</v>
      </c>
      <c r="B51" s="78" t="s">
        <v>14</v>
      </c>
      <c r="C51" s="78" t="s">
        <v>14</v>
      </c>
      <c r="D51" s="78" t="s">
        <v>73</v>
      </c>
      <c r="E51" s="77"/>
      <c r="F51" s="79"/>
      <c r="G51" s="80"/>
      <c r="H51" s="81">
        <f t="shared" si="0"/>
        <v>0</v>
      </c>
      <c r="I51" s="82"/>
      <c r="J51" s="77"/>
      <c r="K51" s="100">
        <v>1</v>
      </c>
      <c r="L51" s="101">
        <v>0.85</v>
      </c>
      <c r="M51" s="85">
        <f t="shared" si="1"/>
        <v>0.85</v>
      </c>
      <c r="N51" s="78" t="s">
        <v>1580</v>
      </c>
      <c r="O51" s="77"/>
      <c r="P51" s="100">
        <v>1</v>
      </c>
      <c r="Q51" s="101">
        <v>0.95</v>
      </c>
      <c r="R51" s="85">
        <f t="shared" si="2"/>
        <v>0.95</v>
      </c>
      <c r="S51" s="78" t="s">
        <v>1100</v>
      </c>
      <c r="T51" s="77"/>
      <c r="U51" s="79"/>
      <c r="V51" s="80"/>
      <c r="W51" s="81">
        <f t="shared" si="3"/>
        <v>0</v>
      </c>
      <c r="X51" s="82"/>
      <c r="Y51" s="77"/>
      <c r="Z51" s="79"/>
      <c r="AA51" s="80"/>
      <c r="AB51" s="81">
        <f t="shared" si="4"/>
        <v>0</v>
      </c>
      <c r="AC51" s="82"/>
      <c r="AD51" s="77"/>
      <c r="AE51" s="79"/>
      <c r="AF51" s="80"/>
      <c r="AG51" s="81">
        <f t="shared" si="5"/>
        <v>0</v>
      </c>
      <c r="AH51" s="82"/>
      <c r="AI51" s="77"/>
      <c r="AJ51" s="79"/>
      <c r="AK51" s="80"/>
      <c r="AL51" s="81">
        <f t="shared" si="6"/>
        <v>0</v>
      </c>
      <c r="AM51" s="82"/>
      <c r="AN51" s="77"/>
      <c r="AO51" s="100">
        <v>1</v>
      </c>
      <c r="AP51" s="101">
        <v>0.5</v>
      </c>
      <c r="AQ51" s="85">
        <f t="shared" si="7"/>
        <v>0.5</v>
      </c>
      <c r="AR51" s="78" t="s">
        <v>1484</v>
      </c>
    </row>
    <row r="52" spans="1:44" ht="237.75" customHeight="1" x14ac:dyDescent="0.25">
      <c r="A52" s="77">
        <v>49</v>
      </c>
      <c r="B52" s="78" t="s">
        <v>14</v>
      </c>
      <c r="C52" s="78" t="s">
        <v>14</v>
      </c>
      <c r="D52" s="78" t="s">
        <v>74</v>
      </c>
      <c r="E52" s="77"/>
      <c r="F52" s="79"/>
      <c r="G52" s="80"/>
      <c r="H52" s="81">
        <f t="shared" si="0"/>
        <v>0</v>
      </c>
      <c r="I52" s="82"/>
      <c r="J52" s="77"/>
      <c r="K52" s="100">
        <v>1</v>
      </c>
      <c r="L52" s="101">
        <v>0.9</v>
      </c>
      <c r="M52" s="85">
        <f t="shared" si="1"/>
        <v>0.9</v>
      </c>
      <c r="N52" s="78" t="s">
        <v>1116</v>
      </c>
      <c r="O52" s="77"/>
      <c r="P52" s="100">
        <v>1</v>
      </c>
      <c r="Q52" s="101">
        <v>0.7</v>
      </c>
      <c r="R52" s="85">
        <f t="shared" si="2"/>
        <v>0.7</v>
      </c>
      <c r="S52" s="78" t="s">
        <v>1585</v>
      </c>
      <c r="T52" s="77"/>
      <c r="U52" s="79"/>
      <c r="V52" s="80"/>
      <c r="W52" s="81">
        <f t="shared" si="3"/>
        <v>0</v>
      </c>
      <c r="X52" s="82"/>
      <c r="Y52" s="77"/>
      <c r="Z52" s="79"/>
      <c r="AA52" s="80"/>
      <c r="AB52" s="81">
        <f t="shared" si="4"/>
        <v>0</v>
      </c>
      <c r="AC52" s="82"/>
      <c r="AD52" s="77"/>
      <c r="AE52" s="79"/>
      <c r="AF52" s="80"/>
      <c r="AG52" s="81">
        <f t="shared" si="5"/>
        <v>0</v>
      </c>
      <c r="AH52" s="82"/>
      <c r="AI52" s="77"/>
      <c r="AJ52" s="79"/>
      <c r="AK52" s="80"/>
      <c r="AL52" s="81">
        <f t="shared" si="6"/>
        <v>0</v>
      </c>
      <c r="AM52" s="82"/>
      <c r="AN52" s="77"/>
      <c r="AO52" s="100">
        <v>1</v>
      </c>
      <c r="AP52" s="101">
        <v>0.7</v>
      </c>
      <c r="AQ52" s="85">
        <f t="shared" si="7"/>
        <v>0.7</v>
      </c>
      <c r="AR52" s="78" t="s">
        <v>1122</v>
      </c>
    </row>
    <row r="53" spans="1:44" ht="138" customHeight="1" x14ac:dyDescent="0.25">
      <c r="A53" s="77">
        <v>50</v>
      </c>
      <c r="B53" s="78" t="s">
        <v>14</v>
      </c>
      <c r="C53" s="78" t="s">
        <v>14</v>
      </c>
      <c r="D53" s="78" t="s">
        <v>75</v>
      </c>
      <c r="E53" s="77"/>
      <c r="F53" s="79"/>
      <c r="G53" s="80"/>
      <c r="H53" s="81">
        <f t="shared" si="0"/>
        <v>0</v>
      </c>
      <c r="I53" s="82"/>
      <c r="J53" s="77"/>
      <c r="K53" s="100">
        <v>1</v>
      </c>
      <c r="L53" s="101">
        <v>1</v>
      </c>
      <c r="M53" s="85">
        <f t="shared" si="1"/>
        <v>1</v>
      </c>
      <c r="N53" s="78" t="s">
        <v>1087</v>
      </c>
      <c r="O53" s="77"/>
      <c r="P53" s="100">
        <v>1</v>
      </c>
      <c r="Q53" s="101">
        <v>1</v>
      </c>
      <c r="R53" s="85">
        <f t="shared" si="2"/>
        <v>1</v>
      </c>
      <c r="S53" s="78" t="s">
        <v>1087</v>
      </c>
      <c r="T53" s="77"/>
      <c r="U53" s="79"/>
      <c r="V53" s="80"/>
      <c r="W53" s="81">
        <f t="shared" si="3"/>
        <v>0</v>
      </c>
      <c r="X53" s="82"/>
      <c r="Y53" s="77"/>
      <c r="Z53" s="79"/>
      <c r="AA53" s="80"/>
      <c r="AB53" s="81">
        <f t="shared" si="4"/>
        <v>0</v>
      </c>
      <c r="AC53" s="82"/>
      <c r="AD53" s="77"/>
      <c r="AE53" s="79"/>
      <c r="AF53" s="80"/>
      <c r="AG53" s="81">
        <f t="shared" si="5"/>
        <v>0</v>
      </c>
      <c r="AH53" s="82"/>
      <c r="AI53" s="77"/>
      <c r="AJ53" s="79"/>
      <c r="AK53" s="80"/>
      <c r="AL53" s="81">
        <f t="shared" si="6"/>
        <v>0</v>
      </c>
      <c r="AM53" s="82"/>
      <c r="AN53" s="77"/>
      <c r="AO53" s="100">
        <v>1</v>
      </c>
      <c r="AP53" s="101">
        <v>1</v>
      </c>
      <c r="AQ53" s="85">
        <f t="shared" si="7"/>
        <v>1</v>
      </c>
      <c r="AR53" s="78" t="s">
        <v>1087</v>
      </c>
    </row>
    <row r="54" spans="1:44" ht="109.5" customHeight="1" x14ac:dyDescent="0.25">
      <c r="A54" s="77">
        <v>51</v>
      </c>
      <c r="B54" s="78" t="s">
        <v>14</v>
      </c>
      <c r="C54" s="78" t="s">
        <v>14</v>
      </c>
      <c r="D54" s="78" t="s">
        <v>76</v>
      </c>
      <c r="E54" s="77"/>
      <c r="F54" s="79"/>
      <c r="G54" s="80"/>
      <c r="H54" s="81">
        <f t="shared" si="0"/>
        <v>0</v>
      </c>
      <c r="I54" s="82"/>
      <c r="J54" s="77"/>
      <c r="K54" s="100">
        <v>1</v>
      </c>
      <c r="L54" s="101">
        <v>1</v>
      </c>
      <c r="M54" s="85">
        <f t="shared" si="1"/>
        <v>1</v>
      </c>
      <c r="N54" s="78" t="s">
        <v>1087</v>
      </c>
      <c r="O54" s="77"/>
      <c r="P54" s="100">
        <v>1</v>
      </c>
      <c r="Q54" s="101">
        <v>1</v>
      </c>
      <c r="R54" s="85">
        <f t="shared" si="2"/>
        <v>1</v>
      </c>
      <c r="S54" s="78" t="s">
        <v>1087</v>
      </c>
      <c r="T54" s="77"/>
      <c r="U54" s="79"/>
      <c r="V54" s="80"/>
      <c r="W54" s="81">
        <f t="shared" si="3"/>
        <v>0</v>
      </c>
      <c r="X54" s="82"/>
      <c r="Y54" s="77"/>
      <c r="Z54" s="79"/>
      <c r="AA54" s="80"/>
      <c r="AB54" s="81">
        <f t="shared" si="4"/>
        <v>0</v>
      </c>
      <c r="AC54" s="82"/>
      <c r="AD54" s="77"/>
      <c r="AE54" s="79"/>
      <c r="AF54" s="80"/>
      <c r="AG54" s="81">
        <f t="shared" si="5"/>
        <v>0</v>
      </c>
      <c r="AH54" s="82"/>
      <c r="AI54" s="77"/>
      <c r="AJ54" s="79"/>
      <c r="AK54" s="80"/>
      <c r="AL54" s="81">
        <f t="shared" si="6"/>
        <v>0</v>
      </c>
      <c r="AM54" s="82"/>
      <c r="AN54" s="77"/>
      <c r="AO54" s="100">
        <v>1</v>
      </c>
      <c r="AP54" s="101">
        <v>1</v>
      </c>
      <c r="AQ54" s="85">
        <f t="shared" si="7"/>
        <v>1</v>
      </c>
      <c r="AR54" s="78" t="s">
        <v>1087</v>
      </c>
    </row>
    <row r="55" spans="1:44" ht="63" x14ac:dyDescent="0.25">
      <c r="A55" s="77">
        <v>52</v>
      </c>
      <c r="B55" s="78" t="s">
        <v>14</v>
      </c>
      <c r="C55" s="78" t="s">
        <v>14</v>
      </c>
      <c r="D55" s="78" t="s">
        <v>77</v>
      </c>
      <c r="E55" s="77"/>
      <c r="F55" s="79"/>
      <c r="G55" s="80"/>
      <c r="H55" s="81">
        <f t="shared" si="0"/>
        <v>0</v>
      </c>
      <c r="I55" s="82"/>
      <c r="J55" s="77"/>
      <c r="K55" s="100">
        <v>1</v>
      </c>
      <c r="L55" s="101">
        <v>1</v>
      </c>
      <c r="M55" s="85">
        <f t="shared" si="1"/>
        <v>1</v>
      </c>
      <c r="N55" s="78" t="s">
        <v>1087</v>
      </c>
      <c r="O55" s="77"/>
      <c r="P55" s="100">
        <v>1</v>
      </c>
      <c r="Q55" s="101">
        <v>0.9</v>
      </c>
      <c r="R55" s="85">
        <f t="shared" si="2"/>
        <v>0.9</v>
      </c>
      <c r="S55" s="78" t="s">
        <v>1101</v>
      </c>
      <c r="T55" s="77"/>
      <c r="U55" s="79"/>
      <c r="V55" s="80"/>
      <c r="W55" s="81">
        <f t="shared" si="3"/>
        <v>0</v>
      </c>
      <c r="X55" s="82"/>
      <c r="Y55" s="77"/>
      <c r="Z55" s="79"/>
      <c r="AA55" s="80"/>
      <c r="AB55" s="81">
        <f t="shared" si="4"/>
        <v>0</v>
      </c>
      <c r="AC55" s="82"/>
      <c r="AD55" s="77"/>
      <c r="AE55" s="79"/>
      <c r="AF55" s="80"/>
      <c r="AG55" s="81">
        <f t="shared" si="5"/>
        <v>0</v>
      </c>
      <c r="AH55" s="82"/>
      <c r="AI55" s="77"/>
      <c r="AJ55" s="79"/>
      <c r="AK55" s="80"/>
      <c r="AL55" s="81">
        <f t="shared" si="6"/>
        <v>0</v>
      </c>
      <c r="AM55" s="82"/>
      <c r="AN55" s="77"/>
      <c r="AO55" s="100">
        <v>1</v>
      </c>
      <c r="AP55" s="101">
        <v>0.75</v>
      </c>
      <c r="AQ55" s="85">
        <f t="shared" si="7"/>
        <v>0.75</v>
      </c>
      <c r="AR55" s="78" t="s">
        <v>1110</v>
      </c>
    </row>
    <row r="56" spans="1:44" ht="79.5" customHeight="1" x14ac:dyDescent="0.25">
      <c r="A56" s="77">
        <v>53</v>
      </c>
      <c r="B56" s="78" t="s">
        <v>14</v>
      </c>
      <c r="C56" s="78" t="s">
        <v>14</v>
      </c>
      <c r="D56" s="78" t="s">
        <v>78</v>
      </c>
      <c r="E56" s="77"/>
      <c r="F56" s="79"/>
      <c r="G56" s="80"/>
      <c r="H56" s="81">
        <f t="shared" si="0"/>
        <v>0</v>
      </c>
      <c r="I56" s="82"/>
      <c r="J56" s="77"/>
      <c r="K56" s="100">
        <v>1</v>
      </c>
      <c r="L56" s="101">
        <v>1</v>
      </c>
      <c r="M56" s="85">
        <f t="shared" si="1"/>
        <v>1</v>
      </c>
      <c r="N56" s="78" t="s">
        <v>1087</v>
      </c>
      <c r="O56" s="77"/>
      <c r="P56" s="100">
        <v>1</v>
      </c>
      <c r="Q56" s="101">
        <v>0.9</v>
      </c>
      <c r="R56" s="85">
        <f t="shared" si="2"/>
        <v>0.9</v>
      </c>
      <c r="S56" s="78" t="s">
        <v>1091</v>
      </c>
      <c r="T56" s="77"/>
      <c r="U56" s="79"/>
      <c r="V56" s="80"/>
      <c r="W56" s="81">
        <f t="shared" si="3"/>
        <v>0</v>
      </c>
      <c r="X56" s="77"/>
      <c r="Y56" s="77"/>
      <c r="Z56" s="79"/>
      <c r="AA56" s="80"/>
      <c r="AB56" s="81">
        <f t="shared" si="4"/>
        <v>0</v>
      </c>
      <c r="AC56" s="77"/>
      <c r="AD56" s="77"/>
      <c r="AE56" s="79"/>
      <c r="AF56" s="80"/>
      <c r="AG56" s="81">
        <f t="shared" si="5"/>
        <v>0</v>
      </c>
      <c r="AH56" s="77"/>
      <c r="AI56" s="77"/>
      <c r="AJ56" s="79"/>
      <c r="AK56" s="80"/>
      <c r="AL56" s="81">
        <f t="shared" si="6"/>
        <v>0</v>
      </c>
      <c r="AM56" s="77"/>
      <c r="AN56" s="77"/>
      <c r="AO56" s="100">
        <v>1</v>
      </c>
      <c r="AP56" s="101">
        <v>1</v>
      </c>
      <c r="AQ56" s="85">
        <f t="shared" si="7"/>
        <v>1</v>
      </c>
      <c r="AR56" s="117" t="s">
        <v>1087</v>
      </c>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E906B272-C931-4661-BC95-16CA3E46DE78}">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92ABD1BE-FD5D-480A-A21A-DBD7FF9BDE07}">
          <x14:formula1>
            <xm:f>'C:\Users\michele.cerqueira\AppData\Local\Microsoft\Windows\INetCache\Content.Outlook\CUTOBPMD\[ESTUDOS DE MERCADO - AVALIAÇÕES FINAIS.xlsx]Parâmetros'!#REF!</xm:f>
          </x14:formula1>
          <xm:sqref>K4:K15 P4:P15 AO4:AO15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222"/>
  <sheetViews>
    <sheetView zoomScale="60" zoomScaleNormal="60" workbookViewId="0">
      <pane xSplit="4" ySplit="3" topLeftCell="M10" activePane="bottomRight" state="frozen"/>
      <selection pane="topRight" activeCell="E1" sqref="E1"/>
      <selection pane="bottomLeft" activeCell="A4" sqref="A4"/>
      <selection pane="bottomRight" activeCell="S10" sqref="S10"/>
    </sheetView>
  </sheetViews>
  <sheetFormatPr defaultRowHeight="15" x14ac:dyDescent="0.25"/>
  <cols>
    <col min="1" max="1" width="4" style="73" customWidth="1"/>
    <col min="2" max="2" width="16.5703125" style="74" bestFit="1" customWidth="1"/>
    <col min="3" max="3" width="20.7109375" style="74" customWidth="1"/>
    <col min="4" max="4" width="81.140625" style="74" customWidth="1"/>
    <col min="5" max="5" width="2.42578125" style="74" customWidth="1"/>
    <col min="6" max="6" width="20.140625" style="74" hidden="1" customWidth="1"/>
    <col min="7" max="7" width="14.28515625" style="74" hidden="1" customWidth="1"/>
    <col min="8" max="8" width="9.140625" style="74" hidden="1" customWidth="1"/>
    <col min="9" max="9" width="52.85546875" style="110" hidden="1" customWidth="1"/>
    <col min="10" max="10" width="1.85546875" style="74" hidden="1" customWidth="1"/>
    <col min="11" max="11" width="14.7109375" style="75" customWidth="1"/>
    <col min="12" max="12" width="14.28515625" style="75" bestFit="1" customWidth="1"/>
    <col min="13" max="13" width="9.140625" style="75" customWidth="1"/>
    <col min="14" max="14" width="88.5703125" style="121" customWidth="1"/>
    <col min="15" max="15" width="1.5703125" style="74" customWidth="1"/>
    <col min="16" max="16" width="20.140625" style="75" bestFit="1" customWidth="1"/>
    <col min="17" max="17" width="14.28515625" style="75" bestFit="1" customWidth="1"/>
    <col min="18" max="18" width="9.140625" style="75" customWidth="1"/>
    <col min="19" max="19" width="94.85546875" style="121" customWidth="1"/>
    <col min="20" max="20" width="3.42578125" style="74" customWidth="1"/>
    <col min="21" max="21" width="14.140625" style="74" hidden="1" customWidth="1"/>
    <col min="22" max="22" width="17.85546875" style="74" hidden="1" customWidth="1"/>
    <col min="23" max="23" width="0" style="74" hidden="1" customWidth="1"/>
    <col min="24" max="24" width="79.42578125" style="74" hidden="1" customWidth="1"/>
    <col min="25" max="25" width="0" style="74" hidden="1" customWidth="1"/>
    <col min="26" max="26" width="16.7109375" style="74" hidden="1" customWidth="1"/>
    <col min="27" max="27" width="15.5703125" style="74" hidden="1" customWidth="1"/>
    <col min="28" max="28" width="0" style="74" hidden="1" customWidth="1"/>
    <col min="29" max="29" width="72.140625" style="74" hidden="1" customWidth="1"/>
    <col min="30" max="30" width="0" style="74" hidden="1" customWidth="1"/>
    <col min="31" max="31" width="15.5703125" style="74" hidden="1" customWidth="1"/>
    <col min="32" max="32" width="15.7109375" style="74" hidden="1" customWidth="1"/>
    <col min="33" max="33" width="0" style="74" hidden="1" customWidth="1"/>
    <col min="34" max="34" width="75.5703125" style="74" hidden="1" customWidth="1"/>
    <col min="35" max="35" width="0" style="74" hidden="1" customWidth="1"/>
    <col min="36" max="36" width="14.28515625" style="75" customWidth="1"/>
    <col min="37" max="37" width="11.85546875" style="75" customWidth="1"/>
    <col min="38" max="38" width="9.140625" style="75"/>
    <col min="39" max="39" width="149.42578125" style="121" customWidth="1"/>
    <col min="40" max="40" width="4.5703125" style="74" customWidth="1"/>
    <col min="41" max="41" width="13.5703125" style="75" customWidth="1"/>
    <col min="42" max="42" width="12.85546875" style="75" customWidth="1"/>
    <col min="43" max="43" width="9.140625" style="75"/>
    <col min="44" max="44" width="152.42578125" style="74" customWidth="1"/>
    <col min="45" max="16384" width="9.140625" style="74"/>
  </cols>
  <sheetData>
    <row r="1" spans="1:44" x14ac:dyDescent="0.25">
      <c r="I1" s="74"/>
    </row>
    <row r="2" spans="1:44" ht="39.75" customHeight="1" x14ac:dyDescent="0.25">
      <c r="B2" s="233" t="s">
        <v>16</v>
      </c>
      <c r="C2" s="233"/>
      <c r="D2" s="233"/>
      <c r="F2" s="232" t="s">
        <v>121</v>
      </c>
      <c r="G2" s="232"/>
      <c r="H2" s="232"/>
      <c r="I2" s="232"/>
      <c r="K2" s="234" t="s">
        <v>119</v>
      </c>
      <c r="L2" s="235"/>
      <c r="M2" s="235"/>
      <c r="N2" s="236"/>
      <c r="P2" s="233" t="s">
        <v>120</v>
      </c>
      <c r="Q2" s="233"/>
      <c r="R2" s="233"/>
      <c r="S2" s="233"/>
      <c r="U2" s="232" t="s">
        <v>122</v>
      </c>
      <c r="V2" s="232"/>
      <c r="W2" s="232"/>
      <c r="X2" s="232"/>
      <c r="Z2" s="232" t="s">
        <v>123</v>
      </c>
      <c r="AA2" s="232"/>
      <c r="AB2" s="232"/>
      <c r="AC2" s="232"/>
      <c r="AE2" s="232" t="s">
        <v>124</v>
      </c>
      <c r="AF2" s="232"/>
      <c r="AG2" s="232"/>
      <c r="AH2" s="232"/>
      <c r="AJ2" s="233" t="s">
        <v>125</v>
      </c>
      <c r="AK2" s="233"/>
      <c r="AL2" s="233"/>
      <c r="AM2" s="233"/>
      <c r="AO2" s="233" t="s">
        <v>1318</v>
      </c>
      <c r="AP2" s="233"/>
      <c r="AQ2" s="233"/>
      <c r="AR2" s="233"/>
    </row>
    <row r="3" spans="1:44" ht="64.5" customHeight="1" x14ac:dyDescent="0.25">
      <c r="B3" s="66" t="s">
        <v>0</v>
      </c>
      <c r="C3" s="66" t="s">
        <v>1</v>
      </c>
      <c r="D3" s="66" t="s">
        <v>2</v>
      </c>
      <c r="F3" s="67" t="s">
        <v>17</v>
      </c>
      <c r="G3" s="67" t="s">
        <v>18</v>
      </c>
      <c r="H3" s="67" t="s">
        <v>21</v>
      </c>
      <c r="I3" s="67" t="s">
        <v>19</v>
      </c>
      <c r="K3" s="70" t="s">
        <v>17</v>
      </c>
      <c r="L3" s="70" t="s">
        <v>18</v>
      </c>
      <c r="M3" s="70" t="s">
        <v>21</v>
      </c>
      <c r="N3" s="67" t="s">
        <v>19</v>
      </c>
      <c r="P3" s="70" t="s">
        <v>17</v>
      </c>
      <c r="Q3" s="70" t="s">
        <v>18</v>
      </c>
      <c r="R3" s="70" t="s">
        <v>21</v>
      </c>
      <c r="S3" s="67" t="s">
        <v>19</v>
      </c>
      <c r="U3" s="67" t="s">
        <v>17</v>
      </c>
      <c r="V3" s="67" t="s">
        <v>18</v>
      </c>
      <c r="W3" s="67" t="s">
        <v>21</v>
      </c>
      <c r="X3" s="67" t="s">
        <v>19</v>
      </c>
      <c r="Z3" s="67" t="s">
        <v>17</v>
      </c>
      <c r="AA3" s="67" t="s">
        <v>18</v>
      </c>
      <c r="AB3" s="67" t="s">
        <v>21</v>
      </c>
      <c r="AC3" s="67" t="s">
        <v>19</v>
      </c>
      <c r="AE3" s="67" t="s">
        <v>17</v>
      </c>
      <c r="AF3" s="67" t="s">
        <v>18</v>
      </c>
      <c r="AG3" s="67" t="s">
        <v>21</v>
      </c>
      <c r="AH3" s="67" t="s">
        <v>19</v>
      </c>
      <c r="AJ3" s="70" t="s">
        <v>17</v>
      </c>
      <c r="AK3" s="70" t="s">
        <v>18</v>
      </c>
      <c r="AL3" s="70" t="s">
        <v>21</v>
      </c>
      <c r="AM3" s="67" t="s">
        <v>19</v>
      </c>
      <c r="AO3" s="70" t="s">
        <v>17</v>
      </c>
      <c r="AP3" s="70" t="s">
        <v>18</v>
      </c>
      <c r="AQ3" s="70" t="s">
        <v>21</v>
      </c>
      <c r="AR3" s="67" t="s">
        <v>19</v>
      </c>
    </row>
    <row r="4" spans="1:44" ht="165.75" customHeight="1" x14ac:dyDescent="0.25">
      <c r="A4" s="77">
        <v>1</v>
      </c>
      <c r="B4" s="78" t="s">
        <v>3</v>
      </c>
      <c r="C4" s="78" t="s">
        <v>4</v>
      </c>
      <c r="D4" s="78" t="s">
        <v>127</v>
      </c>
      <c r="E4" s="77"/>
      <c r="F4" s="79"/>
      <c r="G4" s="80"/>
      <c r="H4" s="81">
        <f>F4*G4</f>
        <v>0</v>
      </c>
      <c r="I4" s="82"/>
      <c r="J4" s="77"/>
      <c r="K4" s="83">
        <v>1</v>
      </c>
      <c r="L4" s="84">
        <v>1</v>
      </c>
      <c r="M4" s="85">
        <f>K4*L4</f>
        <v>1</v>
      </c>
      <c r="N4" s="87"/>
      <c r="O4" s="77"/>
      <c r="P4" s="83">
        <v>1</v>
      </c>
      <c r="Q4" s="84">
        <v>0.8</v>
      </c>
      <c r="R4" s="85">
        <f>P4*Q4</f>
        <v>0.8</v>
      </c>
      <c r="S4" s="87" t="s">
        <v>1417</v>
      </c>
      <c r="T4" s="77"/>
      <c r="U4" s="79"/>
      <c r="V4" s="80"/>
      <c r="W4" s="81">
        <f>U4*V4</f>
        <v>0</v>
      </c>
      <c r="X4" s="82"/>
      <c r="Y4" s="77"/>
      <c r="Z4" s="79"/>
      <c r="AA4" s="80"/>
      <c r="AB4" s="81">
        <f>Z4*AA4</f>
        <v>0</v>
      </c>
      <c r="AC4" s="82"/>
      <c r="AD4" s="77"/>
      <c r="AE4" s="79"/>
      <c r="AF4" s="80"/>
      <c r="AG4" s="81">
        <f>AE4*AF4</f>
        <v>0</v>
      </c>
      <c r="AH4" s="82"/>
      <c r="AI4" s="77"/>
      <c r="AJ4" s="83">
        <v>1</v>
      </c>
      <c r="AK4" s="84">
        <v>0.4</v>
      </c>
      <c r="AL4" s="85">
        <f>AJ4*AK4</f>
        <v>0.4</v>
      </c>
      <c r="AM4" s="87" t="s">
        <v>1418</v>
      </c>
      <c r="AN4" s="77"/>
      <c r="AO4" s="83">
        <v>1</v>
      </c>
      <c r="AP4" s="84">
        <v>0.4</v>
      </c>
      <c r="AQ4" s="85">
        <f>AO4*AP4</f>
        <v>0.4</v>
      </c>
      <c r="AR4" s="86" t="s">
        <v>1188</v>
      </c>
    </row>
    <row r="5" spans="1:44" ht="206.25" customHeight="1" x14ac:dyDescent="0.25">
      <c r="A5" s="77">
        <v>2</v>
      </c>
      <c r="B5" s="78" t="s">
        <v>3</v>
      </c>
      <c r="C5" s="78" t="s">
        <v>4</v>
      </c>
      <c r="D5" s="78" t="s">
        <v>33</v>
      </c>
      <c r="E5" s="77"/>
      <c r="F5" s="79"/>
      <c r="G5" s="80"/>
      <c r="H5" s="81">
        <f t="shared" ref="H5:H56" si="0">F5*G5</f>
        <v>0</v>
      </c>
      <c r="I5" s="82"/>
      <c r="J5" s="77"/>
      <c r="K5" s="111">
        <v>1</v>
      </c>
      <c r="L5" s="112">
        <v>0.95</v>
      </c>
      <c r="M5" s="85">
        <f t="shared" ref="M5:M15" si="1">K5*L5</f>
        <v>0.95</v>
      </c>
      <c r="N5" s="113" t="s">
        <v>1179</v>
      </c>
      <c r="O5" s="77"/>
      <c r="P5" s="111">
        <v>1</v>
      </c>
      <c r="Q5" s="112">
        <v>0.75</v>
      </c>
      <c r="R5" s="85">
        <f t="shared" ref="R5:R56" si="2">P5*Q5</f>
        <v>0.75</v>
      </c>
      <c r="S5" s="113" t="s">
        <v>1419</v>
      </c>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111">
        <v>1</v>
      </c>
      <c r="AK5" s="112">
        <v>0.6</v>
      </c>
      <c r="AL5" s="85">
        <f t="shared" ref="AL5:AL56" si="6">AJ5*AK5</f>
        <v>0.6</v>
      </c>
      <c r="AM5" s="113" t="s">
        <v>1420</v>
      </c>
      <c r="AN5" s="77"/>
      <c r="AO5" s="111">
        <v>1</v>
      </c>
      <c r="AP5" s="112">
        <v>0.15</v>
      </c>
      <c r="AQ5" s="85">
        <f t="shared" ref="AQ5:AQ56" si="7">AO5*AP5</f>
        <v>0.15</v>
      </c>
      <c r="AR5" s="113" t="s">
        <v>1189</v>
      </c>
    </row>
    <row r="6" spans="1:44" ht="282" customHeight="1" x14ac:dyDescent="0.25">
      <c r="A6" s="77">
        <v>3</v>
      </c>
      <c r="B6" s="78" t="s">
        <v>3</v>
      </c>
      <c r="C6" s="78" t="s">
        <v>4</v>
      </c>
      <c r="D6" s="78" t="s">
        <v>128</v>
      </c>
      <c r="E6" s="77"/>
      <c r="F6" s="79"/>
      <c r="G6" s="80"/>
      <c r="H6" s="81">
        <f t="shared" si="0"/>
        <v>0</v>
      </c>
      <c r="I6" s="82"/>
      <c r="J6" s="77"/>
      <c r="K6" s="83">
        <v>1</v>
      </c>
      <c r="L6" s="84">
        <v>1</v>
      </c>
      <c r="M6" s="85">
        <f t="shared" si="1"/>
        <v>1</v>
      </c>
      <c r="N6" s="87"/>
      <c r="O6" s="77"/>
      <c r="P6" s="83">
        <v>1</v>
      </c>
      <c r="Q6" s="84">
        <v>0.95</v>
      </c>
      <c r="R6" s="85">
        <f t="shared" si="2"/>
        <v>0.95</v>
      </c>
      <c r="S6" s="87" t="s">
        <v>1236</v>
      </c>
      <c r="T6" s="77"/>
      <c r="U6" s="79"/>
      <c r="V6" s="80"/>
      <c r="W6" s="81">
        <f t="shared" si="3"/>
        <v>0</v>
      </c>
      <c r="X6" s="82"/>
      <c r="Y6" s="77"/>
      <c r="Z6" s="79"/>
      <c r="AA6" s="80"/>
      <c r="AB6" s="81">
        <f t="shared" si="4"/>
        <v>0</v>
      </c>
      <c r="AC6" s="82"/>
      <c r="AD6" s="77"/>
      <c r="AE6" s="79"/>
      <c r="AF6" s="80"/>
      <c r="AG6" s="81">
        <f t="shared" si="5"/>
        <v>0</v>
      </c>
      <c r="AH6" s="82"/>
      <c r="AI6" s="77"/>
      <c r="AJ6" s="83">
        <v>1</v>
      </c>
      <c r="AK6" s="84">
        <v>0.85</v>
      </c>
      <c r="AL6" s="85">
        <f t="shared" si="6"/>
        <v>0.85</v>
      </c>
      <c r="AM6" s="87" t="s">
        <v>1240</v>
      </c>
      <c r="AN6" s="77"/>
      <c r="AO6" s="83">
        <v>1</v>
      </c>
      <c r="AP6" s="84">
        <v>0.2</v>
      </c>
      <c r="AQ6" s="85">
        <f t="shared" si="7"/>
        <v>0.2</v>
      </c>
      <c r="AR6" s="82" t="s">
        <v>1592</v>
      </c>
    </row>
    <row r="7" spans="1:44" ht="256.5" customHeight="1" x14ac:dyDescent="0.25">
      <c r="A7" s="77">
        <v>4</v>
      </c>
      <c r="B7" s="78" t="s">
        <v>3</v>
      </c>
      <c r="C7" s="78" t="s">
        <v>4</v>
      </c>
      <c r="D7" s="78" t="s">
        <v>34</v>
      </c>
      <c r="E7" s="77"/>
      <c r="F7" s="79"/>
      <c r="G7" s="80"/>
      <c r="H7" s="81">
        <f t="shared" si="0"/>
        <v>0</v>
      </c>
      <c r="I7" s="82"/>
      <c r="J7" s="77"/>
      <c r="K7" s="111">
        <v>1</v>
      </c>
      <c r="L7" s="112">
        <v>0.94499999999999995</v>
      </c>
      <c r="M7" s="85">
        <f t="shared" si="1"/>
        <v>0.94499999999999995</v>
      </c>
      <c r="N7" s="113" t="s">
        <v>1421</v>
      </c>
      <c r="O7" s="77"/>
      <c r="P7" s="111">
        <v>1</v>
      </c>
      <c r="Q7" s="112">
        <v>0.9</v>
      </c>
      <c r="R7" s="85">
        <f t="shared" si="2"/>
        <v>0.9</v>
      </c>
      <c r="S7" s="113" t="s">
        <v>1422</v>
      </c>
      <c r="T7" s="77"/>
      <c r="U7" s="79"/>
      <c r="V7" s="80"/>
      <c r="W7" s="81">
        <f t="shared" si="3"/>
        <v>0</v>
      </c>
      <c r="X7" s="82"/>
      <c r="Y7" s="77"/>
      <c r="Z7" s="79"/>
      <c r="AA7" s="80"/>
      <c r="AB7" s="81">
        <f t="shared" si="4"/>
        <v>0</v>
      </c>
      <c r="AC7" s="82"/>
      <c r="AD7" s="77"/>
      <c r="AE7" s="79"/>
      <c r="AF7" s="80"/>
      <c r="AG7" s="81">
        <f t="shared" si="5"/>
        <v>0</v>
      </c>
      <c r="AH7" s="82"/>
      <c r="AI7" s="77"/>
      <c r="AJ7" s="111">
        <v>1</v>
      </c>
      <c r="AK7" s="112">
        <v>0.85</v>
      </c>
      <c r="AL7" s="85">
        <f t="shared" si="6"/>
        <v>0.85</v>
      </c>
      <c r="AM7" s="113" t="s">
        <v>1423</v>
      </c>
      <c r="AN7" s="77"/>
      <c r="AO7" s="111">
        <v>1</v>
      </c>
      <c r="AP7" s="112">
        <v>0.15</v>
      </c>
      <c r="AQ7" s="85">
        <f t="shared" si="7"/>
        <v>0.15</v>
      </c>
      <c r="AR7" s="113" t="s">
        <v>1602</v>
      </c>
    </row>
    <row r="8" spans="1:44" ht="157.5" x14ac:dyDescent="0.25">
      <c r="A8" s="77">
        <v>5</v>
      </c>
      <c r="B8" s="78" t="s">
        <v>3</v>
      </c>
      <c r="C8" s="78" t="s">
        <v>4</v>
      </c>
      <c r="D8" s="78" t="s">
        <v>35</v>
      </c>
      <c r="E8" s="77"/>
      <c r="F8" s="79"/>
      <c r="G8" s="80"/>
      <c r="H8" s="81">
        <f t="shared" si="0"/>
        <v>0</v>
      </c>
      <c r="I8" s="82"/>
      <c r="J8" s="77"/>
      <c r="K8" s="83">
        <v>1</v>
      </c>
      <c r="L8" s="84">
        <v>0.7</v>
      </c>
      <c r="M8" s="85">
        <f t="shared" si="1"/>
        <v>0.7</v>
      </c>
      <c r="N8" s="87" t="s">
        <v>1180</v>
      </c>
      <c r="O8" s="77"/>
      <c r="P8" s="83">
        <v>1</v>
      </c>
      <c r="Q8" s="84">
        <v>0.8</v>
      </c>
      <c r="R8" s="85">
        <f t="shared" si="2"/>
        <v>0.8</v>
      </c>
      <c r="S8" s="87" t="s">
        <v>1424</v>
      </c>
      <c r="T8" s="77"/>
      <c r="U8" s="79"/>
      <c r="V8" s="80"/>
      <c r="W8" s="81">
        <f t="shared" si="3"/>
        <v>0</v>
      </c>
      <c r="X8" s="78"/>
      <c r="Y8" s="77"/>
      <c r="Z8" s="79"/>
      <c r="AA8" s="80"/>
      <c r="AB8" s="81">
        <f t="shared" si="4"/>
        <v>0</v>
      </c>
      <c r="AC8" s="78"/>
      <c r="AD8" s="77"/>
      <c r="AE8" s="79"/>
      <c r="AF8" s="80"/>
      <c r="AG8" s="81">
        <f t="shared" si="5"/>
        <v>0</v>
      </c>
      <c r="AH8" s="78"/>
      <c r="AI8" s="77"/>
      <c r="AJ8" s="83">
        <v>1</v>
      </c>
      <c r="AK8" s="84">
        <v>0.95</v>
      </c>
      <c r="AL8" s="85">
        <f t="shared" si="6"/>
        <v>0.95</v>
      </c>
      <c r="AM8" s="87" t="s">
        <v>1241</v>
      </c>
      <c r="AN8" s="77"/>
      <c r="AO8" s="83">
        <v>1</v>
      </c>
      <c r="AP8" s="84">
        <v>0.3</v>
      </c>
      <c r="AQ8" s="85">
        <f t="shared" si="7"/>
        <v>0.3</v>
      </c>
      <c r="AR8" s="87" t="s">
        <v>1249</v>
      </c>
    </row>
    <row r="9" spans="1:44" ht="345.75" customHeight="1" x14ac:dyDescent="0.25">
      <c r="A9" s="77">
        <v>6</v>
      </c>
      <c r="B9" s="78" t="s">
        <v>3</v>
      </c>
      <c r="C9" s="78" t="s">
        <v>4</v>
      </c>
      <c r="D9" s="78" t="s">
        <v>129</v>
      </c>
      <c r="E9" s="77"/>
      <c r="F9" s="79"/>
      <c r="G9" s="80"/>
      <c r="H9" s="81">
        <f t="shared" si="0"/>
        <v>0</v>
      </c>
      <c r="I9" s="78"/>
      <c r="J9" s="77"/>
      <c r="K9" s="111">
        <v>1</v>
      </c>
      <c r="L9" s="112">
        <v>0.75</v>
      </c>
      <c r="M9" s="85">
        <f t="shared" si="1"/>
        <v>0.75</v>
      </c>
      <c r="N9" s="113" t="s">
        <v>1625</v>
      </c>
      <c r="O9" s="77"/>
      <c r="P9" s="111">
        <v>1</v>
      </c>
      <c r="Q9" s="112">
        <v>0.95</v>
      </c>
      <c r="R9" s="85">
        <f t="shared" si="2"/>
        <v>0.95</v>
      </c>
      <c r="S9" s="113" t="s">
        <v>1633</v>
      </c>
      <c r="T9" s="77"/>
      <c r="U9" s="79"/>
      <c r="V9" s="80"/>
      <c r="W9" s="81">
        <f t="shared" si="3"/>
        <v>0</v>
      </c>
      <c r="X9" s="78"/>
      <c r="Y9" s="77"/>
      <c r="Z9" s="79"/>
      <c r="AA9" s="80"/>
      <c r="AB9" s="81">
        <f t="shared" si="4"/>
        <v>0</v>
      </c>
      <c r="AC9" s="78"/>
      <c r="AD9" s="77"/>
      <c r="AE9" s="79"/>
      <c r="AF9" s="80"/>
      <c r="AG9" s="81">
        <f t="shared" si="5"/>
        <v>0</v>
      </c>
      <c r="AH9" s="78"/>
      <c r="AI9" s="77"/>
      <c r="AJ9" s="111">
        <v>1</v>
      </c>
      <c r="AK9" s="112">
        <v>0.5</v>
      </c>
      <c r="AL9" s="85">
        <f t="shared" si="6"/>
        <v>0.5</v>
      </c>
      <c r="AM9" s="113" t="s">
        <v>1242</v>
      </c>
      <c r="AN9" s="77"/>
      <c r="AO9" s="111">
        <v>1</v>
      </c>
      <c r="AP9" s="112">
        <v>0.1</v>
      </c>
      <c r="AQ9" s="85">
        <f t="shared" si="7"/>
        <v>0.1</v>
      </c>
      <c r="AR9" s="113" t="s">
        <v>1611</v>
      </c>
    </row>
    <row r="10" spans="1:44" ht="255.75" customHeight="1" x14ac:dyDescent="0.25">
      <c r="A10" s="77">
        <v>7</v>
      </c>
      <c r="B10" s="78" t="s">
        <v>3</v>
      </c>
      <c r="C10" s="78" t="s">
        <v>4</v>
      </c>
      <c r="D10" s="78" t="s">
        <v>36</v>
      </c>
      <c r="E10" s="77"/>
      <c r="F10" s="79"/>
      <c r="G10" s="80"/>
      <c r="H10" s="81">
        <f t="shared" si="0"/>
        <v>0</v>
      </c>
      <c r="I10" s="82"/>
      <c r="J10" s="77"/>
      <c r="K10" s="83">
        <v>1</v>
      </c>
      <c r="L10" s="84">
        <v>0.75</v>
      </c>
      <c r="M10" s="85">
        <f t="shared" si="1"/>
        <v>0.75</v>
      </c>
      <c r="N10" s="87" t="s">
        <v>1181</v>
      </c>
      <c r="O10" s="77"/>
      <c r="P10" s="83">
        <v>1</v>
      </c>
      <c r="Q10" s="84">
        <v>0.7</v>
      </c>
      <c r="R10" s="85">
        <f t="shared" si="2"/>
        <v>0.7</v>
      </c>
      <c r="S10" s="87" t="s">
        <v>1237</v>
      </c>
      <c r="T10" s="77"/>
      <c r="U10" s="79"/>
      <c r="V10" s="80"/>
      <c r="W10" s="81">
        <f t="shared" si="3"/>
        <v>0</v>
      </c>
      <c r="X10" s="82"/>
      <c r="Y10" s="77"/>
      <c r="Z10" s="79"/>
      <c r="AA10" s="80"/>
      <c r="AB10" s="81">
        <f t="shared" si="4"/>
        <v>0</v>
      </c>
      <c r="AC10" s="82"/>
      <c r="AD10" s="77"/>
      <c r="AE10" s="79"/>
      <c r="AF10" s="80"/>
      <c r="AG10" s="81">
        <f t="shared" si="5"/>
        <v>0</v>
      </c>
      <c r="AH10" s="82"/>
      <c r="AI10" s="77"/>
      <c r="AJ10" s="83">
        <v>1</v>
      </c>
      <c r="AK10" s="84">
        <v>0.4</v>
      </c>
      <c r="AL10" s="85">
        <f t="shared" si="6"/>
        <v>0.4</v>
      </c>
      <c r="AM10" s="87" t="s">
        <v>1243</v>
      </c>
      <c r="AN10" s="77"/>
      <c r="AO10" s="83">
        <v>1</v>
      </c>
      <c r="AP10" s="84">
        <v>0.2</v>
      </c>
      <c r="AQ10" s="85">
        <f t="shared" si="7"/>
        <v>0.2</v>
      </c>
      <c r="AR10" s="87" t="s">
        <v>1191</v>
      </c>
    </row>
    <row r="11" spans="1:44" ht="128.25" customHeight="1" x14ac:dyDescent="0.25">
      <c r="A11" s="77">
        <v>8</v>
      </c>
      <c r="B11" s="78" t="s">
        <v>3</v>
      </c>
      <c r="C11" s="78" t="s">
        <v>4</v>
      </c>
      <c r="D11" s="78" t="s">
        <v>64</v>
      </c>
      <c r="E11" s="77"/>
      <c r="F11" s="79"/>
      <c r="G11" s="80"/>
      <c r="H11" s="81">
        <f t="shared" si="0"/>
        <v>0</v>
      </c>
      <c r="I11" s="78"/>
      <c r="J11" s="77"/>
      <c r="K11" s="111">
        <v>1</v>
      </c>
      <c r="L11" s="112">
        <v>1</v>
      </c>
      <c r="M11" s="85">
        <f t="shared" si="1"/>
        <v>1</v>
      </c>
      <c r="N11" s="113"/>
      <c r="O11" s="77"/>
      <c r="P11" s="111">
        <v>1</v>
      </c>
      <c r="Q11" s="112">
        <v>0.9</v>
      </c>
      <c r="R11" s="85">
        <f t="shared" si="2"/>
        <v>0.9</v>
      </c>
      <c r="S11" s="113" t="s">
        <v>1238</v>
      </c>
      <c r="T11" s="77"/>
      <c r="U11" s="79"/>
      <c r="V11" s="80"/>
      <c r="W11" s="81">
        <f t="shared" si="3"/>
        <v>0</v>
      </c>
      <c r="X11" s="82"/>
      <c r="Y11" s="77"/>
      <c r="Z11" s="79"/>
      <c r="AA11" s="80"/>
      <c r="AB11" s="81">
        <f t="shared" si="4"/>
        <v>0</v>
      </c>
      <c r="AC11" s="82"/>
      <c r="AD11" s="77"/>
      <c r="AE11" s="79"/>
      <c r="AF11" s="80"/>
      <c r="AG11" s="81">
        <f t="shared" si="5"/>
        <v>0</v>
      </c>
      <c r="AH11" s="82"/>
      <c r="AI11" s="77"/>
      <c r="AJ11" s="111">
        <v>1</v>
      </c>
      <c r="AK11" s="112">
        <v>0.5</v>
      </c>
      <c r="AL11" s="85">
        <f t="shared" si="6"/>
        <v>0.5</v>
      </c>
      <c r="AM11" s="113" t="s">
        <v>1244</v>
      </c>
      <c r="AN11" s="77"/>
      <c r="AO11" s="111">
        <v>1</v>
      </c>
      <c r="AP11" s="112">
        <v>0.15</v>
      </c>
      <c r="AQ11" s="85">
        <f t="shared" si="7"/>
        <v>0.15</v>
      </c>
      <c r="AR11" s="113" t="s">
        <v>1192</v>
      </c>
    </row>
    <row r="12" spans="1:44" ht="133.5" customHeight="1" x14ac:dyDescent="0.25">
      <c r="A12" s="77">
        <v>9</v>
      </c>
      <c r="B12" s="78" t="s">
        <v>3</v>
      </c>
      <c r="C12" s="78" t="s">
        <v>5</v>
      </c>
      <c r="D12" s="78" t="s">
        <v>37</v>
      </c>
      <c r="E12" s="77"/>
      <c r="F12" s="79"/>
      <c r="G12" s="80"/>
      <c r="H12" s="81">
        <f t="shared" si="0"/>
        <v>0</v>
      </c>
      <c r="I12" s="82"/>
      <c r="J12" s="77"/>
      <c r="K12" s="83">
        <v>1</v>
      </c>
      <c r="L12" s="99">
        <v>0.6</v>
      </c>
      <c r="M12" s="85">
        <f t="shared" si="1"/>
        <v>0.6</v>
      </c>
      <c r="N12" s="87" t="s">
        <v>1235</v>
      </c>
      <c r="O12" s="77"/>
      <c r="P12" s="83">
        <v>1</v>
      </c>
      <c r="Q12" s="84">
        <v>1</v>
      </c>
      <c r="R12" s="85">
        <f t="shared" si="2"/>
        <v>1</v>
      </c>
      <c r="S12" s="115"/>
      <c r="T12" s="77"/>
      <c r="U12" s="79"/>
      <c r="V12" s="80"/>
      <c r="W12" s="81">
        <f t="shared" si="3"/>
        <v>0</v>
      </c>
      <c r="X12" s="82"/>
      <c r="Y12" s="77"/>
      <c r="Z12" s="79"/>
      <c r="AA12" s="80"/>
      <c r="AB12" s="81">
        <f t="shared" si="4"/>
        <v>0</v>
      </c>
      <c r="AC12" s="82"/>
      <c r="AD12" s="77"/>
      <c r="AE12" s="79"/>
      <c r="AF12" s="80"/>
      <c r="AG12" s="81">
        <f t="shared" si="5"/>
        <v>0</v>
      </c>
      <c r="AH12" s="82"/>
      <c r="AI12" s="77"/>
      <c r="AJ12" s="83">
        <v>1</v>
      </c>
      <c r="AK12" s="84">
        <v>0.15</v>
      </c>
      <c r="AL12" s="85">
        <f t="shared" si="6"/>
        <v>0.15</v>
      </c>
      <c r="AM12" s="87" t="s">
        <v>1245</v>
      </c>
      <c r="AN12" s="77"/>
      <c r="AO12" s="83">
        <v>1</v>
      </c>
      <c r="AP12" s="84">
        <v>0.05</v>
      </c>
      <c r="AQ12" s="85">
        <f t="shared" si="7"/>
        <v>0.05</v>
      </c>
      <c r="AR12" s="86" t="s">
        <v>1250</v>
      </c>
    </row>
    <row r="13" spans="1:44" ht="142.5" customHeight="1" x14ac:dyDescent="0.25">
      <c r="A13" s="77">
        <v>10</v>
      </c>
      <c r="B13" s="78" t="s">
        <v>3</v>
      </c>
      <c r="C13" s="78" t="s">
        <v>5</v>
      </c>
      <c r="D13" s="78" t="s">
        <v>38</v>
      </c>
      <c r="E13" s="77"/>
      <c r="F13" s="79"/>
      <c r="G13" s="80"/>
      <c r="H13" s="81">
        <f t="shared" si="0"/>
        <v>0</v>
      </c>
      <c r="I13" s="82"/>
      <c r="J13" s="77"/>
      <c r="K13" s="111">
        <v>1</v>
      </c>
      <c r="L13" s="112">
        <v>0.6</v>
      </c>
      <c r="M13" s="85">
        <f t="shared" si="1"/>
        <v>0.6</v>
      </c>
      <c r="N13" s="113" t="s">
        <v>1198</v>
      </c>
      <c r="O13" s="77"/>
      <c r="P13" s="111">
        <v>1</v>
      </c>
      <c r="Q13" s="112">
        <v>0.95</v>
      </c>
      <c r="R13" s="85">
        <f t="shared" si="2"/>
        <v>0.95</v>
      </c>
      <c r="S13" s="113" t="s">
        <v>1186</v>
      </c>
      <c r="T13" s="77"/>
      <c r="U13" s="79"/>
      <c r="V13" s="80"/>
      <c r="W13" s="81">
        <f t="shared" si="3"/>
        <v>0</v>
      </c>
      <c r="X13" s="82"/>
      <c r="Y13" s="77"/>
      <c r="Z13" s="79"/>
      <c r="AA13" s="80"/>
      <c r="AB13" s="81">
        <f t="shared" si="4"/>
        <v>0</v>
      </c>
      <c r="AC13" s="82"/>
      <c r="AD13" s="77"/>
      <c r="AE13" s="79"/>
      <c r="AF13" s="80"/>
      <c r="AG13" s="81">
        <f t="shared" si="5"/>
        <v>0</v>
      </c>
      <c r="AH13" s="82"/>
      <c r="AI13" s="77"/>
      <c r="AJ13" s="111">
        <v>1</v>
      </c>
      <c r="AK13" s="112">
        <v>0.15</v>
      </c>
      <c r="AL13" s="85">
        <f t="shared" si="6"/>
        <v>0.15</v>
      </c>
      <c r="AM13" s="113" t="s">
        <v>1246</v>
      </c>
      <c r="AN13" s="77"/>
      <c r="AO13" s="111">
        <v>1</v>
      </c>
      <c r="AP13" s="112">
        <v>0.3</v>
      </c>
      <c r="AQ13" s="85">
        <f t="shared" si="7"/>
        <v>0.3</v>
      </c>
      <c r="AR13" s="113" t="s">
        <v>1251</v>
      </c>
    </row>
    <row r="14" spans="1:44" ht="158.25" customHeight="1" x14ac:dyDescent="0.25">
      <c r="A14" s="77">
        <v>11</v>
      </c>
      <c r="B14" s="78" t="s">
        <v>3</v>
      </c>
      <c r="C14" s="78" t="s">
        <v>31</v>
      </c>
      <c r="D14" s="78" t="s">
        <v>39</v>
      </c>
      <c r="E14" s="77"/>
      <c r="F14" s="79"/>
      <c r="G14" s="80"/>
      <c r="H14" s="81">
        <f t="shared" si="0"/>
        <v>0</v>
      </c>
      <c r="I14" s="82"/>
      <c r="J14" s="77"/>
      <c r="K14" s="83">
        <v>1</v>
      </c>
      <c r="L14" s="84">
        <v>0.85</v>
      </c>
      <c r="M14" s="85">
        <f t="shared" si="1"/>
        <v>0.85</v>
      </c>
      <c r="N14" s="87" t="s">
        <v>1199</v>
      </c>
      <c r="O14" s="77"/>
      <c r="P14" s="83">
        <v>1</v>
      </c>
      <c r="Q14" s="84">
        <v>0.95</v>
      </c>
      <c r="R14" s="85">
        <f t="shared" si="2"/>
        <v>0.95</v>
      </c>
      <c r="S14" s="87" t="s">
        <v>1239</v>
      </c>
      <c r="T14" s="77"/>
      <c r="U14" s="79"/>
      <c r="V14" s="80"/>
      <c r="W14" s="81">
        <f t="shared" si="3"/>
        <v>0</v>
      </c>
      <c r="X14" s="82"/>
      <c r="Y14" s="77"/>
      <c r="Z14" s="79"/>
      <c r="AA14" s="80"/>
      <c r="AB14" s="81">
        <f t="shared" si="4"/>
        <v>0</v>
      </c>
      <c r="AC14" s="82"/>
      <c r="AD14" s="77"/>
      <c r="AE14" s="79"/>
      <c r="AF14" s="80"/>
      <c r="AG14" s="81">
        <f t="shared" si="5"/>
        <v>0</v>
      </c>
      <c r="AH14" s="82"/>
      <c r="AI14" s="77"/>
      <c r="AJ14" s="83">
        <v>1</v>
      </c>
      <c r="AK14" s="84">
        <v>0.3</v>
      </c>
      <c r="AL14" s="85">
        <f t="shared" si="6"/>
        <v>0.3</v>
      </c>
      <c r="AM14" s="87" t="s">
        <v>1247</v>
      </c>
      <c r="AN14" s="77"/>
      <c r="AO14" s="83">
        <v>1</v>
      </c>
      <c r="AP14" s="84">
        <v>0.15</v>
      </c>
      <c r="AQ14" s="85">
        <f t="shared" si="7"/>
        <v>0.15</v>
      </c>
      <c r="AR14" s="86" t="s">
        <v>1195</v>
      </c>
    </row>
    <row r="15" spans="1:44" ht="165" customHeight="1" x14ac:dyDescent="0.25">
      <c r="A15" s="77">
        <v>12</v>
      </c>
      <c r="B15" s="78" t="s">
        <v>3</v>
      </c>
      <c r="C15" s="78" t="s">
        <v>31</v>
      </c>
      <c r="D15" s="78" t="s">
        <v>40</v>
      </c>
      <c r="E15" s="77"/>
      <c r="F15" s="79"/>
      <c r="G15" s="80"/>
      <c r="H15" s="81">
        <f t="shared" si="0"/>
        <v>0</v>
      </c>
      <c r="I15" s="82"/>
      <c r="J15" s="77"/>
      <c r="K15" s="111">
        <v>1</v>
      </c>
      <c r="L15" s="112">
        <v>1</v>
      </c>
      <c r="M15" s="85">
        <f t="shared" si="1"/>
        <v>1</v>
      </c>
      <c r="N15" s="113"/>
      <c r="O15" s="77"/>
      <c r="P15" s="111">
        <v>1</v>
      </c>
      <c r="Q15" s="112">
        <v>0.95</v>
      </c>
      <c r="R15" s="85">
        <f t="shared" si="2"/>
        <v>0.95</v>
      </c>
      <c r="S15" s="113" t="s">
        <v>1187</v>
      </c>
      <c r="T15" s="77"/>
      <c r="U15" s="79"/>
      <c r="V15" s="80"/>
      <c r="W15" s="81">
        <f t="shared" si="3"/>
        <v>0</v>
      </c>
      <c r="X15" s="82"/>
      <c r="Y15" s="77"/>
      <c r="Z15" s="79"/>
      <c r="AA15" s="80"/>
      <c r="AB15" s="81">
        <f t="shared" si="4"/>
        <v>0</v>
      </c>
      <c r="AC15" s="82"/>
      <c r="AD15" s="77"/>
      <c r="AE15" s="79"/>
      <c r="AF15" s="80"/>
      <c r="AG15" s="81">
        <f t="shared" si="5"/>
        <v>0</v>
      </c>
      <c r="AH15" s="82"/>
      <c r="AI15" s="77"/>
      <c r="AJ15" s="111">
        <v>1</v>
      </c>
      <c r="AK15" s="112">
        <v>0.3</v>
      </c>
      <c r="AL15" s="85">
        <f t="shared" si="6"/>
        <v>0.3</v>
      </c>
      <c r="AM15" s="113" t="s">
        <v>1248</v>
      </c>
      <c r="AN15" s="77"/>
      <c r="AO15" s="111">
        <v>1</v>
      </c>
      <c r="AP15" s="112">
        <v>0.5</v>
      </c>
      <c r="AQ15" s="85">
        <f t="shared" si="7"/>
        <v>0.5</v>
      </c>
      <c r="AR15" s="113" t="s">
        <v>1252</v>
      </c>
    </row>
    <row r="16" spans="1:44" ht="360" customHeight="1" x14ac:dyDescent="0.25">
      <c r="A16" s="77">
        <v>13</v>
      </c>
      <c r="B16" s="78" t="s">
        <v>6</v>
      </c>
      <c r="C16" s="78" t="s">
        <v>7</v>
      </c>
      <c r="D16" s="78" t="s">
        <v>41</v>
      </c>
      <c r="E16" s="77"/>
      <c r="F16" s="79"/>
      <c r="G16" s="80"/>
      <c r="H16" s="81">
        <f t="shared" si="0"/>
        <v>0</v>
      </c>
      <c r="I16" s="82"/>
      <c r="J16" s="77"/>
      <c r="K16" s="100">
        <v>1</v>
      </c>
      <c r="L16" s="101">
        <v>0.97</v>
      </c>
      <c r="M16" s="85">
        <f>K16*L16</f>
        <v>0.97</v>
      </c>
      <c r="N16" s="102" t="s">
        <v>559</v>
      </c>
      <c r="O16" s="77"/>
      <c r="P16" s="100">
        <v>1</v>
      </c>
      <c r="Q16" s="101">
        <v>0.65</v>
      </c>
      <c r="R16" s="85">
        <f t="shared" si="2"/>
        <v>0.65</v>
      </c>
      <c r="S16" s="102" t="s">
        <v>1572</v>
      </c>
      <c r="T16" s="77"/>
      <c r="U16" s="79"/>
      <c r="V16" s="80"/>
      <c r="W16" s="81">
        <f t="shared" si="3"/>
        <v>0</v>
      </c>
      <c r="X16" s="82"/>
      <c r="Y16" s="77"/>
      <c r="Z16" s="79"/>
      <c r="AA16" s="80"/>
      <c r="AB16" s="81">
        <f t="shared" si="4"/>
        <v>0</v>
      </c>
      <c r="AC16" s="82"/>
      <c r="AD16" s="77"/>
      <c r="AE16" s="79"/>
      <c r="AF16" s="80"/>
      <c r="AG16" s="81">
        <f t="shared" si="5"/>
        <v>0</v>
      </c>
      <c r="AH16" s="82"/>
      <c r="AI16" s="77"/>
      <c r="AJ16" s="100">
        <v>1</v>
      </c>
      <c r="AK16" s="101">
        <v>0.6</v>
      </c>
      <c r="AL16" s="85">
        <f t="shared" si="6"/>
        <v>0.6</v>
      </c>
      <c r="AM16" s="102" t="s">
        <v>593</v>
      </c>
      <c r="AN16" s="77"/>
      <c r="AO16" s="100">
        <v>1</v>
      </c>
      <c r="AP16" s="101">
        <v>1</v>
      </c>
      <c r="AQ16" s="85">
        <f t="shared" si="7"/>
        <v>1</v>
      </c>
      <c r="AR16" s="102" t="s">
        <v>1396</v>
      </c>
    </row>
    <row r="17" spans="1:44" ht="141.75" x14ac:dyDescent="0.25">
      <c r="A17" s="77">
        <v>14</v>
      </c>
      <c r="B17" s="78" t="s">
        <v>6</v>
      </c>
      <c r="C17" s="78" t="s">
        <v>7</v>
      </c>
      <c r="D17" s="78" t="s">
        <v>130</v>
      </c>
      <c r="E17" s="77"/>
      <c r="F17" s="79"/>
      <c r="G17" s="80"/>
      <c r="H17" s="81">
        <f t="shared" si="0"/>
        <v>0</v>
      </c>
      <c r="I17" s="82"/>
      <c r="J17" s="77"/>
      <c r="K17" s="100">
        <v>1</v>
      </c>
      <c r="L17" s="101">
        <v>1</v>
      </c>
      <c r="M17" s="85">
        <f>K17*L17</f>
        <v>1</v>
      </c>
      <c r="N17" s="102" t="s">
        <v>560</v>
      </c>
      <c r="O17" s="77"/>
      <c r="P17" s="100">
        <v>1</v>
      </c>
      <c r="Q17" s="101">
        <v>0.75</v>
      </c>
      <c r="R17" s="85">
        <f t="shared" si="2"/>
        <v>0.75</v>
      </c>
      <c r="S17" s="102" t="s">
        <v>580</v>
      </c>
      <c r="T17" s="77"/>
      <c r="U17" s="79"/>
      <c r="V17" s="80"/>
      <c r="W17" s="81">
        <f t="shared" si="3"/>
        <v>0</v>
      </c>
      <c r="X17" s="82"/>
      <c r="Y17" s="77"/>
      <c r="Z17" s="79"/>
      <c r="AA17" s="80"/>
      <c r="AB17" s="81">
        <f t="shared" si="4"/>
        <v>0</v>
      </c>
      <c r="AC17" s="82"/>
      <c r="AD17" s="77"/>
      <c r="AE17" s="79"/>
      <c r="AF17" s="80"/>
      <c r="AG17" s="81">
        <f t="shared" si="5"/>
        <v>0</v>
      </c>
      <c r="AH17" s="82"/>
      <c r="AI17" s="77"/>
      <c r="AJ17" s="100">
        <v>1</v>
      </c>
      <c r="AK17" s="101">
        <v>0.15</v>
      </c>
      <c r="AL17" s="85">
        <f t="shared" si="6"/>
        <v>0.15</v>
      </c>
      <c r="AM17" s="102" t="s">
        <v>594</v>
      </c>
      <c r="AN17" s="77"/>
      <c r="AO17" s="100">
        <v>1</v>
      </c>
      <c r="AP17" s="101">
        <v>0.5</v>
      </c>
      <c r="AQ17" s="85">
        <f t="shared" si="7"/>
        <v>0.5</v>
      </c>
      <c r="AR17" s="102" t="s">
        <v>617</v>
      </c>
    </row>
    <row r="18" spans="1:44" ht="172.5" customHeight="1" x14ac:dyDescent="0.25">
      <c r="A18" s="77">
        <v>15</v>
      </c>
      <c r="B18" s="78" t="s">
        <v>6</v>
      </c>
      <c r="C18" s="78" t="s">
        <v>7</v>
      </c>
      <c r="D18" s="78" t="s">
        <v>131</v>
      </c>
      <c r="E18" s="77"/>
      <c r="F18" s="79"/>
      <c r="G18" s="80"/>
      <c r="H18" s="81">
        <f t="shared" si="0"/>
        <v>0</v>
      </c>
      <c r="I18" s="82"/>
      <c r="J18" s="77"/>
      <c r="K18" s="100">
        <v>1</v>
      </c>
      <c r="L18" s="101">
        <v>0.98</v>
      </c>
      <c r="M18" s="85">
        <f t="shared" ref="M18:M56" si="8">K18*L18</f>
        <v>0.98</v>
      </c>
      <c r="N18" s="102" t="s">
        <v>561</v>
      </c>
      <c r="O18" s="77"/>
      <c r="P18" s="100">
        <v>1</v>
      </c>
      <c r="Q18" s="101">
        <v>0.92</v>
      </c>
      <c r="R18" s="85">
        <f t="shared" si="2"/>
        <v>0.92</v>
      </c>
      <c r="S18" s="102" t="s">
        <v>581</v>
      </c>
      <c r="T18" s="77"/>
      <c r="U18" s="79"/>
      <c r="V18" s="80"/>
      <c r="W18" s="81">
        <f t="shared" si="3"/>
        <v>0</v>
      </c>
      <c r="X18" s="82"/>
      <c r="Y18" s="77"/>
      <c r="Z18" s="79"/>
      <c r="AA18" s="80"/>
      <c r="AB18" s="81">
        <f t="shared" si="4"/>
        <v>0</v>
      </c>
      <c r="AC18" s="82"/>
      <c r="AD18" s="77"/>
      <c r="AE18" s="79"/>
      <c r="AF18" s="80"/>
      <c r="AG18" s="81">
        <f t="shared" si="5"/>
        <v>0</v>
      </c>
      <c r="AH18" s="82"/>
      <c r="AI18" s="77"/>
      <c r="AJ18" s="100">
        <v>1</v>
      </c>
      <c r="AK18" s="101">
        <v>0.85</v>
      </c>
      <c r="AL18" s="85">
        <f t="shared" si="6"/>
        <v>0.85</v>
      </c>
      <c r="AM18" s="102" t="s">
        <v>595</v>
      </c>
      <c r="AN18" s="77"/>
      <c r="AO18" s="100">
        <v>1</v>
      </c>
      <c r="AP18" s="101">
        <v>0.95</v>
      </c>
      <c r="AQ18" s="85">
        <f t="shared" si="7"/>
        <v>0.95</v>
      </c>
      <c r="AR18" s="78" t="s">
        <v>618</v>
      </c>
    </row>
    <row r="19" spans="1:44" ht="126" customHeight="1" x14ac:dyDescent="0.25">
      <c r="A19" s="77">
        <v>16</v>
      </c>
      <c r="B19" s="78" t="s">
        <v>6</v>
      </c>
      <c r="C19" s="78" t="s">
        <v>7</v>
      </c>
      <c r="D19" s="78" t="s">
        <v>42</v>
      </c>
      <c r="E19" s="77"/>
      <c r="F19" s="79"/>
      <c r="G19" s="80"/>
      <c r="H19" s="81">
        <f t="shared" si="0"/>
        <v>0</v>
      </c>
      <c r="I19" s="82"/>
      <c r="J19" s="77"/>
      <c r="K19" s="100">
        <v>1</v>
      </c>
      <c r="L19" s="101">
        <v>1</v>
      </c>
      <c r="M19" s="85">
        <f t="shared" si="8"/>
        <v>1</v>
      </c>
      <c r="N19" s="102" t="s">
        <v>562</v>
      </c>
      <c r="O19" s="77"/>
      <c r="P19" s="100">
        <v>1</v>
      </c>
      <c r="Q19" s="101">
        <v>1</v>
      </c>
      <c r="R19" s="85">
        <f t="shared" si="2"/>
        <v>1</v>
      </c>
      <c r="S19" s="102" t="s">
        <v>582</v>
      </c>
      <c r="T19" s="77"/>
      <c r="U19" s="79"/>
      <c r="V19" s="80"/>
      <c r="W19" s="81">
        <f t="shared" si="3"/>
        <v>0</v>
      </c>
      <c r="X19" s="82"/>
      <c r="Y19" s="77"/>
      <c r="Z19" s="79"/>
      <c r="AA19" s="80"/>
      <c r="AB19" s="81">
        <f t="shared" si="4"/>
        <v>0</v>
      </c>
      <c r="AC19" s="82"/>
      <c r="AD19" s="77"/>
      <c r="AE19" s="79"/>
      <c r="AF19" s="80"/>
      <c r="AG19" s="81">
        <f t="shared" si="5"/>
        <v>0</v>
      </c>
      <c r="AH19" s="82"/>
      <c r="AI19" s="77"/>
      <c r="AJ19" s="100">
        <v>1</v>
      </c>
      <c r="AK19" s="101">
        <v>1</v>
      </c>
      <c r="AL19" s="85">
        <f t="shared" si="6"/>
        <v>1</v>
      </c>
      <c r="AM19" s="102" t="s">
        <v>596</v>
      </c>
      <c r="AN19" s="77"/>
      <c r="AO19" s="100">
        <v>1</v>
      </c>
      <c r="AP19" s="101">
        <v>0.96</v>
      </c>
      <c r="AQ19" s="85">
        <f t="shared" si="7"/>
        <v>0.96</v>
      </c>
      <c r="AR19" s="78" t="s">
        <v>619</v>
      </c>
    </row>
    <row r="20" spans="1:44" ht="333" customHeight="1" x14ac:dyDescent="0.25">
      <c r="A20" s="77">
        <v>17</v>
      </c>
      <c r="B20" s="78" t="s">
        <v>6</v>
      </c>
      <c r="C20" s="78" t="s">
        <v>7</v>
      </c>
      <c r="D20" s="78" t="s">
        <v>43</v>
      </c>
      <c r="E20" s="77"/>
      <c r="F20" s="79"/>
      <c r="G20" s="80"/>
      <c r="H20" s="81">
        <f t="shared" si="0"/>
        <v>0</v>
      </c>
      <c r="I20" s="82"/>
      <c r="J20" s="77"/>
      <c r="K20" s="100">
        <v>1</v>
      </c>
      <c r="L20" s="101">
        <v>0.73</v>
      </c>
      <c r="M20" s="85">
        <f t="shared" si="8"/>
        <v>0.73</v>
      </c>
      <c r="N20" s="102" t="s">
        <v>563</v>
      </c>
      <c r="O20" s="77"/>
      <c r="P20" s="100">
        <v>1</v>
      </c>
      <c r="Q20" s="101">
        <v>0.9</v>
      </c>
      <c r="R20" s="85">
        <f t="shared" si="2"/>
        <v>0.9</v>
      </c>
      <c r="S20" s="102" t="s">
        <v>583</v>
      </c>
      <c r="T20" s="77"/>
      <c r="U20" s="79"/>
      <c r="V20" s="80"/>
      <c r="W20" s="81">
        <f t="shared" si="3"/>
        <v>0</v>
      </c>
      <c r="X20" s="82"/>
      <c r="Y20" s="77"/>
      <c r="Z20" s="79"/>
      <c r="AA20" s="80"/>
      <c r="AB20" s="81">
        <f t="shared" si="4"/>
        <v>0</v>
      </c>
      <c r="AC20" s="82"/>
      <c r="AD20" s="77"/>
      <c r="AE20" s="79"/>
      <c r="AF20" s="80"/>
      <c r="AG20" s="81">
        <f t="shared" si="5"/>
        <v>0</v>
      </c>
      <c r="AH20" s="82"/>
      <c r="AI20" s="77"/>
      <c r="AJ20" s="100">
        <v>1</v>
      </c>
      <c r="AK20" s="101">
        <v>0.5</v>
      </c>
      <c r="AL20" s="85">
        <f t="shared" si="6"/>
        <v>0.5</v>
      </c>
      <c r="AM20" s="102" t="s">
        <v>597</v>
      </c>
      <c r="AN20" s="77"/>
      <c r="AO20" s="100">
        <v>1</v>
      </c>
      <c r="AP20" s="101">
        <v>0.55000000000000004</v>
      </c>
      <c r="AQ20" s="85">
        <f t="shared" si="7"/>
        <v>0.55000000000000004</v>
      </c>
      <c r="AR20" s="102" t="s">
        <v>620</v>
      </c>
    </row>
    <row r="21" spans="1:44" ht="173.25" x14ac:dyDescent="0.25">
      <c r="A21" s="77">
        <v>18</v>
      </c>
      <c r="B21" s="78" t="s">
        <v>6</v>
      </c>
      <c r="C21" s="78" t="s">
        <v>7</v>
      </c>
      <c r="D21" s="78" t="s">
        <v>44</v>
      </c>
      <c r="E21" s="77"/>
      <c r="F21" s="79"/>
      <c r="G21" s="80"/>
      <c r="H21" s="81">
        <f t="shared" si="0"/>
        <v>0</v>
      </c>
      <c r="I21" s="82"/>
      <c r="J21" s="77"/>
      <c r="K21" s="100">
        <v>1</v>
      </c>
      <c r="L21" s="101">
        <v>0.75</v>
      </c>
      <c r="M21" s="85">
        <f>K21*L21</f>
        <v>0.75</v>
      </c>
      <c r="N21" s="102" t="s">
        <v>564</v>
      </c>
      <c r="O21" s="77"/>
      <c r="P21" s="100">
        <v>1</v>
      </c>
      <c r="Q21" s="101">
        <v>0.75</v>
      </c>
      <c r="R21" s="85">
        <f t="shared" si="2"/>
        <v>0.75</v>
      </c>
      <c r="S21" s="102" t="s">
        <v>1397</v>
      </c>
      <c r="T21" s="77"/>
      <c r="U21" s="79"/>
      <c r="V21" s="80"/>
      <c r="W21" s="81">
        <f t="shared" si="3"/>
        <v>0</v>
      </c>
      <c r="X21" s="82"/>
      <c r="Y21" s="77"/>
      <c r="Z21" s="79"/>
      <c r="AA21" s="80"/>
      <c r="AB21" s="81">
        <f t="shared" si="4"/>
        <v>0</v>
      </c>
      <c r="AC21" s="82"/>
      <c r="AD21" s="77"/>
      <c r="AE21" s="79"/>
      <c r="AF21" s="80"/>
      <c r="AG21" s="81">
        <f t="shared" si="5"/>
        <v>0</v>
      </c>
      <c r="AH21" s="82"/>
      <c r="AI21" s="77"/>
      <c r="AJ21" s="100">
        <v>1</v>
      </c>
      <c r="AK21" s="101">
        <v>0.5</v>
      </c>
      <c r="AL21" s="85">
        <f t="shared" si="6"/>
        <v>0.5</v>
      </c>
      <c r="AM21" s="102" t="s">
        <v>598</v>
      </c>
      <c r="AN21" s="77"/>
      <c r="AO21" s="100">
        <v>1</v>
      </c>
      <c r="AP21" s="101">
        <v>0.72</v>
      </c>
      <c r="AQ21" s="85">
        <f t="shared" si="7"/>
        <v>0.72</v>
      </c>
      <c r="AR21" s="102" t="s">
        <v>621</v>
      </c>
    </row>
    <row r="22" spans="1:44" ht="141.75" x14ac:dyDescent="0.25">
      <c r="A22" s="77">
        <v>19</v>
      </c>
      <c r="B22" s="78" t="s">
        <v>6</v>
      </c>
      <c r="C22" s="78" t="s">
        <v>7</v>
      </c>
      <c r="D22" s="78" t="s">
        <v>45</v>
      </c>
      <c r="E22" s="77"/>
      <c r="F22" s="79"/>
      <c r="G22" s="80"/>
      <c r="H22" s="81">
        <f t="shared" si="0"/>
        <v>0</v>
      </c>
      <c r="I22" s="82"/>
      <c r="J22" s="77"/>
      <c r="K22" s="100">
        <v>1</v>
      </c>
      <c r="L22" s="101">
        <v>0.55000000000000004</v>
      </c>
      <c r="M22" s="85">
        <f>K22*L22</f>
        <v>0.55000000000000004</v>
      </c>
      <c r="N22" s="102" t="s">
        <v>565</v>
      </c>
      <c r="O22" s="77"/>
      <c r="P22" s="100">
        <v>1</v>
      </c>
      <c r="Q22" s="101">
        <v>0.4</v>
      </c>
      <c r="R22" s="85">
        <f t="shared" si="2"/>
        <v>0.4</v>
      </c>
      <c r="S22" s="102" t="s">
        <v>584</v>
      </c>
      <c r="T22" s="77"/>
      <c r="U22" s="79"/>
      <c r="V22" s="80"/>
      <c r="W22" s="81">
        <f t="shared" si="3"/>
        <v>0</v>
      </c>
      <c r="X22" s="82"/>
      <c r="Y22" s="77"/>
      <c r="Z22" s="79"/>
      <c r="AA22" s="80"/>
      <c r="AB22" s="81">
        <f t="shared" si="4"/>
        <v>0</v>
      </c>
      <c r="AC22" s="82"/>
      <c r="AD22" s="77"/>
      <c r="AE22" s="79"/>
      <c r="AF22" s="80"/>
      <c r="AG22" s="81">
        <f t="shared" si="5"/>
        <v>0</v>
      </c>
      <c r="AH22" s="82"/>
      <c r="AI22" s="77"/>
      <c r="AJ22" s="100">
        <v>1</v>
      </c>
      <c r="AK22" s="101">
        <v>0.4</v>
      </c>
      <c r="AL22" s="85">
        <f t="shared" si="6"/>
        <v>0.4</v>
      </c>
      <c r="AM22" s="102" t="s">
        <v>599</v>
      </c>
      <c r="AN22" s="77"/>
      <c r="AO22" s="100">
        <v>1</v>
      </c>
      <c r="AP22" s="101">
        <v>0.3</v>
      </c>
      <c r="AQ22" s="85">
        <f t="shared" si="7"/>
        <v>0.3</v>
      </c>
      <c r="AR22" s="102" t="s">
        <v>1398</v>
      </c>
    </row>
    <row r="23" spans="1:44" ht="126" x14ac:dyDescent="0.25">
      <c r="A23" s="77">
        <v>20</v>
      </c>
      <c r="B23" s="78" t="s">
        <v>6</v>
      </c>
      <c r="C23" s="78" t="s">
        <v>7</v>
      </c>
      <c r="D23" s="78" t="s">
        <v>46</v>
      </c>
      <c r="E23" s="77"/>
      <c r="F23" s="79"/>
      <c r="G23" s="80"/>
      <c r="H23" s="81">
        <f t="shared" si="0"/>
        <v>0</v>
      </c>
      <c r="I23" s="82"/>
      <c r="J23" s="77"/>
      <c r="K23" s="100">
        <v>1</v>
      </c>
      <c r="L23" s="101">
        <v>0.85</v>
      </c>
      <c r="M23" s="85">
        <f>K23*L23</f>
        <v>0.85</v>
      </c>
      <c r="N23" s="102" t="s">
        <v>566</v>
      </c>
      <c r="O23" s="77"/>
      <c r="P23" s="100">
        <v>1</v>
      </c>
      <c r="Q23" s="101">
        <v>0.4</v>
      </c>
      <c r="R23" s="85">
        <f t="shared" si="2"/>
        <v>0.4</v>
      </c>
      <c r="S23" s="102" t="s">
        <v>585</v>
      </c>
      <c r="T23" s="77"/>
      <c r="U23" s="79"/>
      <c r="V23" s="80"/>
      <c r="W23" s="81">
        <f t="shared" si="3"/>
        <v>0</v>
      </c>
      <c r="X23" s="82"/>
      <c r="Y23" s="77"/>
      <c r="Z23" s="79"/>
      <c r="AA23" s="80"/>
      <c r="AB23" s="81">
        <f t="shared" si="4"/>
        <v>0</v>
      </c>
      <c r="AC23" s="82"/>
      <c r="AD23" s="77"/>
      <c r="AE23" s="79"/>
      <c r="AF23" s="80"/>
      <c r="AG23" s="81">
        <f t="shared" si="5"/>
        <v>0</v>
      </c>
      <c r="AH23" s="82"/>
      <c r="AI23" s="77"/>
      <c r="AJ23" s="100">
        <v>1</v>
      </c>
      <c r="AK23" s="101">
        <v>0.35</v>
      </c>
      <c r="AL23" s="85">
        <f t="shared" si="6"/>
        <v>0.35</v>
      </c>
      <c r="AM23" s="102" t="s">
        <v>600</v>
      </c>
      <c r="AN23" s="77"/>
      <c r="AO23" s="100">
        <v>1</v>
      </c>
      <c r="AP23" s="101">
        <v>0.3</v>
      </c>
      <c r="AQ23" s="85">
        <f t="shared" si="7"/>
        <v>0.3</v>
      </c>
      <c r="AR23" s="102" t="s">
        <v>622</v>
      </c>
    </row>
    <row r="24" spans="1:44" ht="117" customHeight="1" x14ac:dyDescent="0.25">
      <c r="A24" s="77">
        <v>21</v>
      </c>
      <c r="B24" s="78" t="s">
        <v>6</v>
      </c>
      <c r="C24" s="78" t="s">
        <v>7</v>
      </c>
      <c r="D24" s="78" t="s">
        <v>47</v>
      </c>
      <c r="E24" s="77"/>
      <c r="F24" s="79"/>
      <c r="G24" s="80"/>
      <c r="H24" s="81">
        <f t="shared" si="0"/>
        <v>0</v>
      </c>
      <c r="I24" s="82"/>
      <c r="J24" s="77" t="s">
        <v>30</v>
      </c>
      <c r="K24" s="100">
        <v>1</v>
      </c>
      <c r="L24" s="101">
        <v>0.98</v>
      </c>
      <c r="M24" s="85">
        <f t="shared" si="8"/>
        <v>0.98</v>
      </c>
      <c r="N24" s="102" t="s">
        <v>358</v>
      </c>
      <c r="O24" s="77"/>
      <c r="P24" s="100">
        <v>1</v>
      </c>
      <c r="Q24" s="101">
        <v>0.9</v>
      </c>
      <c r="R24" s="85">
        <f t="shared" si="2"/>
        <v>0.9</v>
      </c>
      <c r="S24" s="102" t="s">
        <v>224</v>
      </c>
      <c r="T24" s="77"/>
      <c r="U24" s="79"/>
      <c r="V24" s="80"/>
      <c r="W24" s="81">
        <f t="shared" si="3"/>
        <v>0</v>
      </c>
      <c r="X24" s="82"/>
      <c r="Y24" s="77"/>
      <c r="Z24" s="79"/>
      <c r="AA24" s="80"/>
      <c r="AB24" s="81">
        <f t="shared" si="4"/>
        <v>0</v>
      </c>
      <c r="AC24" s="82"/>
      <c r="AD24" s="77"/>
      <c r="AE24" s="79"/>
      <c r="AF24" s="80"/>
      <c r="AG24" s="81">
        <f t="shared" si="5"/>
        <v>0</v>
      </c>
      <c r="AH24" s="82"/>
      <c r="AI24" s="77"/>
      <c r="AJ24" s="100">
        <v>1</v>
      </c>
      <c r="AK24" s="101">
        <v>0.98</v>
      </c>
      <c r="AL24" s="85">
        <f t="shared" si="6"/>
        <v>0.98</v>
      </c>
      <c r="AM24" s="102" t="s">
        <v>307</v>
      </c>
      <c r="AN24" s="77"/>
      <c r="AO24" s="100">
        <v>1</v>
      </c>
      <c r="AP24" s="101">
        <v>0.95</v>
      </c>
      <c r="AQ24" s="85">
        <f t="shared" si="7"/>
        <v>0.95</v>
      </c>
      <c r="AR24" s="102" t="s">
        <v>185</v>
      </c>
    </row>
    <row r="25" spans="1:44" s="73" customFormat="1" ht="207.75" customHeight="1" x14ac:dyDescent="0.25">
      <c r="A25" s="77">
        <v>22</v>
      </c>
      <c r="B25" s="78" t="s">
        <v>6</v>
      </c>
      <c r="C25" s="78" t="s">
        <v>8</v>
      </c>
      <c r="D25" s="78" t="s">
        <v>48</v>
      </c>
      <c r="E25" s="77"/>
      <c r="F25" s="79"/>
      <c r="G25" s="80"/>
      <c r="H25" s="81">
        <f t="shared" si="0"/>
        <v>0</v>
      </c>
      <c r="I25" s="82"/>
      <c r="J25" s="77"/>
      <c r="K25" s="100">
        <v>1</v>
      </c>
      <c r="L25" s="101">
        <v>1</v>
      </c>
      <c r="M25" s="85">
        <f t="shared" si="8"/>
        <v>1</v>
      </c>
      <c r="N25" s="102" t="s">
        <v>567</v>
      </c>
      <c r="O25" s="77"/>
      <c r="P25" s="100">
        <v>1</v>
      </c>
      <c r="Q25" s="101">
        <v>1</v>
      </c>
      <c r="R25" s="85">
        <f t="shared" si="2"/>
        <v>1</v>
      </c>
      <c r="S25" s="102" t="s">
        <v>586</v>
      </c>
      <c r="T25" s="77"/>
      <c r="U25" s="79"/>
      <c r="V25" s="80"/>
      <c r="W25" s="81">
        <f t="shared" si="3"/>
        <v>0</v>
      </c>
      <c r="X25" s="82"/>
      <c r="Y25" s="77"/>
      <c r="Z25" s="79"/>
      <c r="AA25" s="80"/>
      <c r="AB25" s="81">
        <f t="shared" si="4"/>
        <v>0</v>
      </c>
      <c r="AC25" s="82"/>
      <c r="AD25" s="77"/>
      <c r="AE25" s="79"/>
      <c r="AF25" s="80"/>
      <c r="AG25" s="81">
        <f t="shared" si="5"/>
        <v>0</v>
      </c>
      <c r="AH25" s="82"/>
      <c r="AI25" s="77"/>
      <c r="AJ25" s="100">
        <v>1</v>
      </c>
      <c r="AK25" s="101">
        <v>0.2</v>
      </c>
      <c r="AL25" s="85">
        <f t="shared" si="6"/>
        <v>0.2</v>
      </c>
      <c r="AM25" s="102" t="s">
        <v>601</v>
      </c>
      <c r="AN25" s="77"/>
      <c r="AO25" s="100">
        <v>1</v>
      </c>
      <c r="AP25" s="101">
        <v>0.5</v>
      </c>
      <c r="AQ25" s="85">
        <f t="shared" si="7"/>
        <v>0.5</v>
      </c>
      <c r="AR25" s="102" t="s">
        <v>623</v>
      </c>
    </row>
    <row r="26" spans="1:44" ht="94.5" x14ac:dyDescent="0.25">
      <c r="A26" s="77">
        <v>23</v>
      </c>
      <c r="B26" s="78" t="s">
        <v>6</v>
      </c>
      <c r="C26" s="78" t="s">
        <v>8</v>
      </c>
      <c r="D26" s="78" t="s">
        <v>49</v>
      </c>
      <c r="E26" s="77"/>
      <c r="F26" s="79"/>
      <c r="G26" s="80"/>
      <c r="H26" s="81">
        <f t="shared" si="0"/>
        <v>0</v>
      </c>
      <c r="I26" s="82"/>
      <c r="J26" s="77"/>
      <c r="K26" s="100">
        <v>1</v>
      </c>
      <c r="L26" s="101">
        <v>1</v>
      </c>
      <c r="M26" s="85">
        <f t="shared" si="8"/>
        <v>1</v>
      </c>
      <c r="N26" s="102" t="s">
        <v>568</v>
      </c>
      <c r="O26" s="77"/>
      <c r="P26" s="100">
        <v>1</v>
      </c>
      <c r="Q26" s="101">
        <v>1</v>
      </c>
      <c r="R26" s="85">
        <f t="shared" si="2"/>
        <v>1</v>
      </c>
      <c r="S26" s="102" t="s">
        <v>375</v>
      </c>
      <c r="T26" s="77"/>
      <c r="U26" s="79"/>
      <c r="V26" s="80"/>
      <c r="W26" s="81">
        <f t="shared" si="3"/>
        <v>0</v>
      </c>
      <c r="X26" s="82"/>
      <c r="Y26" s="77"/>
      <c r="Z26" s="79"/>
      <c r="AA26" s="80"/>
      <c r="AB26" s="81">
        <f t="shared" si="4"/>
        <v>0</v>
      </c>
      <c r="AC26" s="82"/>
      <c r="AD26" s="77"/>
      <c r="AE26" s="79"/>
      <c r="AF26" s="80"/>
      <c r="AG26" s="81">
        <f t="shared" si="5"/>
        <v>0</v>
      </c>
      <c r="AH26" s="82"/>
      <c r="AI26" s="77"/>
      <c r="AJ26" s="100">
        <v>1</v>
      </c>
      <c r="AK26" s="101">
        <v>0.5</v>
      </c>
      <c r="AL26" s="85">
        <f t="shared" si="6"/>
        <v>0.5</v>
      </c>
      <c r="AM26" s="102" t="s">
        <v>602</v>
      </c>
      <c r="AN26" s="77"/>
      <c r="AO26" s="100">
        <v>1</v>
      </c>
      <c r="AP26" s="101">
        <v>0.7</v>
      </c>
      <c r="AQ26" s="85">
        <f t="shared" si="7"/>
        <v>0.7</v>
      </c>
      <c r="AR26" s="102" t="s">
        <v>624</v>
      </c>
    </row>
    <row r="27" spans="1:44" ht="120" customHeight="1" x14ac:dyDescent="0.25">
      <c r="A27" s="77">
        <v>24</v>
      </c>
      <c r="B27" s="78" t="s">
        <v>6</v>
      </c>
      <c r="C27" s="78" t="s">
        <v>8</v>
      </c>
      <c r="D27" s="78" t="s">
        <v>50</v>
      </c>
      <c r="E27" s="77"/>
      <c r="F27" s="79"/>
      <c r="G27" s="80"/>
      <c r="H27" s="81">
        <f t="shared" si="0"/>
        <v>0</v>
      </c>
      <c r="I27" s="82"/>
      <c r="J27" s="77"/>
      <c r="K27" s="100">
        <v>1</v>
      </c>
      <c r="L27" s="101">
        <v>0.99</v>
      </c>
      <c r="M27" s="85">
        <f t="shared" si="8"/>
        <v>0.99</v>
      </c>
      <c r="N27" s="102" t="s">
        <v>569</v>
      </c>
      <c r="O27" s="77"/>
      <c r="P27" s="100">
        <v>1</v>
      </c>
      <c r="Q27" s="101">
        <v>1</v>
      </c>
      <c r="R27" s="85">
        <f t="shared" si="2"/>
        <v>1</v>
      </c>
      <c r="S27" s="102" t="s">
        <v>376</v>
      </c>
      <c r="T27" s="77"/>
      <c r="U27" s="79"/>
      <c r="V27" s="80"/>
      <c r="W27" s="81">
        <f t="shared" si="3"/>
        <v>0</v>
      </c>
      <c r="X27" s="82"/>
      <c r="Y27" s="77"/>
      <c r="Z27" s="79"/>
      <c r="AA27" s="80"/>
      <c r="AB27" s="81">
        <f t="shared" si="4"/>
        <v>0</v>
      </c>
      <c r="AC27" s="82"/>
      <c r="AD27" s="77"/>
      <c r="AE27" s="79"/>
      <c r="AF27" s="80"/>
      <c r="AG27" s="81">
        <f t="shared" si="5"/>
        <v>0</v>
      </c>
      <c r="AH27" s="82"/>
      <c r="AI27" s="77"/>
      <c r="AJ27" s="100">
        <v>1</v>
      </c>
      <c r="AK27" s="101">
        <v>0.2</v>
      </c>
      <c r="AL27" s="85">
        <f t="shared" si="6"/>
        <v>0.2</v>
      </c>
      <c r="AM27" s="102" t="s">
        <v>603</v>
      </c>
      <c r="AN27" s="77"/>
      <c r="AO27" s="100">
        <v>1</v>
      </c>
      <c r="AP27" s="101">
        <v>0.7</v>
      </c>
      <c r="AQ27" s="85">
        <f t="shared" si="7"/>
        <v>0.7</v>
      </c>
      <c r="AR27" s="102" t="s">
        <v>625</v>
      </c>
    </row>
    <row r="28" spans="1:44" ht="323.25" customHeight="1" x14ac:dyDescent="0.25">
      <c r="A28" s="77">
        <v>25</v>
      </c>
      <c r="B28" s="78" t="s">
        <v>6</v>
      </c>
      <c r="C28" s="78" t="s">
        <v>8</v>
      </c>
      <c r="D28" s="78" t="s">
        <v>51</v>
      </c>
      <c r="E28" s="77"/>
      <c r="F28" s="79"/>
      <c r="G28" s="80"/>
      <c r="H28" s="81">
        <f t="shared" si="0"/>
        <v>0</v>
      </c>
      <c r="I28" s="82"/>
      <c r="J28" s="77"/>
      <c r="K28" s="100">
        <v>1</v>
      </c>
      <c r="L28" s="101">
        <v>0.85</v>
      </c>
      <c r="M28" s="85">
        <f t="shared" si="8"/>
        <v>0.85</v>
      </c>
      <c r="N28" s="102" t="s">
        <v>570</v>
      </c>
      <c r="O28" s="77"/>
      <c r="P28" s="100">
        <v>1</v>
      </c>
      <c r="Q28" s="101">
        <v>0.7</v>
      </c>
      <c r="R28" s="85">
        <f t="shared" si="2"/>
        <v>0.7</v>
      </c>
      <c r="S28" s="102" t="s">
        <v>587</v>
      </c>
      <c r="T28" s="77"/>
      <c r="U28" s="79"/>
      <c r="V28" s="80"/>
      <c r="W28" s="81">
        <f t="shared" si="3"/>
        <v>0</v>
      </c>
      <c r="X28" s="82"/>
      <c r="Y28" s="77"/>
      <c r="Z28" s="79"/>
      <c r="AA28" s="80"/>
      <c r="AB28" s="81">
        <f t="shared" si="4"/>
        <v>0</v>
      </c>
      <c r="AC28" s="82"/>
      <c r="AD28" s="77"/>
      <c r="AE28" s="79"/>
      <c r="AF28" s="80"/>
      <c r="AG28" s="81">
        <f t="shared" si="5"/>
        <v>0</v>
      </c>
      <c r="AH28" s="82"/>
      <c r="AI28" s="77"/>
      <c r="AJ28" s="100">
        <v>1</v>
      </c>
      <c r="AK28" s="101">
        <v>0.1</v>
      </c>
      <c r="AL28" s="85">
        <f t="shared" si="6"/>
        <v>0.1</v>
      </c>
      <c r="AM28" s="102" t="s">
        <v>604</v>
      </c>
      <c r="AN28" s="77"/>
      <c r="AO28" s="100">
        <v>1</v>
      </c>
      <c r="AP28" s="101">
        <v>0.65</v>
      </c>
      <c r="AQ28" s="85">
        <f t="shared" si="7"/>
        <v>0.65</v>
      </c>
      <c r="AR28" s="102" t="s">
        <v>626</v>
      </c>
    </row>
    <row r="29" spans="1:44" ht="110.25" x14ac:dyDescent="0.25">
      <c r="A29" s="77">
        <v>26</v>
      </c>
      <c r="B29" s="78" t="s">
        <v>6</v>
      </c>
      <c r="C29" s="78" t="s">
        <v>8</v>
      </c>
      <c r="D29" s="78" t="s">
        <v>52</v>
      </c>
      <c r="E29" s="77"/>
      <c r="F29" s="79"/>
      <c r="G29" s="80"/>
      <c r="H29" s="81">
        <f t="shared" si="0"/>
        <v>0</v>
      </c>
      <c r="I29" s="82"/>
      <c r="J29" s="77"/>
      <c r="K29" s="100">
        <v>1</v>
      </c>
      <c r="L29" s="101">
        <v>1</v>
      </c>
      <c r="M29" s="85">
        <f t="shared" si="8"/>
        <v>1</v>
      </c>
      <c r="N29" s="102" t="s">
        <v>571</v>
      </c>
      <c r="O29" s="77"/>
      <c r="P29" s="100">
        <v>1</v>
      </c>
      <c r="Q29" s="101">
        <v>0.85</v>
      </c>
      <c r="R29" s="85">
        <f t="shared" si="2"/>
        <v>0.85</v>
      </c>
      <c r="S29" s="102" t="s">
        <v>588</v>
      </c>
      <c r="T29" s="77"/>
      <c r="U29" s="79"/>
      <c r="V29" s="80"/>
      <c r="W29" s="81">
        <f t="shared" si="3"/>
        <v>0</v>
      </c>
      <c r="X29" s="78"/>
      <c r="Y29" s="77"/>
      <c r="Z29" s="79"/>
      <c r="AA29" s="80"/>
      <c r="AB29" s="81">
        <f t="shared" si="4"/>
        <v>0</v>
      </c>
      <c r="AC29" s="78"/>
      <c r="AD29" s="77"/>
      <c r="AE29" s="79"/>
      <c r="AF29" s="80"/>
      <c r="AG29" s="81">
        <f t="shared" si="5"/>
        <v>0</v>
      </c>
      <c r="AH29" s="78"/>
      <c r="AI29" s="77"/>
      <c r="AJ29" s="100">
        <v>1</v>
      </c>
      <c r="AK29" s="101">
        <v>0.1</v>
      </c>
      <c r="AL29" s="85">
        <f t="shared" si="6"/>
        <v>0.1</v>
      </c>
      <c r="AM29" s="102" t="s">
        <v>605</v>
      </c>
      <c r="AN29" s="77"/>
      <c r="AO29" s="100">
        <v>1</v>
      </c>
      <c r="AP29" s="101">
        <v>0.75</v>
      </c>
      <c r="AQ29" s="85">
        <f t="shared" si="7"/>
        <v>0.75</v>
      </c>
      <c r="AR29" s="102" t="s">
        <v>627</v>
      </c>
    </row>
    <row r="30" spans="1:44" ht="315" x14ac:dyDescent="0.25">
      <c r="A30" s="77">
        <v>27</v>
      </c>
      <c r="B30" s="78" t="s">
        <v>6</v>
      </c>
      <c r="C30" s="78" t="s">
        <v>8</v>
      </c>
      <c r="D30" s="78" t="s">
        <v>53</v>
      </c>
      <c r="E30" s="77"/>
      <c r="F30" s="79"/>
      <c r="G30" s="80"/>
      <c r="H30" s="81">
        <f t="shared" si="0"/>
        <v>0</v>
      </c>
      <c r="I30" s="82"/>
      <c r="J30" s="77"/>
      <c r="K30" s="100">
        <v>1</v>
      </c>
      <c r="L30" s="101">
        <v>1</v>
      </c>
      <c r="M30" s="85">
        <f t="shared" si="8"/>
        <v>1</v>
      </c>
      <c r="N30" s="102"/>
      <c r="O30" s="77"/>
      <c r="P30" s="100">
        <v>1</v>
      </c>
      <c r="Q30" s="101">
        <v>0.6</v>
      </c>
      <c r="R30" s="85">
        <f t="shared" si="2"/>
        <v>0.6</v>
      </c>
      <c r="S30" s="102" t="s">
        <v>464</v>
      </c>
      <c r="T30" s="77"/>
      <c r="U30" s="79"/>
      <c r="V30" s="80"/>
      <c r="W30" s="81">
        <f t="shared" si="3"/>
        <v>0</v>
      </c>
      <c r="X30" s="82"/>
      <c r="Y30" s="77"/>
      <c r="Z30" s="79"/>
      <c r="AA30" s="80"/>
      <c r="AB30" s="81">
        <f t="shared" si="4"/>
        <v>0</v>
      </c>
      <c r="AC30" s="82"/>
      <c r="AD30" s="77"/>
      <c r="AE30" s="79"/>
      <c r="AF30" s="80"/>
      <c r="AG30" s="81">
        <f t="shared" si="5"/>
        <v>0</v>
      </c>
      <c r="AH30" s="82"/>
      <c r="AI30" s="77"/>
      <c r="AJ30" s="100">
        <v>1</v>
      </c>
      <c r="AK30" s="101">
        <v>0.85</v>
      </c>
      <c r="AL30" s="85">
        <f t="shared" si="6"/>
        <v>0.85</v>
      </c>
      <c r="AM30" s="102" t="s">
        <v>606</v>
      </c>
      <c r="AN30" s="77"/>
      <c r="AO30" s="100">
        <v>1</v>
      </c>
      <c r="AP30" s="101">
        <v>1</v>
      </c>
      <c r="AQ30" s="85">
        <f t="shared" si="7"/>
        <v>1</v>
      </c>
      <c r="AR30" s="102"/>
    </row>
    <row r="31" spans="1:44" ht="93.75" customHeight="1" x14ac:dyDescent="0.25">
      <c r="A31" s="77">
        <v>28</v>
      </c>
      <c r="B31" s="78" t="s">
        <v>6</v>
      </c>
      <c r="C31" s="78" t="s">
        <v>8</v>
      </c>
      <c r="D31" s="78" t="s">
        <v>54</v>
      </c>
      <c r="E31" s="77"/>
      <c r="F31" s="79"/>
      <c r="G31" s="80"/>
      <c r="H31" s="81">
        <f t="shared" si="0"/>
        <v>0</v>
      </c>
      <c r="I31" s="82"/>
      <c r="J31" s="77"/>
      <c r="K31" s="100">
        <v>1</v>
      </c>
      <c r="L31" s="101">
        <v>1</v>
      </c>
      <c r="M31" s="85">
        <f t="shared" si="8"/>
        <v>1</v>
      </c>
      <c r="N31" s="102" t="s">
        <v>572</v>
      </c>
      <c r="O31" s="77"/>
      <c r="P31" s="100">
        <v>1</v>
      </c>
      <c r="Q31" s="101">
        <v>1</v>
      </c>
      <c r="R31" s="85">
        <f t="shared" si="2"/>
        <v>1</v>
      </c>
      <c r="S31" s="102" t="s">
        <v>589</v>
      </c>
      <c r="T31" s="77"/>
      <c r="U31" s="79"/>
      <c r="V31" s="80"/>
      <c r="W31" s="81">
        <f t="shared" si="3"/>
        <v>0</v>
      </c>
      <c r="X31" s="82"/>
      <c r="Y31" s="77"/>
      <c r="Z31" s="79"/>
      <c r="AA31" s="80"/>
      <c r="AB31" s="81">
        <f t="shared" si="4"/>
        <v>0</v>
      </c>
      <c r="AC31" s="82"/>
      <c r="AD31" s="77"/>
      <c r="AE31" s="79"/>
      <c r="AF31" s="80"/>
      <c r="AG31" s="81">
        <f t="shared" si="5"/>
        <v>0</v>
      </c>
      <c r="AH31" s="82"/>
      <c r="AI31" s="77"/>
      <c r="AJ31" s="100">
        <v>1</v>
      </c>
      <c r="AK31" s="101">
        <v>1</v>
      </c>
      <c r="AL31" s="85">
        <f t="shared" si="6"/>
        <v>1</v>
      </c>
      <c r="AM31" s="102" t="s">
        <v>607</v>
      </c>
      <c r="AN31" s="77"/>
      <c r="AO31" s="100">
        <v>1</v>
      </c>
      <c r="AP31" s="101">
        <v>0.2</v>
      </c>
      <c r="AQ31" s="85">
        <f t="shared" si="7"/>
        <v>0.2</v>
      </c>
      <c r="AR31" s="102" t="s">
        <v>628</v>
      </c>
    </row>
    <row r="32" spans="1:44" ht="63" x14ac:dyDescent="0.25">
      <c r="A32" s="77">
        <v>29</v>
      </c>
      <c r="B32" s="78" t="s">
        <v>6</v>
      </c>
      <c r="C32" s="78" t="s">
        <v>8</v>
      </c>
      <c r="D32" s="78" t="s">
        <v>55</v>
      </c>
      <c r="E32" s="77"/>
      <c r="F32" s="79"/>
      <c r="G32" s="80"/>
      <c r="H32" s="81">
        <f t="shared" si="0"/>
        <v>0</v>
      </c>
      <c r="I32" s="82"/>
      <c r="J32" s="77"/>
      <c r="K32" s="100">
        <v>1</v>
      </c>
      <c r="L32" s="101">
        <v>0.9</v>
      </c>
      <c r="M32" s="85">
        <f t="shared" si="8"/>
        <v>0.9</v>
      </c>
      <c r="N32" s="102" t="s">
        <v>573</v>
      </c>
      <c r="O32" s="77"/>
      <c r="P32" s="100">
        <v>1</v>
      </c>
      <c r="Q32" s="101">
        <v>0.9</v>
      </c>
      <c r="R32" s="85">
        <f t="shared" si="2"/>
        <v>0.9</v>
      </c>
      <c r="S32" s="102" t="s">
        <v>590</v>
      </c>
      <c r="T32" s="77"/>
      <c r="U32" s="79"/>
      <c r="V32" s="80"/>
      <c r="W32" s="81">
        <f t="shared" si="3"/>
        <v>0</v>
      </c>
      <c r="X32" s="82"/>
      <c r="Y32" s="77"/>
      <c r="Z32" s="79"/>
      <c r="AA32" s="80"/>
      <c r="AB32" s="81">
        <f t="shared" si="4"/>
        <v>0</v>
      </c>
      <c r="AC32" s="82"/>
      <c r="AD32" s="77"/>
      <c r="AE32" s="79"/>
      <c r="AF32" s="80"/>
      <c r="AG32" s="81">
        <f t="shared" si="5"/>
        <v>0</v>
      </c>
      <c r="AH32" s="82"/>
      <c r="AI32" s="77"/>
      <c r="AJ32" s="100">
        <v>1</v>
      </c>
      <c r="AK32" s="101">
        <v>0.9</v>
      </c>
      <c r="AL32" s="85">
        <f t="shared" si="6"/>
        <v>0.9</v>
      </c>
      <c r="AM32" s="102" t="s">
        <v>608</v>
      </c>
      <c r="AN32" s="77"/>
      <c r="AO32" s="100">
        <v>1</v>
      </c>
      <c r="AP32" s="101">
        <v>0.9</v>
      </c>
      <c r="AQ32" s="85">
        <f t="shared" si="7"/>
        <v>0.9</v>
      </c>
      <c r="AR32" s="102" t="s">
        <v>629</v>
      </c>
    </row>
    <row r="33" spans="1:44" ht="110.25" x14ac:dyDescent="0.25">
      <c r="A33" s="77">
        <v>30</v>
      </c>
      <c r="B33" s="78" t="s">
        <v>6</v>
      </c>
      <c r="C33" s="78" t="s">
        <v>8</v>
      </c>
      <c r="D33" s="78" t="s">
        <v>56</v>
      </c>
      <c r="E33" s="77"/>
      <c r="F33" s="79"/>
      <c r="G33" s="80"/>
      <c r="H33" s="81">
        <f t="shared" si="0"/>
        <v>0</v>
      </c>
      <c r="I33" s="82"/>
      <c r="J33" s="77"/>
      <c r="K33" s="100">
        <v>1</v>
      </c>
      <c r="L33" s="101">
        <v>1</v>
      </c>
      <c r="M33" s="85">
        <f t="shared" si="8"/>
        <v>1</v>
      </c>
      <c r="N33" s="102" t="s">
        <v>574</v>
      </c>
      <c r="O33" s="77"/>
      <c r="P33" s="100">
        <v>1</v>
      </c>
      <c r="Q33" s="101">
        <v>0.5</v>
      </c>
      <c r="R33" s="85">
        <f t="shared" si="2"/>
        <v>0.5</v>
      </c>
      <c r="S33" s="102" t="s">
        <v>465</v>
      </c>
      <c r="T33" s="77"/>
      <c r="U33" s="79"/>
      <c r="V33" s="80"/>
      <c r="W33" s="81">
        <f t="shared" si="3"/>
        <v>0</v>
      </c>
      <c r="X33" s="82"/>
      <c r="Y33" s="77"/>
      <c r="Z33" s="79"/>
      <c r="AA33" s="80"/>
      <c r="AB33" s="81">
        <f t="shared" si="4"/>
        <v>0</v>
      </c>
      <c r="AC33" s="82"/>
      <c r="AD33" s="77"/>
      <c r="AE33" s="79"/>
      <c r="AF33" s="80"/>
      <c r="AG33" s="81">
        <f t="shared" si="5"/>
        <v>0</v>
      </c>
      <c r="AH33" s="82"/>
      <c r="AI33" s="77"/>
      <c r="AJ33" s="100">
        <v>1</v>
      </c>
      <c r="AK33" s="101">
        <v>0.3</v>
      </c>
      <c r="AL33" s="85">
        <f t="shared" si="6"/>
        <v>0.3</v>
      </c>
      <c r="AM33" s="102" t="s">
        <v>609</v>
      </c>
      <c r="AN33" s="77"/>
      <c r="AO33" s="100">
        <v>1</v>
      </c>
      <c r="AP33" s="101">
        <v>0.5</v>
      </c>
      <c r="AQ33" s="85">
        <f t="shared" si="7"/>
        <v>0.5</v>
      </c>
      <c r="AR33" s="102" t="s">
        <v>630</v>
      </c>
    </row>
    <row r="34" spans="1:44" ht="94.5" customHeight="1" x14ac:dyDescent="0.25">
      <c r="A34" s="77">
        <v>31</v>
      </c>
      <c r="B34" s="78" t="s">
        <v>6</v>
      </c>
      <c r="C34" s="78" t="s">
        <v>9</v>
      </c>
      <c r="D34" s="102" t="s">
        <v>57</v>
      </c>
      <c r="E34" s="77"/>
      <c r="F34" s="79"/>
      <c r="G34" s="80"/>
      <c r="H34" s="81">
        <f t="shared" si="0"/>
        <v>0</v>
      </c>
      <c r="I34" s="82"/>
      <c r="J34" s="77"/>
      <c r="K34" s="100">
        <v>1</v>
      </c>
      <c r="L34" s="101">
        <v>0.62</v>
      </c>
      <c r="M34" s="85">
        <f t="shared" si="8"/>
        <v>0.62</v>
      </c>
      <c r="N34" s="102" t="s">
        <v>575</v>
      </c>
      <c r="O34" s="77"/>
      <c r="P34" s="100">
        <v>1</v>
      </c>
      <c r="Q34" s="101">
        <v>0.3</v>
      </c>
      <c r="R34" s="85">
        <f t="shared" si="2"/>
        <v>0.3</v>
      </c>
      <c r="S34" s="102" t="s">
        <v>591</v>
      </c>
      <c r="T34" s="77"/>
      <c r="U34" s="79"/>
      <c r="V34" s="80"/>
      <c r="W34" s="81">
        <f t="shared" si="3"/>
        <v>0</v>
      </c>
      <c r="X34" s="82"/>
      <c r="Y34" s="77"/>
      <c r="Z34" s="79"/>
      <c r="AA34" s="80"/>
      <c r="AB34" s="81">
        <f t="shared" si="4"/>
        <v>0</v>
      </c>
      <c r="AC34" s="82"/>
      <c r="AD34" s="77"/>
      <c r="AE34" s="79"/>
      <c r="AF34" s="80"/>
      <c r="AG34" s="81">
        <f t="shared" si="5"/>
        <v>0</v>
      </c>
      <c r="AH34" s="82"/>
      <c r="AI34" s="77"/>
      <c r="AJ34" s="100">
        <v>1</v>
      </c>
      <c r="AK34" s="101">
        <v>0.3</v>
      </c>
      <c r="AL34" s="85">
        <f t="shared" si="6"/>
        <v>0.3</v>
      </c>
      <c r="AM34" s="102" t="s">
        <v>610</v>
      </c>
      <c r="AN34" s="77"/>
      <c r="AO34" s="100">
        <v>1</v>
      </c>
      <c r="AP34" s="101">
        <v>0.5</v>
      </c>
      <c r="AQ34" s="85">
        <f t="shared" si="7"/>
        <v>0.5</v>
      </c>
      <c r="AR34" s="102" t="s">
        <v>194</v>
      </c>
    </row>
    <row r="35" spans="1:44" ht="227.25" customHeight="1" x14ac:dyDescent="0.25">
      <c r="A35" s="77">
        <v>32</v>
      </c>
      <c r="B35" s="78" t="s">
        <v>6</v>
      </c>
      <c r="C35" s="78" t="s">
        <v>9</v>
      </c>
      <c r="D35" s="102" t="s">
        <v>58</v>
      </c>
      <c r="E35" s="77"/>
      <c r="F35" s="79"/>
      <c r="G35" s="80"/>
      <c r="H35" s="81">
        <f t="shared" si="0"/>
        <v>0</v>
      </c>
      <c r="I35" s="78"/>
      <c r="J35" s="77"/>
      <c r="K35" s="100">
        <v>1</v>
      </c>
      <c r="L35" s="101">
        <v>0.9</v>
      </c>
      <c r="M35" s="85">
        <f t="shared" si="8"/>
        <v>0.9</v>
      </c>
      <c r="N35" s="102" t="s">
        <v>152</v>
      </c>
      <c r="O35" s="77"/>
      <c r="P35" s="100">
        <v>1</v>
      </c>
      <c r="Q35" s="101">
        <v>0.7</v>
      </c>
      <c r="R35" s="85">
        <f t="shared" si="2"/>
        <v>0.7</v>
      </c>
      <c r="S35" s="102" t="s">
        <v>332</v>
      </c>
      <c r="T35" s="77"/>
      <c r="U35" s="79"/>
      <c r="V35" s="80"/>
      <c r="W35" s="81">
        <f t="shared" si="3"/>
        <v>0</v>
      </c>
      <c r="X35" s="82"/>
      <c r="Y35" s="77"/>
      <c r="Z35" s="79"/>
      <c r="AA35" s="80"/>
      <c r="AB35" s="81">
        <f t="shared" si="4"/>
        <v>0</v>
      </c>
      <c r="AC35" s="82"/>
      <c r="AD35" s="77"/>
      <c r="AE35" s="79"/>
      <c r="AF35" s="80"/>
      <c r="AG35" s="81">
        <f t="shared" si="5"/>
        <v>0</v>
      </c>
      <c r="AH35" s="82"/>
      <c r="AI35" s="77"/>
      <c r="AJ35" s="100">
        <v>1</v>
      </c>
      <c r="AK35" s="101">
        <v>0.1</v>
      </c>
      <c r="AL35" s="85">
        <f t="shared" si="6"/>
        <v>0.1</v>
      </c>
      <c r="AM35" s="102" t="s">
        <v>611</v>
      </c>
      <c r="AN35" s="77"/>
      <c r="AO35" s="100">
        <v>1</v>
      </c>
      <c r="AP35" s="101">
        <v>0.5</v>
      </c>
      <c r="AQ35" s="85">
        <f t="shared" si="7"/>
        <v>0.5</v>
      </c>
      <c r="AR35" s="102" t="s">
        <v>348</v>
      </c>
    </row>
    <row r="36" spans="1:44" ht="173.25" x14ac:dyDescent="0.25">
      <c r="A36" s="77">
        <v>33</v>
      </c>
      <c r="B36" s="78" t="s">
        <v>6</v>
      </c>
      <c r="C36" s="78" t="s">
        <v>9</v>
      </c>
      <c r="D36" s="78" t="s">
        <v>59</v>
      </c>
      <c r="E36" s="77"/>
      <c r="F36" s="79"/>
      <c r="G36" s="80"/>
      <c r="H36" s="81">
        <f t="shared" si="0"/>
        <v>0</v>
      </c>
      <c r="I36" s="82"/>
      <c r="J36" s="77"/>
      <c r="K36" s="100">
        <v>1</v>
      </c>
      <c r="L36" s="101">
        <v>1</v>
      </c>
      <c r="M36" s="85">
        <f t="shared" si="8"/>
        <v>1</v>
      </c>
      <c r="N36" s="102"/>
      <c r="O36" s="77"/>
      <c r="P36" s="100">
        <v>1</v>
      </c>
      <c r="Q36" s="101">
        <v>0.5</v>
      </c>
      <c r="R36" s="85">
        <f t="shared" si="2"/>
        <v>0.5</v>
      </c>
      <c r="S36" s="102" t="s">
        <v>592</v>
      </c>
      <c r="T36" s="77"/>
      <c r="U36" s="79"/>
      <c r="V36" s="80"/>
      <c r="W36" s="81">
        <f t="shared" si="3"/>
        <v>0</v>
      </c>
      <c r="X36" s="82"/>
      <c r="Y36" s="77"/>
      <c r="Z36" s="79"/>
      <c r="AA36" s="80"/>
      <c r="AB36" s="81">
        <f t="shared" si="4"/>
        <v>0</v>
      </c>
      <c r="AC36" s="82"/>
      <c r="AD36" s="77"/>
      <c r="AE36" s="79"/>
      <c r="AF36" s="80"/>
      <c r="AG36" s="81">
        <f t="shared" si="5"/>
        <v>0</v>
      </c>
      <c r="AH36" s="82"/>
      <c r="AI36" s="77"/>
      <c r="AJ36" s="100">
        <v>1</v>
      </c>
      <c r="AK36" s="101">
        <v>0.5</v>
      </c>
      <c r="AL36" s="85">
        <f t="shared" si="6"/>
        <v>0.5</v>
      </c>
      <c r="AM36" s="102" t="s">
        <v>612</v>
      </c>
      <c r="AN36" s="77"/>
      <c r="AO36" s="100">
        <v>1</v>
      </c>
      <c r="AP36" s="101">
        <v>0.8</v>
      </c>
      <c r="AQ36" s="85">
        <f t="shared" si="7"/>
        <v>0.8</v>
      </c>
      <c r="AR36" s="102" t="s">
        <v>196</v>
      </c>
    </row>
    <row r="37" spans="1:44" ht="118.5" customHeight="1" x14ac:dyDescent="0.25">
      <c r="A37" s="77">
        <v>34</v>
      </c>
      <c r="B37" s="78" t="s">
        <v>6</v>
      </c>
      <c r="C37" s="78" t="s">
        <v>9</v>
      </c>
      <c r="D37" s="78" t="s">
        <v>60</v>
      </c>
      <c r="E37" s="77"/>
      <c r="F37" s="79"/>
      <c r="G37" s="80"/>
      <c r="H37" s="81">
        <f t="shared" si="0"/>
        <v>0</v>
      </c>
      <c r="I37" s="82"/>
      <c r="J37" s="77"/>
      <c r="K37" s="100">
        <v>1</v>
      </c>
      <c r="L37" s="101">
        <v>1</v>
      </c>
      <c r="M37" s="85">
        <f t="shared" si="8"/>
        <v>1</v>
      </c>
      <c r="N37" s="102" t="s">
        <v>576</v>
      </c>
      <c r="O37" s="77"/>
      <c r="P37" s="100">
        <v>1</v>
      </c>
      <c r="Q37" s="101">
        <v>1</v>
      </c>
      <c r="R37" s="85">
        <f t="shared" si="2"/>
        <v>1</v>
      </c>
      <c r="S37" s="102" t="s">
        <v>176</v>
      </c>
      <c r="T37" s="77"/>
      <c r="U37" s="79"/>
      <c r="V37" s="80"/>
      <c r="W37" s="81">
        <f t="shared" si="3"/>
        <v>0</v>
      </c>
      <c r="X37" s="82"/>
      <c r="Y37" s="77"/>
      <c r="Z37" s="79"/>
      <c r="AA37" s="80"/>
      <c r="AB37" s="81">
        <f t="shared" si="4"/>
        <v>0</v>
      </c>
      <c r="AC37" s="82"/>
      <c r="AD37" s="77"/>
      <c r="AE37" s="79"/>
      <c r="AF37" s="80"/>
      <c r="AG37" s="81">
        <f t="shared" si="5"/>
        <v>0</v>
      </c>
      <c r="AH37" s="82"/>
      <c r="AI37" s="77"/>
      <c r="AJ37" s="100">
        <v>1</v>
      </c>
      <c r="AK37" s="101">
        <v>1</v>
      </c>
      <c r="AL37" s="85">
        <f t="shared" si="6"/>
        <v>1</v>
      </c>
      <c r="AM37" s="102" t="s">
        <v>613</v>
      </c>
      <c r="AN37" s="77"/>
      <c r="AO37" s="100">
        <v>0</v>
      </c>
      <c r="AP37" s="101"/>
      <c r="AQ37" s="85">
        <f t="shared" si="7"/>
        <v>0</v>
      </c>
      <c r="AR37" s="102" t="s">
        <v>297</v>
      </c>
    </row>
    <row r="38" spans="1:44" ht="372" customHeight="1" x14ac:dyDescent="0.25">
      <c r="A38" s="77">
        <v>35</v>
      </c>
      <c r="B38" s="78" t="s">
        <v>6</v>
      </c>
      <c r="C38" s="78" t="s">
        <v>9</v>
      </c>
      <c r="D38" s="78" t="s">
        <v>61</v>
      </c>
      <c r="E38" s="77"/>
      <c r="F38" s="79"/>
      <c r="G38" s="80"/>
      <c r="H38" s="81">
        <f t="shared" si="0"/>
        <v>0</v>
      </c>
      <c r="I38" s="82"/>
      <c r="J38" s="77"/>
      <c r="K38" s="100">
        <v>1</v>
      </c>
      <c r="L38" s="101">
        <v>0.9</v>
      </c>
      <c r="M38" s="85">
        <f t="shared" si="8"/>
        <v>0.9</v>
      </c>
      <c r="N38" s="102" t="s">
        <v>577</v>
      </c>
      <c r="O38" s="77"/>
      <c r="P38" s="100">
        <v>1</v>
      </c>
      <c r="Q38" s="101">
        <v>0.98</v>
      </c>
      <c r="R38" s="85">
        <f t="shared" si="2"/>
        <v>0.98</v>
      </c>
      <c r="S38" s="102" t="s">
        <v>234</v>
      </c>
      <c r="T38" s="77"/>
      <c r="U38" s="79"/>
      <c r="V38" s="80"/>
      <c r="W38" s="81">
        <f t="shared" si="3"/>
        <v>0</v>
      </c>
      <c r="X38" s="82"/>
      <c r="Y38" s="77"/>
      <c r="Z38" s="79"/>
      <c r="AA38" s="80"/>
      <c r="AB38" s="81">
        <f t="shared" si="4"/>
        <v>0</v>
      </c>
      <c r="AC38" s="82"/>
      <c r="AD38" s="77"/>
      <c r="AE38" s="79"/>
      <c r="AF38" s="80"/>
      <c r="AG38" s="81">
        <f t="shared" si="5"/>
        <v>0</v>
      </c>
      <c r="AH38" s="82"/>
      <c r="AI38" s="77"/>
      <c r="AJ38" s="100">
        <v>1</v>
      </c>
      <c r="AK38" s="101">
        <v>0.1</v>
      </c>
      <c r="AL38" s="85">
        <f t="shared" si="6"/>
        <v>0.1</v>
      </c>
      <c r="AM38" s="102" t="s">
        <v>614</v>
      </c>
      <c r="AN38" s="77"/>
      <c r="AO38" s="100">
        <v>1</v>
      </c>
      <c r="AP38" s="101">
        <v>0.65</v>
      </c>
      <c r="AQ38" s="85">
        <f t="shared" si="7"/>
        <v>0.65</v>
      </c>
      <c r="AR38" s="102" t="s">
        <v>631</v>
      </c>
    </row>
    <row r="39" spans="1:44" ht="299.25" x14ac:dyDescent="0.25">
      <c r="A39" s="77">
        <v>36</v>
      </c>
      <c r="B39" s="78" t="s">
        <v>6</v>
      </c>
      <c r="C39" s="78" t="s">
        <v>9</v>
      </c>
      <c r="D39" s="78" t="s">
        <v>62</v>
      </c>
      <c r="E39" s="77"/>
      <c r="F39" s="79"/>
      <c r="G39" s="80"/>
      <c r="H39" s="81">
        <f t="shared" si="0"/>
        <v>0</v>
      </c>
      <c r="I39" s="82"/>
      <c r="J39" s="77"/>
      <c r="K39" s="100">
        <v>1</v>
      </c>
      <c r="L39" s="101">
        <v>0.9</v>
      </c>
      <c r="M39" s="85">
        <f t="shared" si="8"/>
        <v>0.9</v>
      </c>
      <c r="N39" s="102" t="s">
        <v>578</v>
      </c>
      <c r="O39" s="77"/>
      <c r="P39" s="100">
        <v>1</v>
      </c>
      <c r="Q39" s="101">
        <v>0.96</v>
      </c>
      <c r="R39" s="85">
        <f t="shared" si="2"/>
        <v>0.96</v>
      </c>
      <c r="S39" s="102" t="s">
        <v>177</v>
      </c>
      <c r="T39" s="77"/>
      <c r="U39" s="79"/>
      <c r="V39" s="80"/>
      <c r="W39" s="81">
        <f t="shared" si="3"/>
        <v>0</v>
      </c>
      <c r="X39" s="82"/>
      <c r="Y39" s="77"/>
      <c r="Z39" s="79"/>
      <c r="AA39" s="80"/>
      <c r="AB39" s="81">
        <f t="shared" si="4"/>
        <v>0</v>
      </c>
      <c r="AC39" s="82"/>
      <c r="AD39" s="77"/>
      <c r="AE39" s="79"/>
      <c r="AF39" s="80"/>
      <c r="AG39" s="81">
        <f t="shared" si="5"/>
        <v>0</v>
      </c>
      <c r="AH39" s="82"/>
      <c r="AI39" s="77"/>
      <c r="AJ39" s="100">
        <v>1</v>
      </c>
      <c r="AK39" s="101">
        <v>0.3</v>
      </c>
      <c r="AL39" s="85">
        <f t="shared" si="6"/>
        <v>0.3</v>
      </c>
      <c r="AM39" s="102" t="s">
        <v>615</v>
      </c>
      <c r="AN39" s="77"/>
      <c r="AO39" s="100">
        <v>1</v>
      </c>
      <c r="AP39" s="101">
        <v>0.6</v>
      </c>
      <c r="AQ39" s="85">
        <f t="shared" si="7"/>
        <v>0.6</v>
      </c>
      <c r="AR39" s="102" t="s">
        <v>632</v>
      </c>
    </row>
    <row r="40" spans="1:44" ht="126" x14ac:dyDescent="0.25">
      <c r="A40" s="77">
        <v>37</v>
      </c>
      <c r="B40" s="78" t="s">
        <v>6</v>
      </c>
      <c r="C40" s="78" t="s">
        <v>9</v>
      </c>
      <c r="D40" s="78" t="s">
        <v>63</v>
      </c>
      <c r="E40" s="77"/>
      <c r="F40" s="79"/>
      <c r="G40" s="80"/>
      <c r="H40" s="81">
        <f t="shared" si="0"/>
        <v>0</v>
      </c>
      <c r="I40" s="82"/>
      <c r="J40" s="77"/>
      <c r="K40" s="100">
        <v>1</v>
      </c>
      <c r="L40" s="101">
        <v>0.65</v>
      </c>
      <c r="M40" s="85">
        <f t="shared" si="8"/>
        <v>0.65</v>
      </c>
      <c r="N40" s="102" t="s">
        <v>579</v>
      </c>
      <c r="O40" s="77"/>
      <c r="P40" s="100">
        <v>1</v>
      </c>
      <c r="Q40" s="101">
        <v>0.98</v>
      </c>
      <c r="R40" s="85">
        <f t="shared" si="2"/>
        <v>0.98</v>
      </c>
      <c r="S40" s="102" t="s">
        <v>466</v>
      </c>
      <c r="T40" s="77"/>
      <c r="U40" s="79"/>
      <c r="V40" s="80"/>
      <c r="W40" s="81">
        <f t="shared" si="3"/>
        <v>0</v>
      </c>
      <c r="X40" s="82"/>
      <c r="Y40" s="77"/>
      <c r="Z40" s="79"/>
      <c r="AA40" s="80"/>
      <c r="AB40" s="81">
        <f t="shared" si="4"/>
        <v>0</v>
      </c>
      <c r="AC40" s="82"/>
      <c r="AD40" s="77"/>
      <c r="AE40" s="79"/>
      <c r="AF40" s="80"/>
      <c r="AG40" s="81">
        <f t="shared" si="5"/>
        <v>0</v>
      </c>
      <c r="AH40" s="82"/>
      <c r="AI40" s="77"/>
      <c r="AJ40" s="100">
        <v>1</v>
      </c>
      <c r="AK40" s="101">
        <v>0.99</v>
      </c>
      <c r="AL40" s="85">
        <f t="shared" si="6"/>
        <v>0.99</v>
      </c>
      <c r="AM40" s="102" t="s">
        <v>616</v>
      </c>
      <c r="AN40" s="77"/>
      <c r="AO40" s="100">
        <v>1</v>
      </c>
      <c r="AP40" s="101">
        <v>0.6</v>
      </c>
      <c r="AQ40" s="85">
        <f t="shared" si="7"/>
        <v>0.6</v>
      </c>
      <c r="AR40" s="102" t="s">
        <v>199</v>
      </c>
    </row>
    <row r="41" spans="1:44" ht="213.75" customHeight="1" x14ac:dyDescent="0.25">
      <c r="A41" s="77">
        <v>38</v>
      </c>
      <c r="B41" s="78" t="s">
        <v>10</v>
      </c>
      <c r="C41" s="78" t="s">
        <v>11</v>
      </c>
      <c r="D41" s="78" t="s">
        <v>65</v>
      </c>
      <c r="E41" s="77"/>
      <c r="F41" s="79"/>
      <c r="G41" s="80"/>
      <c r="H41" s="81">
        <f t="shared" si="0"/>
        <v>0</v>
      </c>
      <c r="I41" s="82"/>
      <c r="J41" s="77"/>
      <c r="K41" s="100">
        <v>1</v>
      </c>
      <c r="L41" s="101">
        <v>0.83</v>
      </c>
      <c r="M41" s="85">
        <f t="shared" si="8"/>
        <v>0.83</v>
      </c>
      <c r="N41" s="102" t="s">
        <v>1400</v>
      </c>
      <c r="O41" s="77"/>
      <c r="P41" s="100">
        <v>1</v>
      </c>
      <c r="Q41" s="101">
        <v>0.8</v>
      </c>
      <c r="R41" s="85">
        <f t="shared" si="2"/>
        <v>0.8</v>
      </c>
      <c r="S41" s="102" t="s">
        <v>1401</v>
      </c>
      <c r="T41" s="77"/>
      <c r="U41" s="79"/>
      <c r="V41" s="80"/>
      <c r="W41" s="81">
        <f t="shared" si="3"/>
        <v>0</v>
      </c>
      <c r="X41" s="82"/>
      <c r="Y41" s="77"/>
      <c r="Z41" s="79"/>
      <c r="AA41" s="80"/>
      <c r="AB41" s="81">
        <f t="shared" si="4"/>
        <v>0</v>
      </c>
      <c r="AC41" s="82"/>
      <c r="AD41" s="77"/>
      <c r="AE41" s="79"/>
      <c r="AF41" s="80"/>
      <c r="AG41" s="81">
        <f t="shared" si="5"/>
        <v>0</v>
      </c>
      <c r="AH41" s="82"/>
      <c r="AI41" s="77"/>
      <c r="AJ41" s="100">
        <v>1</v>
      </c>
      <c r="AK41" s="101">
        <v>0.65</v>
      </c>
      <c r="AL41" s="85">
        <f t="shared" si="6"/>
        <v>0.65</v>
      </c>
      <c r="AM41" s="102" t="s">
        <v>1402</v>
      </c>
      <c r="AN41" s="77"/>
      <c r="AO41" s="100">
        <v>1</v>
      </c>
      <c r="AP41" s="101">
        <v>0.75</v>
      </c>
      <c r="AQ41" s="85">
        <f t="shared" si="7"/>
        <v>0.75</v>
      </c>
      <c r="AR41" s="78" t="s">
        <v>1403</v>
      </c>
    </row>
    <row r="42" spans="1:44" ht="105.75" customHeight="1" x14ac:dyDescent="0.25">
      <c r="A42" s="77">
        <v>39</v>
      </c>
      <c r="B42" s="78" t="s">
        <v>10</v>
      </c>
      <c r="C42" s="78" t="s">
        <v>11</v>
      </c>
      <c r="D42" s="78" t="s">
        <v>66</v>
      </c>
      <c r="E42" s="77"/>
      <c r="F42" s="79"/>
      <c r="G42" s="80"/>
      <c r="H42" s="81">
        <f t="shared" si="0"/>
        <v>0</v>
      </c>
      <c r="I42" s="82"/>
      <c r="J42" s="77"/>
      <c r="K42" s="100">
        <v>1</v>
      </c>
      <c r="L42" s="101">
        <v>1</v>
      </c>
      <c r="M42" s="85">
        <f t="shared" si="8"/>
        <v>1</v>
      </c>
      <c r="N42" s="102" t="s">
        <v>1058</v>
      </c>
      <c r="O42" s="77"/>
      <c r="P42" s="100">
        <v>1</v>
      </c>
      <c r="Q42" s="101">
        <v>1</v>
      </c>
      <c r="R42" s="85">
        <f t="shared" si="2"/>
        <v>1</v>
      </c>
      <c r="S42" s="102" t="s">
        <v>1064</v>
      </c>
      <c r="T42" s="77"/>
      <c r="U42" s="79"/>
      <c r="V42" s="80"/>
      <c r="W42" s="81">
        <f t="shared" si="3"/>
        <v>0</v>
      </c>
      <c r="X42" s="82"/>
      <c r="Y42" s="77"/>
      <c r="Z42" s="79"/>
      <c r="AA42" s="80"/>
      <c r="AB42" s="81">
        <f t="shared" si="4"/>
        <v>0</v>
      </c>
      <c r="AC42" s="82"/>
      <c r="AD42" s="77"/>
      <c r="AE42" s="79"/>
      <c r="AF42" s="80"/>
      <c r="AG42" s="81">
        <f t="shared" si="5"/>
        <v>0</v>
      </c>
      <c r="AH42" s="82"/>
      <c r="AI42" s="77"/>
      <c r="AJ42" s="100">
        <v>1</v>
      </c>
      <c r="AK42" s="101">
        <v>1</v>
      </c>
      <c r="AL42" s="85">
        <f t="shared" si="6"/>
        <v>1</v>
      </c>
      <c r="AM42" s="102" t="s">
        <v>1071</v>
      </c>
      <c r="AN42" s="77"/>
      <c r="AO42" s="100">
        <v>1</v>
      </c>
      <c r="AP42" s="101">
        <v>1</v>
      </c>
      <c r="AQ42" s="85">
        <f t="shared" si="7"/>
        <v>1</v>
      </c>
      <c r="AR42" s="78" t="s">
        <v>1066</v>
      </c>
    </row>
    <row r="43" spans="1:44" ht="90.75" customHeight="1" x14ac:dyDescent="0.25">
      <c r="A43" s="77">
        <v>40</v>
      </c>
      <c r="B43" s="78" t="s">
        <v>10</v>
      </c>
      <c r="C43" s="78" t="s">
        <v>11</v>
      </c>
      <c r="D43" s="78" t="s">
        <v>67</v>
      </c>
      <c r="E43" s="77"/>
      <c r="F43" s="79"/>
      <c r="G43" s="80"/>
      <c r="H43" s="81">
        <f t="shared" si="0"/>
        <v>0</v>
      </c>
      <c r="I43" s="82"/>
      <c r="J43" s="77"/>
      <c r="K43" s="100">
        <v>1</v>
      </c>
      <c r="L43" s="101">
        <v>0.7</v>
      </c>
      <c r="M43" s="85">
        <f t="shared" si="8"/>
        <v>0.7</v>
      </c>
      <c r="N43" s="102" t="s">
        <v>1404</v>
      </c>
      <c r="O43" s="77"/>
      <c r="P43" s="100">
        <v>1</v>
      </c>
      <c r="Q43" s="101">
        <v>0.9</v>
      </c>
      <c r="R43" s="85">
        <f t="shared" si="2"/>
        <v>0.9</v>
      </c>
      <c r="S43" s="102" t="s">
        <v>1405</v>
      </c>
      <c r="T43" s="77"/>
      <c r="U43" s="79"/>
      <c r="V43" s="80"/>
      <c r="W43" s="81">
        <f t="shared" si="3"/>
        <v>0</v>
      </c>
      <c r="X43" s="82"/>
      <c r="Y43" s="77"/>
      <c r="Z43" s="79"/>
      <c r="AA43" s="80"/>
      <c r="AB43" s="81">
        <f t="shared" si="4"/>
        <v>0</v>
      </c>
      <c r="AC43" s="82"/>
      <c r="AD43" s="77"/>
      <c r="AE43" s="79"/>
      <c r="AF43" s="80"/>
      <c r="AG43" s="81">
        <f t="shared" si="5"/>
        <v>0</v>
      </c>
      <c r="AH43" s="82"/>
      <c r="AI43" s="77"/>
      <c r="AJ43" s="100">
        <v>1</v>
      </c>
      <c r="AK43" s="101">
        <v>0.4</v>
      </c>
      <c r="AL43" s="85">
        <f t="shared" si="6"/>
        <v>0.4</v>
      </c>
      <c r="AM43" s="102" t="s">
        <v>1406</v>
      </c>
      <c r="AN43" s="77"/>
      <c r="AO43" s="100">
        <v>1</v>
      </c>
      <c r="AP43" s="101">
        <v>0.3</v>
      </c>
      <c r="AQ43" s="85">
        <f t="shared" si="7"/>
        <v>0.3</v>
      </c>
      <c r="AR43" s="78" t="s">
        <v>1407</v>
      </c>
    </row>
    <row r="44" spans="1:44" ht="138" customHeight="1" x14ac:dyDescent="0.25">
      <c r="A44" s="77">
        <v>41</v>
      </c>
      <c r="B44" s="78" t="s">
        <v>10</v>
      </c>
      <c r="C44" s="78" t="s">
        <v>11</v>
      </c>
      <c r="D44" s="78" t="s">
        <v>68</v>
      </c>
      <c r="E44" s="77"/>
      <c r="F44" s="79"/>
      <c r="G44" s="80"/>
      <c r="H44" s="81">
        <f t="shared" si="0"/>
        <v>0</v>
      </c>
      <c r="I44" s="82"/>
      <c r="J44" s="77"/>
      <c r="K44" s="100">
        <v>1</v>
      </c>
      <c r="L44" s="101">
        <v>1</v>
      </c>
      <c r="M44" s="85">
        <f t="shared" si="8"/>
        <v>1</v>
      </c>
      <c r="N44" s="102" t="s">
        <v>1059</v>
      </c>
      <c r="O44" s="77"/>
      <c r="P44" s="100">
        <v>1</v>
      </c>
      <c r="Q44" s="101">
        <v>0.87</v>
      </c>
      <c r="R44" s="85">
        <f t="shared" si="2"/>
        <v>0.87</v>
      </c>
      <c r="S44" s="102" t="s">
        <v>1346</v>
      </c>
      <c r="T44" s="77"/>
      <c r="U44" s="79"/>
      <c r="V44" s="80"/>
      <c r="W44" s="81">
        <f t="shared" si="3"/>
        <v>0</v>
      </c>
      <c r="X44" s="82"/>
      <c r="Y44" s="77"/>
      <c r="Z44" s="79"/>
      <c r="AA44" s="80"/>
      <c r="AB44" s="81">
        <f t="shared" si="4"/>
        <v>0</v>
      </c>
      <c r="AC44" s="82"/>
      <c r="AD44" s="77"/>
      <c r="AE44" s="79"/>
      <c r="AF44" s="80"/>
      <c r="AG44" s="81">
        <f t="shared" si="5"/>
        <v>0</v>
      </c>
      <c r="AH44" s="82"/>
      <c r="AI44" s="77"/>
      <c r="AJ44" s="100">
        <v>1</v>
      </c>
      <c r="AK44" s="101">
        <v>0.83</v>
      </c>
      <c r="AL44" s="85">
        <f t="shared" si="6"/>
        <v>0.83</v>
      </c>
      <c r="AM44" s="102" t="s">
        <v>1408</v>
      </c>
      <c r="AN44" s="77"/>
      <c r="AO44" s="100">
        <v>1</v>
      </c>
      <c r="AP44" s="101">
        <v>0.87</v>
      </c>
      <c r="AQ44" s="85">
        <f t="shared" si="7"/>
        <v>0.87</v>
      </c>
      <c r="AR44" s="78" t="s">
        <v>1382</v>
      </c>
    </row>
    <row r="45" spans="1:44" ht="90.75" customHeight="1" x14ac:dyDescent="0.25">
      <c r="A45" s="77">
        <v>42</v>
      </c>
      <c r="B45" s="78" t="s">
        <v>10</v>
      </c>
      <c r="C45" s="78" t="s">
        <v>11</v>
      </c>
      <c r="D45" s="78" t="s">
        <v>69</v>
      </c>
      <c r="E45" s="77"/>
      <c r="F45" s="79"/>
      <c r="G45" s="80"/>
      <c r="H45" s="81">
        <f t="shared" si="0"/>
        <v>0</v>
      </c>
      <c r="I45" s="82"/>
      <c r="J45" s="77"/>
      <c r="K45" s="100">
        <v>1</v>
      </c>
      <c r="L45" s="101">
        <v>1</v>
      </c>
      <c r="M45" s="85">
        <f t="shared" si="8"/>
        <v>1</v>
      </c>
      <c r="N45" s="102" t="s">
        <v>1060</v>
      </c>
      <c r="O45" s="77"/>
      <c r="P45" s="100">
        <v>1</v>
      </c>
      <c r="Q45" s="101">
        <v>0.7</v>
      </c>
      <c r="R45" s="85">
        <f t="shared" si="2"/>
        <v>0.7</v>
      </c>
      <c r="S45" s="102" t="s">
        <v>1276</v>
      </c>
      <c r="T45" s="77"/>
      <c r="U45" s="79"/>
      <c r="V45" s="80"/>
      <c r="W45" s="81">
        <f t="shared" si="3"/>
        <v>0</v>
      </c>
      <c r="X45" s="82"/>
      <c r="Y45" s="77"/>
      <c r="Z45" s="79"/>
      <c r="AA45" s="80"/>
      <c r="AB45" s="81">
        <f t="shared" si="4"/>
        <v>0</v>
      </c>
      <c r="AC45" s="82"/>
      <c r="AD45" s="77"/>
      <c r="AE45" s="79"/>
      <c r="AF45" s="80"/>
      <c r="AG45" s="81">
        <f t="shared" si="5"/>
        <v>0</v>
      </c>
      <c r="AH45" s="82"/>
      <c r="AI45" s="77"/>
      <c r="AJ45" s="100">
        <v>1</v>
      </c>
      <c r="AK45" s="101">
        <v>0.7</v>
      </c>
      <c r="AL45" s="85">
        <f t="shared" si="6"/>
        <v>0.7</v>
      </c>
      <c r="AM45" s="102" t="s">
        <v>1409</v>
      </c>
      <c r="AN45" s="77"/>
      <c r="AO45" s="100">
        <v>1</v>
      </c>
      <c r="AP45" s="101">
        <v>0.95</v>
      </c>
      <c r="AQ45" s="85">
        <f t="shared" si="7"/>
        <v>0.95</v>
      </c>
      <c r="AR45" s="78" t="s">
        <v>1277</v>
      </c>
    </row>
    <row r="46" spans="1:44" ht="174" customHeight="1" x14ac:dyDescent="0.25">
      <c r="A46" s="77">
        <v>43</v>
      </c>
      <c r="B46" s="78" t="s">
        <v>10</v>
      </c>
      <c r="C46" s="78" t="s">
        <v>11</v>
      </c>
      <c r="D46" s="78" t="s">
        <v>70</v>
      </c>
      <c r="E46" s="77"/>
      <c r="F46" s="79"/>
      <c r="G46" s="80"/>
      <c r="H46" s="81">
        <f t="shared" si="0"/>
        <v>0</v>
      </c>
      <c r="I46" s="82"/>
      <c r="J46" s="77"/>
      <c r="K46" s="100">
        <v>1</v>
      </c>
      <c r="L46" s="101">
        <v>0.9</v>
      </c>
      <c r="M46" s="85">
        <f t="shared" si="8"/>
        <v>0.9</v>
      </c>
      <c r="N46" s="102" t="s">
        <v>1410</v>
      </c>
      <c r="O46" s="77"/>
      <c r="P46" s="100">
        <v>1</v>
      </c>
      <c r="Q46" s="101">
        <v>0.85</v>
      </c>
      <c r="R46" s="85">
        <f t="shared" si="2"/>
        <v>0.85</v>
      </c>
      <c r="S46" s="102" t="s">
        <v>1411</v>
      </c>
      <c r="T46" s="77"/>
      <c r="U46" s="79"/>
      <c r="V46" s="80"/>
      <c r="W46" s="81">
        <f t="shared" si="3"/>
        <v>0</v>
      </c>
      <c r="X46" s="82"/>
      <c r="Y46" s="77"/>
      <c r="Z46" s="79"/>
      <c r="AA46" s="80"/>
      <c r="AB46" s="81">
        <f t="shared" si="4"/>
        <v>0</v>
      </c>
      <c r="AC46" s="82"/>
      <c r="AD46" s="77"/>
      <c r="AE46" s="79"/>
      <c r="AF46" s="80"/>
      <c r="AG46" s="81">
        <f t="shared" si="5"/>
        <v>0</v>
      </c>
      <c r="AH46" s="82"/>
      <c r="AI46" s="77"/>
      <c r="AJ46" s="100">
        <v>1</v>
      </c>
      <c r="AK46" s="101">
        <v>0.68</v>
      </c>
      <c r="AL46" s="85">
        <f t="shared" si="6"/>
        <v>0.68</v>
      </c>
      <c r="AM46" s="102" t="s">
        <v>1412</v>
      </c>
      <c r="AN46" s="77"/>
      <c r="AO46" s="100">
        <v>1</v>
      </c>
      <c r="AP46" s="101">
        <v>0.95</v>
      </c>
      <c r="AQ46" s="85">
        <f t="shared" si="7"/>
        <v>0.95</v>
      </c>
      <c r="AR46" s="78" t="s">
        <v>1413</v>
      </c>
    </row>
    <row r="47" spans="1:44" ht="66" customHeight="1" x14ac:dyDescent="0.25">
      <c r="A47" s="77">
        <v>44</v>
      </c>
      <c r="B47" s="78" t="s">
        <v>10</v>
      </c>
      <c r="C47" s="78" t="s">
        <v>11</v>
      </c>
      <c r="D47" s="78" t="s">
        <v>12</v>
      </c>
      <c r="E47" s="77"/>
      <c r="F47" s="79"/>
      <c r="G47" s="80"/>
      <c r="H47" s="81">
        <f t="shared" si="0"/>
        <v>0</v>
      </c>
      <c r="I47" s="82"/>
      <c r="J47" s="77"/>
      <c r="K47" s="100">
        <v>1</v>
      </c>
      <c r="L47" s="101">
        <v>1</v>
      </c>
      <c r="M47" s="85">
        <f t="shared" si="8"/>
        <v>1</v>
      </c>
      <c r="N47" s="102" t="s">
        <v>1062</v>
      </c>
      <c r="O47" s="77"/>
      <c r="P47" s="100">
        <v>1</v>
      </c>
      <c r="Q47" s="101">
        <v>1</v>
      </c>
      <c r="R47" s="85">
        <f t="shared" si="2"/>
        <v>1</v>
      </c>
      <c r="S47" s="122" t="s">
        <v>1065</v>
      </c>
      <c r="T47" s="77"/>
      <c r="U47" s="79"/>
      <c r="V47" s="80"/>
      <c r="W47" s="81">
        <f t="shared" si="3"/>
        <v>0</v>
      </c>
      <c r="X47" s="82"/>
      <c r="Y47" s="77"/>
      <c r="Z47" s="79"/>
      <c r="AA47" s="80"/>
      <c r="AB47" s="81">
        <f t="shared" si="4"/>
        <v>0</v>
      </c>
      <c r="AC47" s="82"/>
      <c r="AD47" s="77"/>
      <c r="AE47" s="79"/>
      <c r="AF47" s="80"/>
      <c r="AG47" s="81">
        <f t="shared" si="5"/>
        <v>0</v>
      </c>
      <c r="AH47" s="82"/>
      <c r="AI47" s="77"/>
      <c r="AJ47" s="100">
        <v>1</v>
      </c>
      <c r="AK47" s="101">
        <v>0.5</v>
      </c>
      <c r="AL47" s="85">
        <f t="shared" si="6"/>
        <v>0.5</v>
      </c>
      <c r="AM47" s="102" t="s">
        <v>1414</v>
      </c>
      <c r="AN47" s="77"/>
      <c r="AO47" s="100">
        <v>1</v>
      </c>
      <c r="AP47" s="101">
        <v>1</v>
      </c>
      <c r="AQ47" s="85">
        <f t="shared" si="7"/>
        <v>1</v>
      </c>
      <c r="AR47" s="78" t="s">
        <v>1058</v>
      </c>
    </row>
    <row r="48" spans="1:44" ht="112.5" customHeight="1" x14ac:dyDescent="0.25">
      <c r="A48" s="77">
        <v>45</v>
      </c>
      <c r="B48" s="78" t="s">
        <v>10</v>
      </c>
      <c r="C48" s="78" t="s">
        <v>71</v>
      </c>
      <c r="D48" s="78" t="s">
        <v>72</v>
      </c>
      <c r="E48" s="77"/>
      <c r="F48" s="79"/>
      <c r="G48" s="80"/>
      <c r="H48" s="81">
        <f t="shared" si="0"/>
        <v>0</v>
      </c>
      <c r="I48" s="82"/>
      <c r="J48" s="77"/>
      <c r="K48" s="100">
        <v>1</v>
      </c>
      <c r="L48" s="101">
        <v>0.95</v>
      </c>
      <c r="M48" s="85">
        <f t="shared" si="8"/>
        <v>0.95</v>
      </c>
      <c r="N48" s="102" t="s">
        <v>1280</v>
      </c>
      <c r="O48" s="77"/>
      <c r="P48" s="100">
        <v>1</v>
      </c>
      <c r="Q48" s="101">
        <v>0.85</v>
      </c>
      <c r="R48" s="85">
        <f t="shared" si="2"/>
        <v>0.85</v>
      </c>
      <c r="S48" s="102" t="s">
        <v>1281</v>
      </c>
      <c r="T48" s="77"/>
      <c r="U48" s="79"/>
      <c r="V48" s="80"/>
      <c r="W48" s="81">
        <f t="shared" si="3"/>
        <v>0</v>
      </c>
      <c r="X48" s="82"/>
      <c r="Y48" s="77"/>
      <c r="Z48" s="79"/>
      <c r="AA48" s="80"/>
      <c r="AB48" s="81">
        <f t="shared" si="4"/>
        <v>0</v>
      </c>
      <c r="AC48" s="82"/>
      <c r="AD48" s="77"/>
      <c r="AE48" s="79"/>
      <c r="AF48" s="80"/>
      <c r="AG48" s="81">
        <f t="shared" si="5"/>
        <v>0</v>
      </c>
      <c r="AH48" s="82"/>
      <c r="AI48" s="77"/>
      <c r="AJ48" s="100">
        <v>1</v>
      </c>
      <c r="AK48" s="101">
        <v>0.7</v>
      </c>
      <c r="AL48" s="85">
        <f t="shared" si="6"/>
        <v>0.7</v>
      </c>
      <c r="AM48" s="102" t="s">
        <v>1415</v>
      </c>
      <c r="AN48" s="77"/>
      <c r="AO48" s="100">
        <v>1</v>
      </c>
      <c r="AP48" s="101">
        <v>0.8</v>
      </c>
      <c r="AQ48" s="85">
        <f t="shared" si="7"/>
        <v>0.8</v>
      </c>
      <c r="AR48" s="78" t="s">
        <v>1416</v>
      </c>
    </row>
    <row r="49" spans="1:44" ht="31.5" x14ac:dyDescent="0.25">
      <c r="A49" s="77">
        <v>46</v>
      </c>
      <c r="B49" s="78" t="s">
        <v>10</v>
      </c>
      <c r="C49" s="78" t="s">
        <v>11</v>
      </c>
      <c r="D49" s="78" t="s">
        <v>13</v>
      </c>
      <c r="E49" s="77"/>
      <c r="F49" s="79"/>
      <c r="G49" s="80"/>
      <c r="H49" s="81">
        <f t="shared" si="0"/>
        <v>0</v>
      </c>
      <c r="I49" s="82"/>
      <c r="J49" s="77"/>
      <c r="K49" s="100">
        <v>1</v>
      </c>
      <c r="L49" s="101">
        <v>1</v>
      </c>
      <c r="M49" s="85">
        <f t="shared" si="8"/>
        <v>1</v>
      </c>
      <c r="N49" s="102" t="s">
        <v>1060</v>
      </c>
      <c r="O49" s="77"/>
      <c r="P49" s="100">
        <v>1</v>
      </c>
      <c r="Q49" s="101">
        <v>1</v>
      </c>
      <c r="R49" s="85">
        <f t="shared" si="2"/>
        <v>1</v>
      </c>
      <c r="S49" s="102" t="s">
        <v>1395</v>
      </c>
      <c r="T49" s="77"/>
      <c r="U49" s="79"/>
      <c r="V49" s="80"/>
      <c r="W49" s="81">
        <f t="shared" si="3"/>
        <v>0</v>
      </c>
      <c r="X49" s="82"/>
      <c r="Y49" s="77"/>
      <c r="Z49" s="79"/>
      <c r="AA49" s="80"/>
      <c r="AB49" s="81">
        <f t="shared" si="4"/>
        <v>0</v>
      </c>
      <c r="AC49" s="82"/>
      <c r="AD49" s="77"/>
      <c r="AE49" s="79"/>
      <c r="AF49" s="80"/>
      <c r="AG49" s="81">
        <f t="shared" si="5"/>
        <v>0</v>
      </c>
      <c r="AH49" s="82"/>
      <c r="AI49" s="77"/>
      <c r="AJ49" s="100">
        <v>1</v>
      </c>
      <c r="AK49" s="101">
        <v>1</v>
      </c>
      <c r="AL49" s="85">
        <f t="shared" si="6"/>
        <v>1</v>
      </c>
      <c r="AM49" s="102" t="s">
        <v>1072</v>
      </c>
      <c r="AN49" s="77"/>
      <c r="AO49" s="100">
        <v>1</v>
      </c>
      <c r="AP49" s="101">
        <v>1</v>
      </c>
      <c r="AQ49" s="85">
        <f t="shared" si="7"/>
        <v>1</v>
      </c>
      <c r="AR49" s="78" t="s">
        <v>1395</v>
      </c>
    </row>
    <row r="50" spans="1:44" ht="261" customHeight="1" x14ac:dyDescent="0.25">
      <c r="A50" s="77">
        <v>47</v>
      </c>
      <c r="B50" s="78" t="s">
        <v>14</v>
      </c>
      <c r="C50" s="78" t="s">
        <v>14</v>
      </c>
      <c r="D50" s="78" t="s">
        <v>15</v>
      </c>
      <c r="E50" s="77"/>
      <c r="F50" s="79"/>
      <c r="G50" s="80"/>
      <c r="H50" s="81">
        <f t="shared" si="0"/>
        <v>0</v>
      </c>
      <c r="I50" s="82"/>
      <c r="J50" s="77"/>
      <c r="K50" s="100">
        <v>1</v>
      </c>
      <c r="L50" s="101">
        <v>0.55000000000000004</v>
      </c>
      <c r="M50" s="85">
        <f t="shared" si="8"/>
        <v>0.55000000000000004</v>
      </c>
      <c r="N50" s="102" t="s">
        <v>1295</v>
      </c>
      <c r="O50" s="77"/>
      <c r="P50" s="100">
        <v>1</v>
      </c>
      <c r="Q50" s="101">
        <v>0.55000000000000004</v>
      </c>
      <c r="R50" s="85">
        <f t="shared" si="2"/>
        <v>0.55000000000000004</v>
      </c>
      <c r="S50" s="102" t="s">
        <v>1296</v>
      </c>
      <c r="T50" s="77"/>
      <c r="U50" s="79"/>
      <c r="V50" s="80"/>
      <c r="W50" s="81">
        <f t="shared" si="3"/>
        <v>0</v>
      </c>
      <c r="X50" s="82"/>
      <c r="Y50" s="77"/>
      <c r="Z50" s="79"/>
      <c r="AA50" s="80"/>
      <c r="AB50" s="81">
        <f t="shared" si="4"/>
        <v>0</v>
      </c>
      <c r="AC50" s="82"/>
      <c r="AD50" s="77"/>
      <c r="AE50" s="79"/>
      <c r="AF50" s="80"/>
      <c r="AG50" s="81">
        <f t="shared" si="5"/>
        <v>0</v>
      </c>
      <c r="AH50" s="82"/>
      <c r="AI50" s="77"/>
      <c r="AJ50" s="100">
        <v>1</v>
      </c>
      <c r="AK50" s="101">
        <v>0.35</v>
      </c>
      <c r="AL50" s="85">
        <f t="shared" si="6"/>
        <v>0.35</v>
      </c>
      <c r="AM50" s="102" t="s">
        <v>1127</v>
      </c>
      <c r="AN50" s="77"/>
      <c r="AO50" s="100">
        <v>1</v>
      </c>
      <c r="AP50" s="101">
        <v>1</v>
      </c>
      <c r="AQ50" s="85">
        <f t="shared" si="7"/>
        <v>1</v>
      </c>
      <c r="AR50" s="116" t="s">
        <v>1087</v>
      </c>
    </row>
    <row r="51" spans="1:44" ht="337.5" customHeight="1" x14ac:dyDescent="0.25">
      <c r="A51" s="77">
        <v>48</v>
      </c>
      <c r="B51" s="78" t="s">
        <v>14</v>
      </c>
      <c r="C51" s="78" t="s">
        <v>14</v>
      </c>
      <c r="D51" s="78" t="s">
        <v>73</v>
      </c>
      <c r="E51" s="77"/>
      <c r="F51" s="79"/>
      <c r="G51" s="80"/>
      <c r="H51" s="81">
        <f t="shared" si="0"/>
        <v>0</v>
      </c>
      <c r="I51" s="82"/>
      <c r="J51" s="77"/>
      <c r="K51" s="100">
        <v>1</v>
      </c>
      <c r="L51" s="101">
        <v>0.75</v>
      </c>
      <c r="M51" s="85">
        <f t="shared" si="8"/>
        <v>0.75</v>
      </c>
      <c r="N51" s="102" t="s">
        <v>1123</v>
      </c>
      <c r="O51" s="77"/>
      <c r="P51" s="100">
        <v>1</v>
      </c>
      <c r="Q51" s="101">
        <v>0.95</v>
      </c>
      <c r="R51" s="85">
        <f t="shared" si="2"/>
        <v>0.95</v>
      </c>
      <c r="S51" s="102" t="s">
        <v>1088</v>
      </c>
      <c r="T51" s="77"/>
      <c r="U51" s="79"/>
      <c r="V51" s="80"/>
      <c r="W51" s="81">
        <f t="shared" si="3"/>
        <v>0</v>
      </c>
      <c r="X51" s="82"/>
      <c r="Y51" s="77"/>
      <c r="Z51" s="79"/>
      <c r="AA51" s="80"/>
      <c r="AB51" s="81">
        <f t="shared" si="4"/>
        <v>0</v>
      </c>
      <c r="AC51" s="82"/>
      <c r="AD51" s="77"/>
      <c r="AE51" s="79"/>
      <c r="AF51" s="80"/>
      <c r="AG51" s="81">
        <f t="shared" si="5"/>
        <v>0</v>
      </c>
      <c r="AH51" s="82"/>
      <c r="AI51" s="77"/>
      <c r="AJ51" s="100">
        <v>1</v>
      </c>
      <c r="AK51" s="101">
        <v>0.2</v>
      </c>
      <c r="AL51" s="85">
        <f t="shared" si="6"/>
        <v>0.2</v>
      </c>
      <c r="AM51" s="102" t="s">
        <v>1570</v>
      </c>
      <c r="AN51" s="77"/>
      <c r="AO51" s="100">
        <v>1</v>
      </c>
      <c r="AP51" s="101">
        <v>0.4</v>
      </c>
      <c r="AQ51" s="85">
        <f t="shared" si="7"/>
        <v>0.4</v>
      </c>
      <c r="AR51" s="78" t="s">
        <v>1311</v>
      </c>
    </row>
    <row r="52" spans="1:44" ht="409.6" customHeight="1" x14ac:dyDescent="0.25">
      <c r="A52" s="77">
        <v>49</v>
      </c>
      <c r="B52" s="78" t="s">
        <v>14</v>
      </c>
      <c r="C52" s="78" t="s">
        <v>14</v>
      </c>
      <c r="D52" s="78" t="s">
        <v>74</v>
      </c>
      <c r="E52" s="77"/>
      <c r="F52" s="79"/>
      <c r="G52" s="80"/>
      <c r="H52" s="81">
        <f t="shared" si="0"/>
        <v>0</v>
      </c>
      <c r="I52" s="82"/>
      <c r="J52" s="77"/>
      <c r="K52" s="100">
        <v>1</v>
      </c>
      <c r="L52" s="101">
        <v>0.5</v>
      </c>
      <c r="M52" s="85">
        <f t="shared" si="8"/>
        <v>0.5</v>
      </c>
      <c r="N52" s="102" t="s">
        <v>1268</v>
      </c>
      <c r="O52" s="77"/>
      <c r="P52" s="100">
        <v>1</v>
      </c>
      <c r="Q52" s="101">
        <v>0.85</v>
      </c>
      <c r="R52" s="85">
        <f t="shared" si="2"/>
        <v>0.85</v>
      </c>
      <c r="S52" s="102" t="s">
        <v>1125</v>
      </c>
      <c r="T52" s="77"/>
      <c r="U52" s="79"/>
      <c r="V52" s="80"/>
      <c r="W52" s="81">
        <f t="shared" si="3"/>
        <v>0</v>
      </c>
      <c r="X52" s="82"/>
      <c r="Y52" s="77"/>
      <c r="Z52" s="79"/>
      <c r="AA52" s="80"/>
      <c r="AB52" s="81">
        <f t="shared" si="4"/>
        <v>0</v>
      </c>
      <c r="AC52" s="82"/>
      <c r="AD52" s="77"/>
      <c r="AE52" s="79"/>
      <c r="AF52" s="80"/>
      <c r="AG52" s="81">
        <f t="shared" si="5"/>
        <v>0</v>
      </c>
      <c r="AH52" s="82"/>
      <c r="AI52" s="77"/>
      <c r="AJ52" s="100">
        <v>1</v>
      </c>
      <c r="AK52" s="101">
        <v>0.15</v>
      </c>
      <c r="AL52" s="85">
        <f t="shared" si="6"/>
        <v>0.15</v>
      </c>
      <c r="AM52" s="102" t="s">
        <v>1399</v>
      </c>
      <c r="AN52" s="77"/>
      <c r="AO52" s="100">
        <v>1</v>
      </c>
      <c r="AP52" s="101">
        <v>0.3</v>
      </c>
      <c r="AQ52" s="85">
        <f t="shared" si="7"/>
        <v>0.3</v>
      </c>
      <c r="AR52" s="78" t="s">
        <v>1131</v>
      </c>
    </row>
    <row r="53" spans="1:44" ht="166.5" customHeight="1" x14ac:dyDescent="0.25">
      <c r="A53" s="77">
        <v>50</v>
      </c>
      <c r="B53" s="78" t="s">
        <v>14</v>
      </c>
      <c r="C53" s="78" t="s">
        <v>14</v>
      </c>
      <c r="D53" s="78" t="s">
        <v>75</v>
      </c>
      <c r="E53" s="77"/>
      <c r="F53" s="79"/>
      <c r="G53" s="80"/>
      <c r="H53" s="81">
        <f t="shared" si="0"/>
        <v>0</v>
      </c>
      <c r="I53" s="82"/>
      <c r="J53" s="77"/>
      <c r="K53" s="100">
        <v>1</v>
      </c>
      <c r="L53" s="101">
        <v>0.7</v>
      </c>
      <c r="M53" s="85">
        <f t="shared" si="8"/>
        <v>0.7</v>
      </c>
      <c r="N53" s="102" t="s">
        <v>1086</v>
      </c>
      <c r="O53" s="77"/>
      <c r="P53" s="100">
        <v>1</v>
      </c>
      <c r="Q53" s="101">
        <v>0.7</v>
      </c>
      <c r="R53" s="85">
        <f t="shared" si="2"/>
        <v>0.7</v>
      </c>
      <c r="S53" s="102" t="s">
        <v>1086</v>
      </c>
      <c r="T53" s="77"/>
      <c r="U53" s="79"/>
      <c r="V53" s="80"/>
      <c r="W53" s="81">
        <f t="shared" si="3"/>
        <v>0</v>
      </c>
      <c r="X53" s="82"/>
      <c r="Y53" s="77"/>
      <c r="Z53" s="79"/>
      <c r="AA53" s="80"/>
      <c r="AB53" s="81">
        <f t="shared" si="4"/>
        <v>0</v>
      </c>
      <c r="AC53" s="82"/>
      <c r="AD53" s="77"/>
      <c r="AE53" s="79"/>
      <c r="AF53" s="80"/>
      <c r="AG53" s="81">
        <f t="shared" si="5"/>
        <v>0</v>
      </c>
      <c r="AH53" s="82"/>
      <c r="AI53" s="77"/>
      <c r="AJ53" s="100">
        <v>1</v>
      </c>
      <c r="AK53" s="101">
        <v>0.55000000000000004</v>
      </c>
      <c r="AL53" s="85">
        <f t="shared" si="6"/>
        <v>0.55000000000000004</v>
      </c>
      <c r="AM53" s="102" t="s">
        <v>1128</v>
      </c>
      <c r="AN53" s="77"/>
      <c r="AO53" s="100">
        <v>1</v>
      </c>
      <c r="AP53" s="101">
        <v>0.7</v>
      </c>
      <c r="AQ53" s="85">
        <f t="shared" si="7"/>
        <v>0.7</v>
      </c>
      <c r="AR53" s="78" t="s">
        <v>1086</v>
      </c>
    </row>
    <row r="54" spans="1:44" ht="178.5" customHeight="1" x14ac:dyDescent="0.25">
      <c r="A54" s="77">
        <v>51</v>
      </c>
      <c r="B54" s="78" t="s">
        <v>14</v>
      </c>
      <c r="C54" s="78" t="s">
        <v>14</v>
      </c>
      <c r="D54" s="78" t="s">
        <v>76</v>
      </c>
      <c r="E54" s="77"/>
      <c r="F54" s="79"/>
      <c r="G54" s="80"/>
      <c r="H54" s="81">
        <f t="shared" si="0"/>
        <v>0</v>
      </c>
      <c r="I54" s="82"/>
      <c r="J54" s="77"/>
      <c r="K54" s="100">
        <v>1</v>
      </c>
      <c r="L54" s="101">
        <v>1</v>
      </c>
      <c r="M54" s="85">
        <f t="shared" si="8"/>
        <v>1</v>
      </c>
      <c r="N54" s="102" t="s">
        <v>1087</v>
      </c>
      <c r="O54" s="77"/>
      <c r="P54" s="100">
        <v>1</v>
      </c>
      <c r="Q54" s="101">
        <v>1</v>
      </c>
      <c r="R54" s="85">
        <f t="shared" si="2"/>
        <v>1</v>
      </c>
      <c r="S54" s="102" t="s">
        <v>1087</v>
      </c>
      <c r="T54" s="77"/>
      <c r="U54" s="79"/>
      <c r="V54" s="80"/>
      <c r="W54" s="81">
        <f t="shared" si="3"/>
        <v>0</v>
      </c>
      <c r="X54" s="82"/>
      <c r="Y54" s="77"/>
      <c r="Z54" s="79"/>
      <c r="AA54" s="80"/>
      <c r="AB54" s="81">
        <f t="shared" si="4"/>
        <v>0</v>
      </c>
      <c r="AC54" s="82"/>
      <c r="AD54" s="77"/>
      <c r="AE54" s="79"/>
      <c r="AF54" s="80"/>
      <c r="AG54" s="81">
        <f t="shared" si="5"/>
        <v>0</v>
      </c>
      <c r="AH54" s="82"/>
      <c r="AI54" s="77"/>
      <c r="AJ54" s="100">
        <v>1</v>
      </c>
      <c r="AK54" s="101">
        <v>0.4</v>
      </c>
      <c r="AL54" s="85">
        <f t="shared" si="6"/>
        <v>0.4</v>
      </c>
      <c r="AM54" s="102" t="s">
        <v>1129</v>
      </c>
      <c r="AN54" s="77"/>
      <c r="AO54" s="100">
        <v>1</v>
      </c>
      <c r="AP54" s="101">
        <v>1</v>
      </c>
      <c r="AQ54" s="85">
        <f t="shared" si="7"/>
        <v>1</v>
      </c>
      <c r="AR54" s="78" t="s">
        <v>1087</v>
      </c>
    </row>
    <row r="55" spans="1:44" ht="349.5" customHeight="1" x14ac:dyDescent="0.25">
      <c r="A55" s="77">
        <v>52</v>
      </c>
      <c r="B55" s="78" t="s">
        <v>14</v>
      </c>
      <c r="C55" s="78" t="s">
        <v>14</v>
      </c>
      <c r="D55" s="78" t="s">
        <v>77</v>
      </c>
      <c r="E55" s="77"/>
      <c r="F55" s="79"/>
      <c r="G55" s="80"/>
      <c r="H55" s="81">
        <f t="shared" si="0"/>
        <v>0</v>
      </c>
      <c r="I55" s="82"/>
      <c r="J55" s="77"/>
      <c r="K55" s="100">
        <v>1</v>
      </c>
      <c r="L55" s="101">
        <v>0.95</v>
      </c>
      <c r="M55" s="85">
        <f t="shared" si="8"/>
        <v>0.95</v>
      </c>
      <c r="N55" s="102" t="s">
        <v>1124</v>
      </c>
      <c r="O55" s="77"/>
      <c r="P55" s="100">
        <v>1</v>
      </c>
      <c r="Q55" s="101">
        <v>0.8</v>
      </c>
      <c r="R55" s="85">
        <f t="shared" si="2"/>
        <v>0.8</v>
      </c>
      <c r="S55" s="102" t="s">
        <v>1126</v>
      </c>
      <c r="T55" s="77"/>
      <c r="U55" s="79"/>
      <c r="V55" s="80"/>
      <c r="W55" s="81">
        <f t="shared" si="3"/>
        <v>0</v>
      </c>
      <c r="X55" s="82"/>
      <c r="Y55" s="77"/>
      <c r="Z55" s="79"/>
      <c r="AA55" s="80"/>
      <c r="AB55" s="81">
        <f t="shared" si="4"/>
        <v>0</v>
      </c>
      <c r="AC55" s="82"/>
      <c r="AD55" s="77"/>
      <c r="AE55" s="79"/>
      <c r="AF55" s="80"/>
      <c r="AG55" s="81">
        <f t="shared" si="5"/>
        <v>0</v>
      </c>
      <c r="AH55" s="82"/>
      <c r="AI55" s="77"/>
      <c r="AJ55" s="100">
        <v>1</v>
      </c>
      <c r="AK55" s="101">
        <v>0.1</v>
      </c>
      <c r="AL55" s="85">
        <f t="shared" si="6"/>
        <v>0.1</v>
      </c>
      <c r="AM55" s="102" t="s">
        <v>1130</v>
      </c>
      <c r="AN55" s="77"/>
      <c r="AO55" s="100">
        <v>1</v>
      </c>
      <c r="AP55" s="101">
        <v>0.75</v>
      </c>
      <c r="AQ55" s="85">
        <f t="shared" si="7"/>
        <v>0.75</v>
      </c>
      <c r="AR55" s="78" t="s">
        <v>1092</v>
      </c>
    </row>
    <row r="56" spans="1:44" ht="79.5" customHeight="1" x14ac:dyDescent="0.25">
      <c r="A56" s="77">
        <v>53</v>
      </c>
      <c r="B56" s="78" t="s">
        <v>14</v>
      </c>
      <c r="C56" s="78" t="s">
        <v>14</v>
      </c>
      <c r="D56" s="78" t="s">
        <v>78</v>
      </c>
      <c r="E56" s="77"/>
      <c r="F56" s="79">
        <v>1</v>
      </c>
      <c r="G56" s="80"/>
      <c r="H56" s="81">
        <f t="shared" si="0"/>
        <v>0</v>
      </c>
      <c r="I56" s="82"/>
      <c r="J56" s="77"/>
      <c r="K56" s="100">
        <v>1</v>
      </c>
      <c r="L56" s="101">
        <v>1</v>
      </c>
      <c r="M56" s="85">
        <f t="shared" si="8"/>
        <v>1</v>
      </c>
      <c r="N56" s="102" t="s">
        <v>1087</v>
      </c>
      <c r="O56" s="77"/>
      <c r="P56" s="100">
        <v>1</v>
      </c>
      <c r="Q56" s="101">
        <v>0.9</v>
      </c>
      <c r="R56" s="85">
        <f t="shared" si="2"/>
        <v>0.9</v>
      </c>
      <c r="S56" s="102" t="s">
        <v>1097</v>
      </c>
      <c r="T56" s="77"/>
      <c r="U56" s="79"/>
      <c r="V56" s="80"/>
      <c r="W56" s="81">
        <f t="shared" si="3"/>
        <v>0</v>
      </c>
      <c r="X56" s="77"/>
      <c r="Y56" s="77"/>
      <c r="Z56" s="79"/>
      <c r="AA56" s="80"/>
      <c r="AB56" s="81">
        <f t="shared" si="4"/>
        <v>0</v>
      </c>
      <c r="AC56" s="77"/>
      <c r="AD56" s="77"/>
      <c r="AE56" s="79"/>
      <c r="AF56" s="80"/>
      <c r="AG56" s="81">
        <f t="shared" si="5"/>
        <v>0</v>
      </c>
      <c r="AH56" s="77"/>
      <c r="AI56" s="77"/>
      <c r="AJ56" s="100">
        <v>1</v>
      </c>
      <c r="AK56" s="101">
        <v>1</v>
      </c>
      <c r="AL56" s="85">
        <f t="shared" si="6"/>
        <v>1</v>
      </c>
      <c r="AM56" s="102" t="s">
        <v>1087</v>
      </c>
      <c r="AN56" s="77"/>
      <c r="AO56" s="100">
        <v>1</v>
      </c>
      <c r="AP56" s="101">
        <v>1</v>
      </c>
      <c r="AQ56" s="85">
        <f t="shared" si="7"/>
        <v>1</v>
      </c>
      <c r="AR56" s="117" t="s">
        <v>1087</v>
      </c>
    </row>
    <row r="222" spans="5:5" x14ac:dyDescent="0.25">
      <c r="E222" s="123">
        <f>AVERAGE('Manaus SBEG'!AQ41:AQ49)</f>
        <v>0.84666666666666668</v>
      </c>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B311D0A4-DFE9-4FBA-9E1A-68D0DC7E6EC8}">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105A5F03-47E5-4DBA-B4CC-87188CB9D799}">
          <x14:formula1>
            <xm:f>'C:\Users\michele.cerqueira\AppData\Local\Microsoft\Windows\INetCache\Content.Outlook\CUTOBPMD\[ESTUDOS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56"/>
  <sheetViews>
    <sheetView zoomScale="60" zoomScaleNormal="60" workbookViewId="0">
      <pane xSplit="4" ySplit="3" topLeftCell="O10" activePane="bottomRight" state="frozen"/>
      <selection pane="topRight" activeCell="E1" sqref="E1"/>
      <selection pane="bottomLeft" activeCell="A4" sqref="A4"/>
      <selection pane="bottomRight" activeCell="S10" sqref="S10"/>
    </sheetView>
  </sheetViews>
  <sheetFormatPr defaultRowHeight="15" x14ac:dyDescent="0.25"/>
  <cols>
    <col min="1" max="1" width="4.140625" style="73" customWidth="1"/>
    <col min="2" max="2" width="16.5703125" style="74" bestFit="1" customWidth="1"/>
    <col min="3" max="3" width="20.7109375" style="74" customWidth="1"/>
    <col min="4" max="4" width="52" style="74" customWidth="1"/>
    <col min="5" max="5" width="2.42578125" style="74" customWidth="1"/>
    <col min="6" max="6" width="20.140625" style="74" hidden="1" customWidth="1"/>
    <col min="7" max="7" width="14.28515625" style="74" hidden="1" customWidth="1"/>
    <col min="8" max="8" width="9.140625" style="74" hidden="1" customWidth="1"/>
    <col min="9" max="9" width="52.85546875" style="110" hidden="1" customWidth="1"/>
    <col min="10" max="10" width="1.85546875" style="74" hidden="1" customWidth="1"/>
    <col min="11" max="11" width="15.5703125" style="75" customWidth="1"/>
    <col min="12" max="12" width="14.28515625" style="75" bestFit="1" customWidth="1"/>
    <col min="13" max="13" width="9.140625" style="75" customWidth="1"/>
    <col min="14" max="14" width="111" style="74" customWidth="1"/>
    <col min="15" max="15" width="1.5703125" style="74" customWidth="1"/>
    <col min="16" max="16" width="13.42578125" style="75" customWidth="1"/>
    <col min="17" max="17" width="14.28515625" style="75" bestFit="1" customWidth="1"/>
    <col min="18" max="18" width="9.140625" style="75" customWidth="1"/>
    <col min="19" max="19" width="129.85546875" style="74" customWidth="1"/>
    <col min="20" max="20" width="3.42578125" style="74" customWidth="1"/>
    <col min="21" max="21" width="13.85546875" style="74" hidden="1" customWidth="1"/>
    <col min="22" max="22" width="11.85546875" style="74" hidden="1" customWidth="1"/>
    <col min="23" max="23" width="0" style="74" hidden="1" customWidth="1"/>
    <col min="24" max="24" width="77.28515625" style="74" hidden="1" customWidth="1"/>
    <col min="25" max="25" width="0" style="74" hidden="1" customWidth="1"/>
    <col min="26" max="26" width="17.140625" style="74" hidden="1" customWidth="1"/>
    <col min="27" max="27" width="13.5703125" style="74" hidden="1" customWidth="1"/>
    <col min="28" max="28" width="0" style="74" hidden="1" customWidth="1"/>
    <col min="29" max="29" width="54.5703125" style="74" hidden="1" customWidth="1"/>
    <col min="30" max="30" width="0" style="74" hidden="1" customWidth="1"/>
    <col min="31" max="31" width="14" style="74" hidden="1" customWidth="1"/>
    <col min="32" max="32" width="14.5703125" style="74" hidden="1" customWidth="1"/>
    <col min="33" max="33" width="0" style="74" hidden="1" customWidth="1"/>
    <col min="34" max="34" width="83.28515625" style="74" hidden="1" customWidth="1"/>
    <col min="35" max="35" width="0" style="74" hidden="1" customWidth="1"/>
    <col min="36" max="36" width="12.5703125" style="75" customWidth="1"/>
    <col min="37" max="37" width="15.28515625" style="75" customWidth="1"/>
    <col min="38" max="38" width="9.140625" style="75"/>
    <col min="39" max="39" width="132.42578125" style="74" customWidth="1"/>
    <col min="40" max="40" width="5.140625" style="74" customWidth="1"/>
    <col min="41" max="41" width="14.85546875" style="75" customWidth="1"/>
    <col min="42" max="42" width="15.7109375" style="75" customWidth="1"/>
    <col min="43" max="43" width="9.140625" style="75"/>
    <col min="44" max="44" width="156.7109375" style="74" customWidth="1"/>
    <col min="45" max="16384" width="9.140625" style="74"/>
  </cols>
  <sheetData>
    <row r="1" spans="1:44" x14ac:dyDescent="0.25">
      <c r="I1" s="74"/>
    </row>
    <row r="2" spans="1:44" ht="39.75" customHeight="1" x14ac:dyDescent="0.25">
      <c r="B2" s="233" t="s">
        <v>16</v>
      </c>
      <c r="C2" s="233"/>
      <c r="D2" s="233"/>
      <c r="F2" s="232" t="s">
        <v>121</v>
      </c>
      <c r="G2" s="232"/>
      <c r="H2" s="232"/>
      <c r="I2" s="232"/>
      <c r="K2" s="234" t="s">
        <v>119</v>
      </c>
      <c r="L2" s="235"/>
      <c r="M2" s="235"/>
      <c r="N2" s="236"/>
      <c r="P2" s="233" t="s">
        <v>120</v>
      </c>
      <c r="Q2" s="233"/>
      <c r="R2" s="233"/>
      <c r="S2" s="233"/>
      <c r="U2" s="232" t="s">
        <v>122</v>
      </c>
      <c r="V2" s="232"/>
      <c r="W2" s="232"/>
      <c r="X2" s="232"/>
      <c r="Z2" s="232" t="s">
        <v>123</v>
      </c>
      <c r="AA2" s="232"/>
      <c r="AB2" s="232"/>
      <c r="AC2" s="232"/>
      <c r="AE2" s="232" t="s">
        <v>124</v>
      </c>
      <c r="AF2" s="232"/>
      <c r="AG2" s="232"/>
      <c r="AH2" s="232"/>
      <c r="AJ2" s="233" t="s">
        <v>125</v>
      </c>
      <c r="AK2" s="233"/>
      <c r="AL2" s="233"/>
      <c r="AM2" s="233"/>
      <c r="AO2" s="233" t="s">
        <v>1318</v>
      </c>
      <c r="AP2" s="233"/>
      <c r="AQ2" s="233"/>
      <c r="AR2" s="233"/>
    </row>
    <row r="3" spans="1:44" ht="65.25" customHeight="1" x14ac:dyDescent="0.25">
      <c r="B3" s="66" t="s">
        <v>0</v>
      </c>
      <c r="C3" s="66" t="s">
        <v>1</v>
      </c>
      <c r="D3" s="66" t="s">
        <v>2</v>
      </c>
      <c r="F3" s="67" t="s">
        <v>17</v>
      </c>
      <c r="G3" s="67" t="s">
        <v>18</v>
      </c>
      <c r="H3" s="67" t="s">
        <v>21</v>
      </c>
      <c r="I3" s="67" t="s">
        <v>19</v>
      </c>
      <c r="K3" s="70" t="s">
        <v>17</v>
      </c>
      <c r="L3" s="70" t="s">
        <v>18</v>
      </c>
      <c r="M3" s="70" t="s">
        <v>21</v>
      </c>
      <c r="N3" s="67" t="s">
        <v>19</v>
      </c>
      <c r="P3" s="70" t="s">
        <v>17</v>
      </c>
      <c r="Q3" s="70" t="s">
        <v>18</v>
      </c>
      <c r="R3" s="70" t="s">
        <v>21</v>
      </c>
      <c r="S3" s="67" t="s">
        <v>19</v>
      </c>
      <c r="U3" s="67" t="s">
        <v>17</v>
      </c>
      <c r="V3" s="67" t="s">
        <v>18</v>
      </c>
      <c r="W3" s="67" t="s">
        <v>21</v>
      </c>
      <c r="X3" s="67" t="s">
        <v>19</v>
      </c>
      <c r="Z3" s="67" t="s">
        <v>17</v>
      </c>
      <c r="AA3" s="67" t="s">
        <v>18</v>
      </c>
      <c r="AB3" s="67" t="s">
        <v>21</v>
      </c>
      <c r="AC3" s="67" t="s">
        <v>19</v>
      </c>
      <c r="AE3" s="67" t="s">
        <v>17</v>
      </c>
      <c r="AF3" s="67" t="s">
        <v>18</v>
      </c>
      <c r="AG3" s="67" t="s">
        <v>21</v>
      </c>
      <c r="AH3" s="67" t="s">
        <v>19</v>
      </c>
      <c r="AJ3" s="70" t="s">
        <v>17</v>
      </c>
      <c r="AK3" s="70" t="s">
        <v>18</v>
      </c>
      <c r="AL3" s="70" t="s">
        <v>21</v>
      </c>
      <c r="AM3" s="67" t="s">
        <v>19</v>
      </c>
      <c r="AO3" s="70" t="s">
        <v>17</v>
      </c>
      <c r="AP3" s="70" t="s">
        <v>18</v>
      </c>
      <c r="AQ3" s="70" t="s">
        <v>21</v>
      </c>
      <c r="AR3" s="67" t="s">
        <v>19</v>
      </c>
    </row>
    <row r="4" spans="1:44" ht="173.25" x14ac:dyDescent="0.25">
      <c r="A4" s="77">
        <v>1</v>
      </c>
      <c r="B4" s="78" t="s">
        <v>3</v>
      </c>
      <c r="C4" s="78" t="s">
        <v>4</v>
      </c>
      <c r="D4" s="78" t="s">
        <v>127</v>
      </c>
      <c r="E4" s="77"/>
      <c r="F4" s="79"/>
      <c r="G4" s="80"/>
      <c r="H4" s="81">
        <f>F4*G4</f>
        <v>0</v>
      </c>
      <c r="I4" s="82"/>
      <c r="J4" s="77"/>
      <c r="K4" s="83">
        <v>1</v>
      </c>
      <c r="L4" s="84">
        <v>1</v>
      </c>
      <c r="M4" s="85">
        <f>K4*L4</f>
        <v>1</v>
      </c>
      <c r="N4" s="87"/>
      <c r="O4" s="77"/>
      <c r="P4" s="83">
        <v>1</v>
      </c>
      <c r="Q4" s="84">
        <v>0.8</v>
      </c>
      <c r="R4" s="85">
        <f>P4*Q4</f>
        <v>0.8</v>
      </c>
      <c r="S4" s="86" t="s">
        <v>1417</v>
      </c>
      <c r="T4" s="77"/>
      <c r="U4" s="79"/>
      <c r="V4" s="80"/>
      <c r="W4" s="81">
        <f>U4*V4</f>
        <v>0</v>
      </c>
      <c r="X4" s="82"/>
      <c r="Y4" s="77"/>
      <c r="Z4" s="79"/>
      <c r="AA4" s="80"/>
      <c r="AB4" s="81">
        <f>Z4*AA4</f>
        <v>0</v>
      </c>
      <c r="AC4" s="82"/>
      <c r="AD4" s="77"/>
      <c r="AE4" s="79"/>
      <c r="AF4" s="80"/>
      <c r="AG4" s="81">
        <f>AE4*AF4</f>
        <v>0</v>
      </c>
      <c r="AH4" s="82"/>
      <c r="AI4" s="77"/>
      <c r="AJ4" s="83">
        <v>1</v>
      </c>
      <c r="AK4" s="84">
        <v>0.4</v>
      </c>
      <c r="AL4" s="85">
        <f>AJ4*AK4</f>
        <v>0.4</v>
      </c>
      <c r="AM4" s="87" t="s">
        <v>1443</v>
      </c>
      <c r="AN4" s="77"/>
      <c r="AO4" s="83">
        <v>1</v>
      </c>
      <c r="AP4" s="84">
        <v>0.3</v>
      </c>
      <c r="AQ4" s="85">
        <f>AO4*AP4</f>
        <v>0.3</v>
      </c>
      <c r="AR4" s="86" t="s">
        <v>1255</v>
      </c>
    </row>
    <row r="5" spans="1:44" ht="182.25" customHeight="1" x14ac:dyDescent="0.25">
      <c r="A5" s="77">
        <v>2</v>
      </c>
      <c r="B5" s="78" t="s">
        <v>3</v>
      </c>
      <c r="C5" s="78" t="s">
        <v>4</v>
      </c>
      <c r="D5" s="78" t="s">
        <v>33</v>
      </c>
      <c r="E5" s="77"/>
      <c r="F5" s="79"/>
      <c r="G5" s="80"/>
      <c r="H5" s="81">
        <f t="shared" ref="H5:H56" si="0">F5*G5</f>
        <v>0</v>
      </c>
      <c r="I5" s="82"/>
      <c r="J5" s="77"/>
      <c r="K5" s="111">
        <v>1</v>
      </c>
      <c r="L5" s="112">
        <v>1</v>
      </c>
      <c r="M5" s="85">
        <f t="shared" ref="M5:M56" si="1">K5*L5</f>
        <v>1</v>
      </c>
      <c r="N5" s="113"/>
      <c r="O5" s="77"/>
      <c r="P5" s="111">
        <v>1</v>
      </c>
      <c r="Q5" s="112">
        <v>0.75</v>
      </c>
      <c r="R5" s="85">
        <f t="shared" ref="R5:R56" si="2">P5*Q5</f>
        <v>0.75</v>
      </c>
      <c r="S5" s="114" t="s">
        <v>1419</v>
      </c>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111">
        <v>1</v>
      </c>
      <c r="AK5" s="112">
        <v>0.6</v>
      </c>
      <c r="AL5" s="85">
        <f t="shared" ref="AL5:AL15" si="6">AJ5*AK5</f>
        <v>0.6</v>
      </c>
      <c r="AM5" s="113" t="s">
        <v>1420</v>
      </c>
      <c r="AN5" s="77"/>
      <c r="AO5" s="111">
        <v>1</v>
      </c>
      <c r="AP5" s="112">
        <v>0.15</v>
      </c>
      <c r="AQ5" s="85">
        <f t="shared" ref="AQ5:AQ56" si="7">AO5*AP5</f>
        <v>0.15</v>
      </c>
      <c r="AR5" s="113" t="s">
        <v>1189</v>
      </c>
    </row>
    <row r="6" spans="1:44" ht="298.5" customHeight="1" x14ac:dyDescent="0.25">
      <c r="A6" s="77">
        <v>3</v>
      </c>
      <c r="B6" s="78" t="s">
        <v>3</v>
      </c>
      <c r="C6" s="78" t="s">
        <v>4</v>
      </c>
      <c r="D6" s="78" t="s">
        <v>128</v>
      </c>
      <c r="E6" s="77"/>
      <c r="F6" s="79"/>
      <c r="G6" s="80"/>
      <c r="H6" s="81">
        <f t="shared" si="0"/>
        <v>0</v>
      </c>
      <c r="I6" s="82"/>
      <c r="J6" s="77"/>
      <c r="K6" s="83">
        <v>1</v>
      </c>
      <c r="L6" s="84">
        <v>1</v>
      </c>
      <c r="M6" s="85">
        <f t="shared" si="1"/>
        <v>1</v>
      </c>
      <c r="N6" s="87"/>
      <c r="O6" s="77"/>
      <c r="P6" s="83">
        <v>1</v>
      </c>
      <c r="Q6" s="84">
        <v>0.95</v>
      </c>
      <c r="R6" s="85">
        <f t="shared" si="2"/>
        <v>0.95</v>
      </c>
      <c r="S6" s="86" t="s">
        <v>1236</v>
      </c>
      <c r="T6" s="77"/>
      <c r="U6" s="79"/>
      <c r="V6" s="80"/>
      <c r="W6" s="81">
        <f t="shared" si="3"/>
        <v>0</v>
      </c>
      <c r="X6" s="82"/>
      <c r="Y6" s="77"/>
      <c r="Z6" s="79"/>
      <c r="AA6" s="80"/>
      <c r="AB6" s="81">
        <f t="shared" si="4"/>
        <v>0</v>
      </c>
      <c r="AC6" s="82"/>
      <c r="AD6" s="77"/>
      <c r="AE6" s="79"/>
      <c r="AF6" s="80"/>
      <c r="AG6" s="81">
        <f t="shared" si="5"/>
        <v>0</v>
      </c>
      <c r="AH6" s="82"/>
      <c r="AI6" s="77"/>
      <c r="AJ6" s="83">
        <v>1</v>
      </c>
      <c r="AK6" s="84">
        <v>0.85</v>
      </c>
      <c r="AL6" s="85">
        <f t="shared" si="6"/>
        <v>0.85</v>
      </c>
      <c r="AM6" s="87" t="s">
        <v>1240</v>
      </c>
      <c r="AN6" s="77"/>
      <c r="AO6" s="83">
        <v>1</v>
      </c>
      <c r="AP6" s="84">
        <v>0.2</v>
      </c>
      <c r="AQ6" s="85">
        <f t="shared" si="7"/>
        <v>0.2</v>
      </c>
      <c r="AR6" s="82" t="s">
        <v>1592</v>
      </c>
    </row>
    <row r="7" spans="1:44" ht="273.75" customHeight="1" x14ac:dyDescent="0.25">
      <c r="A7" s="77">
        <v>4</v>
      </c>
      <c r="B7" s="78" t="s">
        <v>3</v>
      </c>
      <c r="C7" s="78" t="s">
        <v>4</v>
      </c>
      <c r="D7" s="78" t="s">
        <v>34</v>
      </c>
      <c r="E7" s="77"/>
      <c r="F7" s="79"/>
      <c r="G7" s="80"/>
      <c r="H7" s="81">
        <f t="shared" si="0"/>
        <v>0</v>
      </c>
      <c r="I7" s="82"/>
      <c r="J7" s="77"/>
      <c r="K7" s="111">
        <v>1</v>
      </c>
      <c r="L7" s="112">
        <v>0.94499999999999995</v>
      </c>
      <c r="M7" s="85">
        <f t="shared" si="1"/>
        <v>0.94499999999999995</v>
      </c>
      <c r="N7" s="113" t="s">
        <v>1421</v>
      </c>
      <c r="O7" s="77"/>
      <c r="P7" s="111">
        <v>1</v>
      </c>
      <c r="Q7" s="112">
        <v>0.98</v>
      </c>
      <c r="R7" s="85">
        <f t="shared" si="2"/>
        <v>0.98</v>
      </c>
      <c r="S7" s="114" t="s">
        <v>1253</v>
      </c>
      <c r="T7" s="77"/>
      <c r="U7" s="79"/>
      <c r="V7" s="80"/>
      <c r="W7" s="81">
        <f t="shared" si="3"/>
        <v>0</v>
      </c>
      <c r="X7" s="82"/>
      <c r="Y7" s="77"/>
      <c r="Z7" s="79"/>
      <c r="AA7" s="80"/>
      <c r="AB7" s="81">
        <f t="shared" si="4"/>
        <v>0</v>
      </c>
      <c r="AC7" s="82"/>
      <c r="AD7" s="77"/>
      <c r="AE7" s="79"/>
      <c r="AF7" s="80"/>
      <c r="AG7" s="81">
        <f t="shared" si="5"/>
        <v>0</v>
      </c>
      <c r="AH7" s="82"/>
      <c r="AI7" s="77"/>
      <c r="AJ7" s="111">
        <v>1</v>
      </c>
      <c r="AK7" s="112">
        <v>0.93</v>
      </c>
      <c r="AL7" s="85">
        <f t="shared" si="6"/>
        <v>0.93</v>
      </c>
      <c r="AM7" s="113" t="s">
        <v>1254</v>
      </c>
      <c r="AN7" s="77"/>
      <c r="AO7" s="111">
        <v>1</v>
      </c>
      <c r="AP7" s="112">
        <v>0.15</v>
      </c>
      <c r="AQ7" s="85">
        <f t="shared" si="7"/>
        <v>0.15</v>
      </c>
      <c r="AR7" s="113" t="s">
        <v>1602</v>
      </c>
    </row>
    <row r="8" spans="1:44" ht="126" x14ac:dyDescent="0.25">
      <c r="A8" s="77">
        <v>5</v>
      </c>
      <c r="B8" s="78" t="s">
        <v>3</v>
      </c>
      <c r="C8" s="78" t="s">
        <v>4</v>
      </c>
      <c r="D8" s="78" t="s">
        <v>35</v>
      </c>
      <c r="E8" s="77"/>
      <c r="F8" s="79"/>
      <c r="G8" s="80"/>
      <c r="H8" s="81">
        <f t="shared" si="0"/>
        <v>0</v>
      </c>
      <c r="I8" s="82"/>
      <c r="J8" s="77"/>
      <c r="K8" s="83">
        <v>1</v>
      </c>
      <c r="L8" s="84">
        <v>0.7</v>
      </c>
      <c r="M8" s="85">
        <f t="shared" si="1"/>
        <v>0.7</v>
      </c>
      <c r="N8" s="86" t="s">
        <v>1180</v>
      </c>
      <c r="O8" s="77"/>
      <c r="P8" s="83">
        <v>1</v>
      </c>
      <c r="Q8" s="84">
        <v>0.8</v>
      </c>
      <c r="R8" s="85">
        <f t="shared" si="2"/>
        <v>0.8</v>
      </c>
      <c r="S8" s="86" t="s">
        <v>1424</v>
      </c>
      <c r="T8" s="77"/>
      <c r="U8" s="79"/>
      <c r="V8" s="80"/>
      <c r="W8" s="81">
        <f t="shared" si="3"/>
        <v>0</v>
      </c>
      <c r="X8" s="78"/>
      <c r="Y8" s="77"/>
      <c r="Z8" s="79"/>
      <c r="AA8" s="80"/>
      <c r="AB8" s="81">
        <f t="shared" si="4"/>
        <v>0</v>
      </c>
      <c r="AC8" s="78"/>
      <c r="AD8" s="77"/>
      <c r="AE8" s="79"/>
      <c r="AF8" s="80"/>
      <c r="AG8" s="81">
        <f t="shared" si="5"/>
        <v>0</v>
      </c>
      <c r="AH8" s="78"/>
      <c r="AI8" s="77"/>
      <c r="AJ8" s="83">
        <v>1</v>
      </c>
      <c r="AK8" s="84">
        <v>0.95</v>
      </c>
      <c r="AL8" s="85">
        <f t="shared" si="6"/>
        <v>0.95</v>
      </c>
      <c r="AM8" s="87" t="s">
        <v>1241</v>
      </c>
      <c r="AN8" s="77"/>
      <c r="AO8" s="83">
        <v>1</v>
      </c>
      <c r="AP8" s="84">
        <v>0.3</v>
      </c>
      <c r="AQ8" s="85">
        <f t="shared" si="7"/>
        <v>0.3</v>
      </c>
      <c r="AR8" s="87" t="s">
        <v>1249</v>
      </c>
    </row>
    <row r="9" spans="1:44" ht="350.25" customHeight="1" x14ac:dyDescent="0.25">
      <c r="A9" s="77">
        <v>6</v>
      </c>
      <c r="B9" s="78" t="s">
        <v>3</v>
      </c>
      <c r="C9" s="78" t="s">
        <v>4</v>
      </c>
      <c r="D9" s="78" t="s">
        <v>129</v>
      </c>
      <c r="E9" s="77"/>
      <c r="F9" s="79"/>
      <c r="G9" s="80"/>
      <c r="H9" s="81">
        <f t="shared" si="0"/>
        <v>0</v>
      </c>
      <c r="I9" s="78"/>
      <c r="J9" s="77"/>
      <c r="K9" s="111">
        <v>1</v>
      </c>
      <c r="L9" s="112">
        <v>0.76</v>
      </c>
      <c r="M9" s="85">
        <f t="shared" si="1"/>
        <v>0.76</v>
      </c>
      <c r="N9" s="113" t="s">
        <v>1626</v>
      </c>
      <c r="O9" s="77"/>
      <c r="P9" s="111">
        <v>1</v>
      </c>
      <c r="Q9" s="112">
        <v>0.95</v>
      </c>
      <c r="R9" s="85">
        <f t="shared" si="2"/>
        <v>0.95</v>
      </c>
      <c r="S9" s="113" t="s">
        <v>1633</v>
      </c>
      <c r="T9" s="77"/>
      <c r="U9" s="79"/>
      <c r="V9" s="80"/>
      <c r="W9" s="81">
        <f t="shared" si="3"/>
        <v>0</v>
      </c>
      <c r="X9" s="78"/>
      <c r="Y9" s="77"/>
      <c r="Z9" s="79"/>
      <c r="AA9" s="80"/>
      <c r="AB9" s="81">
        <f t="shared" si="4"/>
        <v>0</v>
      </c>
      <c r="AC9" s="78"/>
      <c r="AD9" s="77"/>
      <c r="AE9" s="79"/>
      <c r="AF9" s="80"/>
      <c r="AG9" s="81">
        <f t="shared" si="5"/>
        <v>0</v>
      </c>
      <c r="AH9" s="78"/>
      <c r="AI9" s="77"/>
      <c r="AJ9" s="111">
        <v>1</v>
      </c>
      <c r="AK9" s="112">
        <v>0.5</v>
      </c>
      <c r="AL9" s="85">
        <f t="shared" si="6"/>
        <v>0.5</v>
      </c>
      <c r="AM9" s="113" t="s">
        <v>1242</v>
      </c>
      <c r="AN9" s="77"/>
      <c r="AO9" s="111">
        <v>1</v>
      </c>
      <c r="AP9" s="112">
        <v>0.1</v>
      </c>
      <c r="AQ9" s="85">
        <f t="shared" si="7"/>
        <v>0.1</v>
      </c>
      <c r="AR9" s="113" t="s">
        <v>1611</v>
      </c>
    </row>
    <row r="10" spans="1:44" ht="218.25" customHeight="1" x14ac:dyDescent="0.25">
      <c r="A10" s="77">
        <v>7</v>
      </c>
      <c r="B10" s="78" t="s">
        <v>3</v>
      </c>
      <c r="C10" s="78" t="s">
        <v>4</v>
      </c>
      <c r="D10" s="78" t="s">
        <v>36</v>
      </c>
      <c r="E10" s="77"/>
      <c r="F10" s="79"/>
      <c r="G10" s="80"/>
      <c r="H10" s="81">
        <f t="shared" si="0"/>
        <v>0</v>
      </c>
      <c r="I10" s="82"/>
      <c r="J10" s="77"/>
      <c r="K10" s="83">
        <v>1</v>
      </c>
      <c r="L10" s="84">
        <v>0.75</v>
      </c>
      <c r="M10" s="85">
        <f t="shared" si="1"/>
        <v>0.75</v>
      </c>
      <c r="N10" s="87" t="s">
        <v>1181</v>
      </c>
      <c r="O10" s="77"/>
      <c r="P10" s="83">
        <v>1</v>
      </c>
      <c r="Q10" s="84">
        <v>0.7</v>
      </c>
      <c r="R10" s="85">
        <f t="shared" si="2"/>
        <v>0.7</v>
      </c>
      <c r="S10" s="86" t="s">
        <v>1237</v>
      </c>
      <c r="T10" s="77"/>
      <c r="U10" s="79"/>
      <c r="V10" s="80"/>
      <c r="W10" s="81">
        <f t="shared" si="3"/>
        <v>0</v>
      </c>
      <c r="X10" s="82"/>
      <c r="Y10" s="77"/>
      <c r="Z10" s="79"/>
      <c r="AA10" s="80"/>
      <c r="AB10" s="81">
        <f t="shared" si="4"/>
        <v>0</v>
      </c>
      <c r="AC10" s="82"/>
      <c r="AD10" s="77"/>
      <c r="AE10" s="79"/>
      <c r="AF10" s="80"/>
      <c r="AG10" s="81">
        <f t="shared" si="5"/>
        <v>0</v>
      </c>
      <c r="AH10" s="82"/>
      <c r="AI10" s="77"/>
      <c r="AJ10" s="83">
        <v>1</v>
      </c>
      <c r="AK10" s="84">
        <v>0.4</v>
      </c>
      <c r="AL10" s="85">
        <f t="shared" si="6"/>
        <v>0.4</v>
      </c>
      <c r="AM10" s="87" t="s">
        <v>1243</v>
      </c>
      <c r="AN10" s="77"/>
      <c r="AO10" s="83">
        <v>1</v>
      </c>
      <c r="AP10" s="84">
        <v>0.2</v>
      </c>
      <c r="AQ10" s="85">
        <f t="shared" si="7"/>
        <v>0.2</v>
      </c>
      <c r="AR10" s="87" t="s">
        <v>1191</v>
      </c>
    </row>
    <row r="11" spans="1:44" ht="108" customHeight="1" x14ac:dyDescent="0.25">
      <c r="A11" s="77">
        <v>8</v>
      </c>
      <c r="B11" s="78" t="s">
        <v>3</v>
      </c>
      <c r="C11" s="78" t="s">
        <v>4</v>
      </c>
      <c r="D11" s="78" t="s">
        <v>64</v>
      </c>
      <c r="E11" s="77"/>
      <c r="F11" s="79"/>
      <c r="G11" s="80"/>
      <c r="H11" s="81">
        <f t="shared" si="0"/>
        <v>0</v>
      </c>
      <c r="I11" s="78"/>
      <c r="J11" s="77"/>
      <c r="K11" s="111">
        <v>1</v>
      </c>
      <c r="L11" s="112">
        <v>1</v>
      </c>
      <c r="M11" s="85">
        <f t="shared" si="1"/>
        <v>1</v>
      </c>
      <c r="N11" s="113"/>
      <c r="O11" s="77"/>
      <c r="P11" s="111">
        <v>1</v>
      </c>
      <c r="Q11" s="112">
        <v>0.9</v>
      </c>
      <c r="R11" s="85">
        <f t="shared" si="2"/>
        <v>0.9</v>
      </c>
      <c r="S11" s="113" t="s">
        <v>1238</v>
      </c>
      <c r="T11" s="77"/>
      <c r="U11" s="79"/>
      <c r="V11" s="80"/>
      <c r="W11" s="81">
        <f t="shared" si="3"/>
        <v>0</v>
      </c>
      <c r="X11" s="82"/>
      <c r="Y11" s="77"/>
      <c r="Z11" s="79"/>
      <c r="AA11" s="80"/>
      <c r="AB11" s="81">
        <f t="shared" si="4"/>
        <v>0</v>
      </c>
      <c r="AC11" s="82"/>
      <c r="AD11" s="77"/>
      <c r="AE11" s="79"/>
      <c r="AF11" s="80"/>
      <c r="AG11" s="81">
        <f t="shared" si="5"/>
        <v>0</v>
      </c>
      <c r="AH11" s="82"/>
      <c r="AI11" s="77"/>
      <c r="AJ11" s="111">
        <v>1</v>
      </c>
      <c r="AK11" s="112">
        <v>0.5</v>
      </c>
      <c r="AL11" s="85">
        <f t="shared" si="6"/>
        <v>0.5</v>
      </c>
      <c r="AM11" s="113" t="s">
        <v>1244</v>
      </c>
      <c r="AN11" s="77"/>
      <c r="AO11" s="111">
        <v>1</v>
      </c>
      <c r="AP11" s="112">
        <v>0.15</v>
      </c>
      <c r="AQ11" s="85">
        <f t="shared" si="7"/>
        <v>0.15</v>
      </c>
      <c r="AR11" s="113" t="s">
        <v>1192</v>
      </c>
    </row>
    <row r="12" spans="1:44" ht="99.75" customHeight="1" x14ac:dyDescent="0.25">
      <c r="A12" s="77">
        <v>9</v>
      </c>
      <c r="B12" s="78" t="s">
        <v>3</v>
      </c>
      <c r="C12" s="78" t="s">
        <v>5</v>
      </c>
      <c r="D12" s="78" t="s">
        <v>37</v>
      </c>
      <c r="E12" s="77"/>
      <c r="F12" s="79"/>
      <c r="G12" s="80"/>
      <c r="H12" s="81">
        <f t="shared" si="0"/>
        <v>0</v>
      </c>
      <c r="I12" s="82"/>
      <c r="J12" s="77"/>
      <c r="K12" s="83">
        <v>1</v>
      </c>
      <c r="L12" s="99">
        <v>0.6</v>
      </c>
      <c r="M12" s="85">
        <f t="shared" si="1"/>
        <v>0.6</v>
      </c>
      <c r="N12" s="86" t="s">
        <v>1198</v>
      </c>
      <c r="O12" s="77"/>
      <c r="P12" s="83">
        <v>1</v>
      </c>
      <c r="Q12" s="84">
        <v>1</v>
      </c>
      <c r="R12" s="85">
        <f t="shared" si="2"/>
        <v>1</v>
      </c>
      <c r="S12" s="115"/>
      <c r="T12" s="77"/>
      <c r="U12" s="79"/>
      <c r="V12" s="80"/>
      <c r="W12" s="81">
        <f t="shared" si="3"/>
        <v>0</v>
      </c>
      <c r="X12" s="82"/>
      <c r="Y12" s="77"/>
      <c r="Z12" s="79"/>
      <c r="AA12" s="80"/>
      <c r="AB12" s="81">
        <f t="shared" si="4"/>
        <v>0</v>
      </c>
      <c r="AC12" s="82"/>
      <c r="AD12" s="77"/>
      <c r="AE12" s="79"/>
      <c r="AF12" s="80"/>
      <c r="AG12" s="81">
        <f t="shared" si="5"/>
        <v>0</v>
      </c>
      <c r="AH12" s="82"/>
      <c r="AI12" s="77"/>
      <c r="AJ12" s="83">
        <v>1</v>
      </c>
      <c r="AK12" s="84">
        <v>0.15</v>
      </c>
      <c r="AL12" s="85">
        <f t="shared" si="6"/>
        <v>0.15</v>
      </c>
      <c r="AM12" s="87" t="s">
        <v>1245</v>
      </c>
      <c r="AN12" s="77"/>
      <c r="AO12" s="83">
        <v>1</v>
      </c>
      <c r="AP12" s="84">
        <v>0.2</v>
      </c>
      <c r="AQ12" s="85">
        <f t="shared" si="7"/>
        <v>0.2</v>
      </c>
      <c r="AR12" s="86" t="s">
        <v>1256</v>
      </c>
    </row>
    <row r="13" spans="1:44" ht="126.75" customHeight="1" x14ac:dyDescent="0.25">
      <c r="A13" s="77">
        <v>10</v>
      </c>
      <c r="B13" s="78" t="s">
        <v>3</v>
      </c>
      <c r="C13" s="78" t="s">
        <v>5</v>
      </c>
      <c r="D13" s="78" t="s">
        <v>38</v>
      </c>
      <c r="E13" s="77"/>
      <c r="F13" s="79"/>
      <c r="G13" s="80"/>
      <c r="H13" s="81">
        <f t="shared" si="0"/>
        <v>0</v>
      </c>
      <c r="I13" s="82"/>
      <c r="J13" s="77"/>
      <c r="K13" s="111">
        <v>1</v>
      </c>
      <c r="L13" s="112">
        <v>0.6</v>
      </c>
      <c r="M13" s="85">
        <f t="shared" si="1"/>
        <v>0.6</v>
      </c>
      <c r="N13" s="113" t="s">
        <v>1198</v>
      </c>
      <c r="O13" s="77"/>
      <c r="P13" s="111">
        <v>1</v>
      </c>
      <c r="Q13" s="112">
        <v>1</v>
      </c>
      <c r="R13" s="85">
        <f t="shared" si="2"/>
        <v>1</v>
      </c>
      <c r="S13" s="114"/>
      <c r="T13" s="77"/>
      <c r="U13" s="79"/>
      <c r="V13" s="80"/>
      <c r="W13" s="81">
        <f t="shared" si="3"/>
        <v>0</v>
      </c>
      <c r="X13" s="82"/>
      <c r="Y13" s="77"/>
      <c r="Z13" s="79"/>
      <c r="AA13" s="80"/>
      <c r="AB13" s="81">
        <f t="shared" si="4"/>
        <v>0</v>
      </c>
      <c r="AC13" s="82"/>
      <c r="AD13" s="77"/>
      <c r="AE13" s="79"/>
      <c r="AF13" s="80"/>
      <c r="AG13" s="81">
        <f t="shared" si="5"/>
        <v>0</v>
      </c>
      <c r="AH13" s="82"/>
      <c r="AI13" s="77"/>
      <c r="AJ13" s="111">
        <v>1</v>
      </c>
      <c r="AK13" s="112">
        <v>0.15</v>
      </c>
      <c r="AL13" s="85">
        <f t="shared" si="6"/>
        <v>0.15</v>
      </c>
      <c r="AM13" s="113" t="s">
        <v>1246</v>
      </c>
      <c r="AN13" s="77"/>
      <c r="AO13" s="111">
        <v>1</v>
      </c>
      <c r="AP13" s="112">
        <v>0.3</v>
      </c>
      <c r="AQ13" s="85">
        <f t="shared" si="7"/>
        <v>0.3</v>
      </c>
      <c r="AR13" s="113" t="s">
        <v>1251</v>
      </c>
    </row>
    <row r="14" spans="1:44" ht="135.75" customHeight="1" x14ac:dyDescent="0.25">
      <c r="A14" s="77">
        <v>11</v>
      </c>
      <c r="B14" s="78" t="s">
        <v>3</v>
      </c>
      <c r="C14" s="78" t="s">
        <v>31</v>
      </c>
      <c r="D14" s="78" t="s">
        <v>39</v>
      </c>
      <c r="E14" s="77"/>
      <c r="F14" s="79"/>
      <c r="G14" s="80"/>
      <c r="H14" s="81">
        <f t="shared" si="0"/>
        <v>0</v>
      </c>
      <c r="I14" s="82"/>
      <c r="J14" s="77"/>
      <c r="K14" s="83">
        <v>1</v>
      </c>
      <c r="L14" s="84">
        <v>0.85</v>
      </c>
      <c r="M14" s="85">
        <f t="shared" si="1"/>
        <v>0.85</v>
      </c>
      <c r="N14" s="86" t="s">
        <v>1199</v>
      </c>
      <c r="O14" s="77"/>
      <c r="P14" s="83">
        <v>1</v>
      </c>
      <c r="Q14" s="84">
        <v>1</v>
      </c>
      <c r="R14" s="85">
        <f t="shared" si="2"/>
        <v>1</v>
      </c>
      <c r="S14" s="115"/>
      <c r="T14" s="77"/>
      <c r="U14" s="79"/>
      <c r="V14" s="80"/>
      <c r="W14" s="81">
        <f t="shared" si="3"/>
        <v>0</v>
      </c>
      <c r="X14" s="82"/>
      <c r="Y14" s="77"/>
      <c r="Z14" s="79"/>
      <c r="AA14" s="80"/>
      <c r="AB14" s="81">
        <f t="shared" si="4"/>
        <v>0</v>
      </c>
      <c r="AC14" s="82"/>
      <c r="AD14" s="77"/>
      <c r="AE14" s="79"/>
      <c r="AF14" s="80"/>
      <c r="AG14" s="81">
        <f t="shared" si="5"/>
        <v>0</v>
      </c>
      <c r="AH14" s="82"/>
      <c r="AI14" s="77"/>
      <c r="AJ14" s="83">
        <v>1</v>
      </c>
      <c r="AK14" s="84">
        <v>0.3</v>
      </c>
      <c r="AL14" s="85">
        <f t="shared" si="6"/>
        <v>0.3</v>
      </c>
      <c r="AM14" s="87" t="s">
        <v>1247</v>
      </c>
      <c r="AN14" s="77"/>
      <c r="AO14" s="83">
        <v>1</v>
      </c>
      <c r="AP14" s="84">
        <v>0.15</v>
      </c>
      <c r="AQ14" s="85">
        <f t="shared" si="7"/>
        <v>0.15</v>
      </c>
      <c r="AR14" s="86" t="s">
        <v>1195</v>
      </c>
    </row>
    <row r="15" spans="1:44" ht="110.25" x14ac:dyDescent="0.25">
      <c r="A15" s="77">
        <v>12</v>
      </c>
      <c r="B15" s="78" t="s">
        <v>3</v>
      </c>
      <c r="C15" s="78" t="s">
        <v>31</v>
      </c>
      <c r="D15" s="78" t="s">
        <v>40</v>
      </c>
      <c r="E15" s="77"/>
      <c r="F15" s="79"/>
      <c r="G15" s="80"/>
      <c r="H15" s="81">
        <f t="shared" si="0"/>
        <v>0</v>
      </c>
      <c r="I15" s="82"/>
      <c r="J15" s="77"/>
      <c r="K15" s="111">
        <v>1</v>
      </c>
      <c r="L15" s="112">
        <v>1</v>
      </c>
      <c r="M15" s="85">
        <f t="shared" si="1"/>
        <v>1</v>
      </c>
      <c r="N15" s="113"/>
      <c r="O15" s="77"/>
      <c r="P15" s="111">
        <v>1</v>
      </c>
      <c r="Q15" s="112">
        <v>0.95</v>
      </c>
      <c r="R15" s="85">
        <f t="shared" si="2"/>
        <v>0.95</v>
      </c>
      <c r="S15" s="114" t="s">
        <v>1187</v>
      </c>
      <c r="T15" s="77"/>
      <c r="U15" s="79"/>
      <c r="V15" s="80"/>
      <c r="W15" s="81">
        <f t="shared" si="3"/>
        <v>0</v>
      </c>
      <c r="X15" s="82"/>
      <c r="Y15" s="77"/>
      <c r="Z15" s="79"/>
      <c r="AA15" s="80"/>
      <c r="AB15" s="81">
        <f t="shared" si="4"/>
        <v>0</v>
      </c>
      <c r="AC15" s="82"/>
      <c r="AD15" s="77"/>
      <c r="AE15" s="79"/>
      <c r="AF15" s="80"/>
      <c r="AG15" s="81">
        <f t="shared" si="5"/>
        <v>0</v>
      </c>
      <c r="AH15" s="82"/>
      <c r="AI15" s="77"/>
      <c r="AJ15" s="111">
        <v>1</v>
      </c>
      <c r="AK15" s="112">
        <v>0.3</v>
      </c>
      <c r="AL15" s="85">
        <f t="shared" si="6"/>
        <v>0.3</v>
      </c>
      <c r="AM15" s="113" t="s">
        <v>1248</v>
      </c>
      <c r="AN15" s="77"/>
      <c r="AO15" s="111">
        <v>1</v>
      </c>
      <c r="AP15" s="112">
        <v>0.5</v>
      </c>
      <c r="AQ15" s="85">
        <f t="shared" si="7"/>
        <v>0.5</v>
      </c>
      <c r="AR15" s="113" t="s">
        <v>1252</v>
      </c>
    </row>
    <row r="16" spans="1:44" ht="276" customHeight="1" x14ac:dyDescent="0.25">
      <c r="A16" s="77">
        <v>13</v>
      </c>
      <c r="B16" s="78" t="s">
        <v>6</v>
      </c>
      <c r="C16" s="78" t="s">
        <v>7</v>
      </c>
      <c r="D16" s="78" t="s">
        <v>41</v>
      </c>
      <c r="E16" s="77"/>
      <c r="F16" s="79"/>
      <c r="G16" s="80"/>
      <c r="H16" s="81">
        <f t="shared" si="0"/>
        <v>0</v>
      </c>
      <c r="I16" s="82"/>
      <c r="J16" s="77"/>
      <c r="K16" s="100">
        <v>1</v>
      </c>
      <c r="L16" s="101">
        <v>1</v>
      </c>
      <c r="M16" s="85">
        <f t="shared" si="1"/>
        <v>1</v>
      </c>
      <c r="N16" s="102" t="s">
        <v>633</v>
      </c>
      <c r="O16" s="77"/>
      <c r="P16" s="100">
        <v>1</v>
      </c>
      <c r="Q16" s="101">
        <v>0.85</v>
      </c>
      <c r="R16" s="85">
        <f t="shared" si="2"/>
        <v>0.85</v>
      </c>
      <c r="S16" s="102" t="s">
        <v>1573</v>
      </c>
      <c r="T16" s="77"/>
      <c r="U16" s="79"/>
      <c r="V16" s="80"/>
      <c r="W16" s="81">
        <f t="shared" si="3"/>
        <v>0</v>
      </c>
      <c r="X16" s="82"/>
      <c r="Y16" s="77"/>
      <c r="Z16" s="79"/>
      <c r="AA16" s="80"/>
      <c r="AB16" s="81">
        <f t="shared" si="4"/>
        <v>0</v>
      </c>
      <c r="AC16" s="82"/>
      <c r="AD16" s="77"/>
      <c r="AE16" s="79"/>
      <c r="AF16" s="80"/>
      <c r="AG16" s="81">
        <f t="shared" si="5"/>
        <v>0</v>
      </c>
      <c r="AH16" s="82"/>
      <c r="AI16" s="77"/>
      <c r="AJ16" s="100">
        <v>1</v>
      </c>
      <c r="AK16" s="101">
        <v>0.6</v>
      </c>
      <c r="AL16" s="85">
        <f>AJ16*AK16</f>
        <v>0.6</v>
      </c>
      <c r="AM16" s="102" t="s">
        <v>1425</v>
      </c>
      <c r="AN16" s="77"/>
      <c r="AO16" s="100">
        <v>1</v>
      </c>
      <c r="AP16" s="101">
        <v>0.98</v>
      </c>
      <c r="AQ16" s="85">
        <f t="shared" si="7"/>
        <v>0.98</v>
      </c>
      <c r="AR16" s="102" t="s">
        <v>1426</v>
      </c>
    </row>
    <row r="17" spans="1:44" ht="159" customHeight="1" x14ac:dyDescent="0.25">
      <c r="A17" s="77">
        <v>14</v>
      </c>
      <c r="B17" s="78" t="s">
        <v>6</v>
      </c>
      <c r="C17" s="78" t="s">
        <v>7</v>
      </c>
      <c r="D17" s="78" t="s">
        <v>130</v>
      </c>
      <c r="E17" s="77"/>
      <c r="F17" s="79"/>
      <c r="G17" s="80"/>
      <c r="H17" s="81">
        <f t="shared" si="0"/>
        <v>0</v>
      </c>
      <c r="I17" s="82"/>
      <c r="J17" s="77"/>
      <c r="K17" s="100">
        <v>1</v>
      </c>
      <c r="L17" s="101">
        <v>1</v>
      </c>
      <c r="M17" s="85">
        <f t="shared" si="1"/>
        <v>1</v>
      </c>
      <c r="N17" s="102" t="s">
        <v>634</v>
      </c>
      <c r="O17" s="77"/>
      <c r="P17" s="100">
        <v>1</v>
      </c>
      <c r="Q17" s="101">
        <v>0.65</v>
      </c>
      <c r="R17" s="85">
        <f t="shared" si="2"/>
        <v>0.65</v>
      </c>
      <c r="S17" s="102" t="s">
        <v>649</v>
      </c>
      <c r="T17" s="77"/>
      <c r="U17" s="79"/>
      <c r="V17" s="80"/>
      <c r="W17" s="81">
        <f t="shared" si="3"/>
        <v>0</v>
      </c>
      <c r="X17" s="82"/>
      <c r="Y17" s="77"/>
      <c r="Z17" s="79"/>
      <c r="AA17" s="80"/>
      <c r="AB17" s="81">
        <f t="shared" si="4"/>
        <v>0</v>
      </c>
      <c r="AC17" s="82"/>
      <c r="AD17" s="77"/>
      <c r="AE17" s="79"/>
      <c r="AF17" s="80"/>
      <c r="AG17" s="81">
        <f t="shared" si="5"/>
        <v>0</v>
      </c>
      <c r="AH17" s="82"/>
      <c r="AI17" s="77"/>
      <c r="AJ17" s="100">
        <v>1</v>
      </c>
      <c r="AK17" s="101">
        <v>0.15</v>
      </c>
      <c r="AL17" s="85">
        <f>AJ17*AK17</f>
        <v>0.15</v>
      </c>
      <c r="AM17" s="102" t="s">
        <v>664</v>
      </c>
      <c r="AN17" s="77"/>
      <c r="AO17" s="100">
        <v>1</v>
      </c>
      <c r="AP17" s="101">
        <v>0.45</v>
      </c>
      <c r="AQ17" s="85">
        <f t="shared" si="7"/>
        <v>0.45</v>
      </c>
      <c r="AR17" s="102" t="s">
        <v>676</v>
      </c>
    </row>
    <row r="18" spans="1:44" ht="150" customHeight="1" x14ac:dyDescent="0.25">
      <c r="A18" s="77">
        <v>15</v>
      </c>
      <c r="B18" s="78" t="s">
        <v>6</v>
      </c>
      <c r="C18" s="78" t="s">
        <v>7</v>
      </c>
      <c r="D18" s="78" t="s">
        <v>131</v>
      </c>
      <c r="E18" s="77"/>
      <c r="F18" s="79"/>
      <c r="G18" s="80"/>
      <c r="H18" s="81">
        <f t="shared" si="0"/>
        <v>0</v>
      </c>
      <c r="I18" s="82"/>
      <c r="J18" s="77"/>
      <c r="K18" s="100">
        <v>1</v>
      </c>
      <c r="L18" s="101">
        <v>1</v>
      </c>
      <c r="M18" s="85">
        <f t="shared" si="1"/>
        <v>1</v>
      </c>
      <c r="N18" s="78" t="s">
        <v>635</v>
      </c>
      <c r="O18" s="77"/>
      <c r="P18" s="100">
        <v>1</v>
      </c>
      <c r="Q18" s="101">
        <v>0.95</v>
      </c>
      <c r="R18" s="85">
        <f t="shared" si="2"/>
        <v>0.95</v>
      </c>
      <c r="S18" s="78" t="s">
        <v>650</v>
      </c>
      <c r="T18" s="77"/>
      <c r="U18" s="79"/>
      <c r="V18" s="80"/>
      <c r="W18" s="81">
        <f t="shared" si="3"/>
        <v>0</v>
      </c>
      <c r="X18" s="82"/>
      <c r="Y18" s="77"/>
      <c r="Z18" s="79"/>
      <c r="AA18" s="80"/>
      <c r="AB18" s="81">
        <f t="shared" si="4"/>
        <v>0</v>
      </c>
      <c r="AC18" s="82"/>
      <c r="AD18" s="77"/>
      <c r="AE18" s="79"/>
      <c r="AF18" s="80"/>
      <c r="AG18" s="81">
        <f t="shared" si="5"/>
        <v>0</v>
      </c>
      <c r="AH18" s="82"/>
      <c r="AI18" s="77"/>
      <c r="AJ18" s="100">
        <v>1</v>
      </c>
      <c r="AK18" s="101">
        <v>0.85</v>
      </c>
      <c r="AL18" s="85">
        <f t="shared" ref="AL18:AL56" si="8">AJ18*AK18</f>
        <v>0.85</v>
      </c>
      <c r="AM18" s="78" t="s">
        <v>665</v>
      </c>
      <c r="AN18" s="77"/>
      <c r="AO18" s="100">
        <v>1</v>
      </c>
      <c r="AP18" s="101">
        <v>0.95</v>
      </c>
      <c r="AQ18" s="85">
        <f t="shared" si="7"/>
        <v>0.95</v>
      </c>
      <c r="AR18" s="78" t="s">
        <v>677</v>
      </c>
    </row>
    <row r="19" spans="1:44" ht="94.5" x14ac:dyDescent="0.25">
      <c r="A19" s="77">
        <v>16</v>
      </c>
      <c r="B19" s="78" t="s">
        <v>6</v>
      </c>
      <c r="C19" s="78" t="s">
        <v>7</v>
      </c>
      <c r="D19" s="78" t="s">
        <v>42</v>
      </c>
      <c r="E19" s="77"/>
      <c r="F19" s="79"/>
      <c r="G19" s="80"/>
      <c r="H19" s="81">
        <f t="shared" si="0"/>
        <v>0</v>
      </c>
      <c r="I19" s="82"/>
      <c r="J19" s="77"/>
      <c r="K19" s="100">
        <v>1</v>
      </c>
      <c r="L19" s="101">
        <v>1</v>
      </c>
      <c r="M19" s="85">
        <f t="shared" si="1"/>
        <v>1</v>
      </c>
      <c r="N19" s="78" t="s">
        <v>636</v>
      </c>
      <c r="O19" s="77"/>
      <c r="P19" s="100">
        <v>1</v>
      </c>
      <c r="Q19" s="101">
        <v>1</v>
      </c>
      <c r="R19" s="85">
        <f t="shared" si="2"/>
        <v>1</v>
      </c>
      <c r="S19" s="78" t="s">
        <v>651</v>
      </c>
      <c r="T19" s="77"/>
      <c r="U19" s="79"/>
      <c r="V19" s="80"/>
      <c r="W19" s="81">
        <f t="shared" si="3"/>
        <v>0</v>
      </c>
      <c r="X19" s="82"/>
      <c r="Y19" s="77"/>
      <c r="Z19" s="79"/>
      <c r="AA19" s="80"/>
      <c r="AB19" s="81">
        <f t="shared" si="4"/>
        <v>0</v>
      </c>
      <c r="AC19" s="82"/>
      <c r="AD19" s="77"/>
      <c r="AE19" s="79"/>
      <c r="AF19" s="80"/>
      <c r="AG19" s="81">
        <f t="shared" si="5"/>
        <v>0</v>
      </c>
      <c r="AH19" s="82"/>
      <c r="AI19" s="77"/>
      <c r="AJ19" s="100">
        <v>1</v>
      </c>
      <c r="AK19" s="101">
        <v>1</v>
      </c>
      <c r="AL19" s="85">
        <f t="shared" si="8"/>
        <v>1</v>
      </c>
      <c r="AM19" s="78" t="s">
        <v>666</v>
      </c>
      <c r="AN19" s="77"/>
      <c r="AO19" s="100">
        <v>1</v>
      </c>
      <c r="AP19" s="101">
        <v>0.95</v>
      </c>
      <c r="AQ19" s="85">
        <f t="shared" si="7"/>
        <v>0.95</v>
      </c>
      <c r="AR19" s="78" t="s">
        <v>239</v>
      </c>
    </row>
    <row r="20" spans="1:44" ht="342" customHeight="1" x14ac:dyDescent="0.25">
      <c r="A20" s="77">
        <v>17</v>
      </c>
      <c r="B20" s="78" t="s">
        <v>6</v>
      </c>
      <c r="C20" s="78" t="s">
        <v>7</v>
      </c>
      <c r="D20" s="78" t="s">
        <v>43</v>
      </c>
      <c r="E20" s="77"/>
      <c r="F20" s="79"/>
      <c r="G20" s="80"/>
      <c r="H20" s="81">
        <f t="shared" si="0"/>
        <v>0</v>
      </c>
      <c r="I20" s="82"/>
      <c r="J20" s="77"/>
      <c r="K20" s="100">
        <v>1</v>
      </c>
      <c r="L20" s="101">
        <v>0.7</v>
      </c>
      <c r="M20" s="85">
        <f t="shared" si="1"/>
        <v>0.7</v>
      </c>
      <c r="N20" s="102" t="s">
        <v>444</v>
      </c>
      <c r="O20" s="77"/>
      <c r="P20" s="100">
        <v>1</v>
      </c>
      <c r="Q20" s="101">
        <v>0.9</v>
      </c>
      <c r="R20" s="85">
        <f t="shared" si="2"/>
        <v>0.9</v>
      </c>
      <c r="S20" s="102" t="s">
        <v>652</v>
      </c>
      <c r="T20" s="77"/>
      <c r="U20" s="79"/>
      <c r="V20" s="80"/>
      <c r="W20" s="81">
        <f t="shared" si="3"/>
        <v>0</v>
      </c>
      <c r="X20" s="82"/>
      <c r="Y20" s="77"/>
      <c r="Z20" s="79"/>
      <c r="AA20" s="80"/>
      <c r="AB20" s="81">
        <f t="shared" si="4"/>
        <v>0</v>
      </c>
      <c r="AC20" s="82"/>
      <c r="AD20" s="77"/>
      <c r="AE20" s="79"/>
      <c r="AF20" s="80"/>
      <c r="AG20" s="81">
        <f t="shared" si="5"/>
        <v>0</v>
      </c>
      <c r="AH20" s="82"/>
      <c r="AI20" s="77"/>
      <c r="AJ20" s="100">
        <v>1</v>
      </c>
      <c r="AK20" s="101">
        <v>0.45</v>
      </c>
      <c r="AL20" s="85">
        <f t="shared" si="8"/>
        <v>0.45</v>
      </c>
      <c r="AM20" s="102" t="s">
        <v>667</v>
      </c>
      <c r="AN20" s="77"/>
      <c r="AO20" s="100">
        <v>1</v>
      </c>
      <c r="AP20" s="101">
        <v>0.5</v>
      </c>
      <c r="AQ20" s="85">
        <f>AO20*AP20</f>
        <v>0.5</v>
      </c>
      <c r="AR20" s="102" t="s">
        <v>678</v>
      </c>
    </row>
    <row r="21" spans="1:44" ht="184.5" customHeight="1" x14ac:dyDescent="0.25">
      <c r="A21" s="77">
        <v>18</v>
      </c>
      <c r="B21" s="78" t="s">
        <v>6</v>
      </c>
      <c r="C21" s="78" t="s">
        <v>7</v>
      </c>
      <c r="D21" s="78" t="s">
        <v>44</v>
      </c>
      <c r="E21" s="77"/>
      <c r="F21" s="79"/>
      <c r="G21" s="80"/>
      <c r="H21" s="81">
        <f t="shared" si="0"/>
        <v>0</v>
      </c>
      <c r="I21" s="82"/>
      <c r="J21" s="77"/>
      <c r="K21" s="100">
        <v>1</v>
      </c>
      <c r="L21" s="101">
        <v>0.75</v>
      </c>
      <c r="M21" s="85">
        <f>K21*L21</f>
        <v>0.75</v>
      </c>
      <c r="N21" s="102" t="s">
        <v>637</v>
      </c>
      <c r="O21" s="77"/>
      <c r="P21" s="100">
        <v>1</v>
      </c>
      <c r="Q21" s="101">
        <v>0.75</v>
      </c>
      <c r="R21" s="85">
        <f>P21*Q21</f>
        <v>0.75</v>
      </c>
      <c r="S21" s="102" t="s">
        <v>1427</v>
      </c>
      <c r="T21" s="77"/>
      <c r="U21" s="79"/>
      <c r="V21" s="80"/>
      <c r="W21" s="81">
        <f t="shared" si="3"/>
        <v>0</v>
      </c>
      <c r="X21" s="82"/>
      <c r="Y21" s="77"/>
      <c r="Z21" s="79"/>
      <c r="AA21" s="80"/>
      <c r="AB21" s="81">
        <f t="shared" si="4"/>
        <v>0</v>
      </c>
      <c r="AC21" s="82"/>
      <c r="AD21" s="77"/>
      <c r="AE21" s="79"/>
      <c r="AF21" s="80"/>
      <c r="AG21" s="81">
        <f t="shared" si="5"/>
        <v>0</v>
      </c>
      <c r="AH21" s="82"/>
      <c r="AI21" s="77"/>
      <c r="AJ21" s="100">
        <v>1</v>
      </c>
      <c r="AK21" s="101">
        <v>0.5</v>
      </c>
      <c r="AL21" s="85">
        <f>AJ21*AK21</f>
        <v>0.5</v>
      </c>
      <c r="AM21" s="102" t="s">
        <v>1428</v>
      </c>
      <c r="AN21" s="77"/>
      <c r="AO21" s="100">
        <v>1</v>
      </c>
      <c r="AP21" s="101">
        <v>0.72</v>
      </c>
      <c r="AQ21" s="85">
        <f>AO21*AP21</f>
        <v>0.72</v>
      </c>
      <c r="AR21" s="102" t="s">
        <v>621</v>
      </c>
    </row>
    <row r="22" spans="1:44" ht="125.25" customHeight="1" x14ac:dyDescent="0.25">
      <c r="A22" s="77">
        <v>19</v>
      </c>
      <c r="B22" s="78" t="s">
        <v>6</v>
      </c>
      <c r="C22" s="78" t="s">
        <v>7</v>
      </c>
      <c r="D22" s="78" t="s">
        <v>45</v>
      </c>
      <c r="E22" s="77"/>
      <c r="F22" s="79"/>
      <c r="G22" s="80"/>
      <c r="H22" s="81">
        <f t="shared" si="0"/>
        <v>0</v>
      </c>
      <c r="I22" s="82"/>
      <c r="J22" s="77"/>
      <c r="K22" s="100">
        <v>1</v>
      </c>
      <c r="L22" s="101">
        <v>0.7</v>
      </c>
      <c r="M22" s="85">
        <f t="shared" ref="M22:M23" si="9">K22*L22</f>
        <v>0.7</v>
      </c>
      <c r="N22" s="102" t="s">
        <v>638</v>
      </c>
      <c r="O22" s="77"/>
      <c r="P22" s="100">
        <v>1</v>
      </c>
      <c r="Q22" s="101">
        <v>0.4</v>
      </c>
      <c r="R22" s="85">
        <f t="shared" ref="R22:R23" si="10">P22*Q22</f>
        <v>0.4</v>
      </c>
      <c r="S22" s="102" t="s">
        <v>653</v>
      </c>
      <c r="T22" s="77"/>
      <c r="U22" s="79"/>
      <c r="V22" s="80"/>
      <c r="W22" s="81">
        <f t="shared" si="3"/>
        <v>0</v>
      </c>
      <c r="X22" s="82"/>
      <c r="Y22" s="77"/>
      <c r="Z22" s="79"/>
      <c r="AA22" s="80"/>
      <c r="AB22" s="81">
        <f t="shared" si="4"/>
        <v>0</v>
      </c>
      <c r="AC22" s="82"/>
      <c r="AD22" s="77"/>
      <c r="AE22" s="79"/>
      <c r="AF22" s="80"/>
      <c r="AG22" s="81">
        <f t="shared" si="5"/>
        <v>0</v>
      </c>
      <c r="AH22" s="82"/>
      <c r="AI22" s="77"/>
      <c r="AJ22" s="100">
        <v>1</v>
      </c>
      <c r="AK22" s="101">
        <v>0.4</v>
      </c>
      <c r="AL22" s="85">
        <f t="shared" ref="AL22:AL23" si="11">AJ22*AK22</f>
        <v>0.4</v>
      </c>
      <c r="AM22" s="102" t="s">
        <v>668</v>
      </c>
      <c r="AN22" s="77"/>
      <c r="AO22" s="100">
        <v>1</v>
      </c>
      <c r="AP22" s="101">
        <v>0.3</v>
      </c>
      <c r="AQ22" s="85">
        <f t="shared" ref="AQ22:AQ29" si="12">AO22*AP22</f>
        <v>0.3</v>
      </c>
      <c r="AR22" s="102" t="s">
        <v>679</v>
      </c>
    </row>
    <row r="23" spans="1:44" ht="118.5" customHeight="1" x14ac:dyDescent="0.25">
      <c r="A23" s="77">
        <v>20</v>
      </c>
      <c r="B23" s="78" t="s">
        <v>6</v>
      </c>
      <c r="C23" s="78" t="s">
        <v>7</v>
      </c>
      <c r="D23" s="78" t="s">
        <v>46</v>
      </c>
      <c r="E23" s="77"/>
      <c r="F23" s="79"/>
      <c r="G23" s="80"/>
      <c r="H23" s="81">
        <f t="shared" si="0"/>
        <v>0</v>
      </c>
      <c r="I23" s="82"/>
      <c r="J23" s="77"/>
      <c r="K23" s="100">
        <v>1</v>
      </c>
      <c r="L23" s="101">
        <v>0.85</v>
      </c>
      <c r="M23" s="85">
        <f t="shared" si="9"/>
        <v>0.85</v>
      </c>
      <c r="N23" s="102" t="s">
        <v>639</v>
      </c>
      <c r="O23" s="77"/>
      <c r="P23" s="100">
        <v>1</v>
      </c>
      <c r="Q23" s="101">
        <v>0.5</v>
      </c>
      <c r="R23" s="85">
        <f t="shared" si="10"/>
        <v>0.5</v>
      </c>
      <c r="S23" s="102" t="s">
        <v>654</v>
      </c>
      <c r="T23" s="77"/>
      <c r="U23" s="79"/>
      <c r="V23" s="80"/>
      <c r="W23" s="81">
        <f t="shared" si="3"/>
        <v>0</v>
      </c>
      <c r="X23" s="82"/>
      <c r="Y23" s="77"/>
      <c r="Z23" s="79"/>
      <c r="AA23" s="80"/>
      <c r="AB23" s="81">
        <f t="shared" si="4"/>
        <v>0</v>
      </c>
      <c r="AC23" s="82"/>
      <c r="AD23" s="77"/>
      <c r="AE23" s="79"/>
      <c r="AF23" s="80"/>
      <c r="AG23" s="81">
        <f t="shared" si="5"/>
        <v>0</v>
      </c>
      <c r="AH23" s="82"/>
      <c r="AI23" s="77"/>
      <c r="AJ23" s="100">
        <v>1</v>
      </c>
      <c r="AK23" s="101">
        <v>0.2</v>
      </c>
      <c r="AL23" s="85">
        <f t="shared" si="11"/>
        <v>0.2</v>
      </c>
      <c r="AM23" s="102" t="s">
        <v>669</v>
      </c>
      <c r="AN23" s="77"/>
      <c r="AO23" s="100">
        <v>1</v>
      </c>
      <c r="AP23" s="101">
        <v>0.3</v>
      </c>
      <c r="AQ23" s="85">
        <f t="shared" si="12"/>
        <v>0.3</v>
      </c>
      <c r="AR23" s="102" t="s">
        <v>680</v>
      </c>
    </row>
    <row r="24" spans="1:44" ht="153.75" customHeight="1" x14ac:dyDescent="0.25">
      <c r="A24" s="77">
        <v>21</v>
      </c>
      <c r="B24" s="78" t="s">
        <v>6</v>
      </c>
      <c r="C24" s="78" t="s">
        <v>7</v>
      </c>
      <c r="D24" s="78" t="s">
        <v>47</v>
      </c>
      <c r="E24" s="77"/>
      <c r="F24" s="79"/>
      <c r="G24" s="80"/>
      <c r="H24" s="81">
        <f t="shared" si="0"/>
        <v>0</v>
      </c>
      <c r="I24" s="82"/>
      <c r="J24" s="77" t="s">
        <v>30</v>
      </c>
      <c r="K24" s="100">
        <v>1</v>
      </c>
      <c r="L24" s="101">
        <v>0.98</v>
      </c>
      <c r="M24" s="85">
        <f t="shared" si="1"/>
        <v>0.98</v>
      </c>
      <c r="N24" s="102" t="s">
        <v>358</v>
      </c>
      <c r="O24" s="77"/>
      <c r="P24" s="100">
        <v>1</v>
      </c>
      <c r="Q24" s="101">
        <v>0.9</v>
      </c>
      <c r="R24" s="85">
        <f>P24*Q24</f>
        <v>0.9</v>
      </c>
      <c r="S24" s="102" t="s">
        <v>655</v>
      </c>
      <c r="T24" s="77"/>
      <c r="U24" s="79"/>
      <c r="V24" s="80"/>
      <c r="W24" s="81">
        <f t="shared" si="3"/>
        <v>0</v>
      </c>
      <c r="X24" s="82"/>
      <c r="Y24" s="77"/>
      <c r="Z24" s="79"/>
      <c r="AA24" s="80"/>
      <c r="AB24" s="81">
        <f t="shared" si="4"/>
        <v>0</v>
      </c>
      <c r="AC24" s="82"/>
      <c r="AD24" s="77"/>
      <c r="AE24" s="79"/>
      <c r="AF24" s="80"/>
      <c r="AG24" s="81">
        <f t="shared" si="5"/>
        <v>0</v>
      </c>
      <c r="AH24" s="82"/>
      <c r="AI24" s="77"/>
      <c r="AJ24" s="100">
        <v>1</v>
      </c>
      <c r="AK24" s="101">
        <v>0.98</v>
      </c>
      <c r="AL24" s="85">
        <f t="shared" si="8"/>
        <v>0.98</v>
      </c>
      <c r="AM24" s="102" t="s">
        <v>142</v>
      </c>
      <c r="AN24" s="77"/>
      <c r="AO24" s="100">
        <v>1</v>
      </c>
      <c r="AP24" s="101">
        <v>0.95</v>
      </c>
      <c r="AQ24" s="85">
        <f t="shared" si="12"/>
        <v>0.95</v>
      </c>
      <c r="AR24" s="102" t="s">
        <v>185</v>
      </c>
    </row>
    <row r="25" spans="1:44" s="73" customFormat="1" ht="207.75" customHeight="1" x14ac:dyDescent="0.25">
      <c r="A25" s="77">
        <v>22</v>
      </c>
      <c r="B25" s="78" t="s">
        <v>6</v>
      </c>
      <c r="C25" s="78" t="s">
        <v>8</v>
      </c>
      <c r="D25" s="78" t="s">
        <v>48</v>
      </c>
      <c r="E25" s="77"/>
      <c r="F25" s="79"/>
      <c r="G25" s="80"/>
      <c r="H25" s="81">
        <f t="shared" si="0"/>
        <v>0</v>
      </c>
      <c r="I25" s="82"/>
      <c r="J25" s="77"/>
      <c r="K25" s="100">
        <v>1</v>
      </c>
      <c r="L25" s="101">
        <v>1</v>
      </c>
      <c r="M25" s="85">
        <f t="shared" si="1"/>
        <v>1</v>
      </c>
      <c r="N25" s="102" t="s">
        <v>567</v>
      </c>
      <c r="O25" s="77"/>
      <c r="P25" s="100">
        <v>1</v>
      </c>
      <c r="Q25" s="101">
        <v>1</v>
      </c>
      <c r="R25" s="85">
        <f t="shared" ref="R25:R29" si="13">P25*Q25</f>
        <v>1</v>
      </c>
      <c r="S25" s="102" t="s">
        <v>656</v>
      </c>
      <c r="T25" s="77"/>
      <c r="U25" s="79"/>
      <c r="V25" s="80"/>
      <c r="W25" s="81">
        <f t="shared" si="3"/>
        <v>0</v>
      </c>
      <c r="X25" s="82"/>
      <c r="Y25" s="77"/>
      <c r="Z25" s="79"/>
      <c r="AA25" s="80"/>
      <c r="AB25" s="81">
        <f t="shared" si="4"/>
        <v>0</v>
      </c>
      <c r="AC25" s="82"/>
      <c r="AD25" s="77"/>
      <c r="AE25" s="79"/>
      <c r="AF25" s="80"/>
      <c r="AG25" s="81">
        <f t="shared" si="5"/>
        <v>0</v>
      </c>
      <c r="AH25" s="82"/>
      <c r="AI25" s="77"/>
      <c r="AJ25" s="100">
        <v>1</v>
      </c>
      <c r="AK25" s="101">
        <v>0.55000000000000004</v>
      </c>
      <c r="AL25" s="85">
        <f t="shared" si="8"/>
        <v>0.55000000000000004</v>
      </c>
      <c r="AM25" s="102" t="s">
        <v>670</v>
      </c>
      <c r="AN25" s="77"/>
      <c r="AO25" s="100">
        <v>1</v>
      </c>
      <c r="AP25" s="101">
        <v>0.5</v>
      </c>
      <c r="AQ25" s="85">
        <f t="shared" si="12"/>
        <v>0.5</v>
      </c>
      <c r="AR25" s="102" t="s">
        <v>681</v>
      </c>
    </row>
    <row r="26" spans="1:44" ht="126.75" customHeight="1" x14ac:dyDescent="0.25">
      <c r="A26" s="77">
        <v>23</v>
      </c>
      <c r="B26" s="78" t="s">
        <v>6</v>
      </c>
      <c r="C26" s="78" t="s">
        <v>8</v>
      </c>
      <c r="D26" s="78" t="s">
        <v>49</v>
      </c>
      <c r="E26" s="77"/>
      <c r="F26" s="79"/>
      <c r="G26" s="80"/>
      <c r="H26" s="81">
        <f t="shared" si="0"/>
        <v>0</v>
      </c>
      <c r="I26" s="82"/>
      <c r="J26" s="77"/>
      <c r="K26" s="100">
        <v>1</v>
      </c>
      <c r="L26" s="101">
        <v>1</v>
      </c>
      <c r="M26" s="85">
        <f t="shared" si="1"/>
        <v>1</v>
      </c>
      <c r="N26" s="102" t="s">
        <v>640</v>
      </c>
      <c r="O26" s="77"/>
      <c r="P26" s="100">
        <v>1</v>
      </c>
      <c r="Q26" s="101">
        <v>1</v>
      </c>
      <c r="R26" s="85">
        <f t="shared" si="13"/>
        <v>1</v>
      </c>
      <c r="S26" s="102" t="s">
        <v>657</v>
      </c>
      <c r="T26" s="77"/>
      <c r="U26" s="79"/>
      <c r="V26" s="80"/>
      <c r="W26" s="81">
        <f t="shared" si="3"/>
        <v>0</v>
      </c>
      <c r="X26" s="82"/>
      <c r="Y26" s="77"/>
      <c r="Z26" s="79"/>
      <c r="AA26" s="80"/>
      <c r="AB26" s="81">
        <f t="shared" si="4"/>
        <v>0</v>
      </c>
      <c r="AC26" s="82"/>
      <c r="AD26" s="77"/>
      <c r="AE26" s="79"/>
      <c r="AF26" s="80"/>
      <c r="AG26" s="81">
        <f t="shared" si="5"/>
        <v>0</v>
      </c>
      <c r="AH26" s="82"/>
      <c r="AI26" s="77"/>
      <c r="AJ26" s="100">
        <v>1</v>
      </c>
      <c r="AK26" s="101">
        <v>0.7</v>
      </c>
      <c r="AL26" s="85">
        <f t="shared" si="8"/>
        <v>0.7</v>
      </c>
      <c r="AM26" s="102" t="s">
        <v>671</v>
      </c>
      <c r="AN26" s="77"/>
      <c r="AO26" s="100">
        <v>1</v>
      </c>
      <c r="AP26" s="101">
        <v>0.7</v>
      </c>
      <c r="AQ26" s="85">
        <f t="shared" si="12"/>
        <v>0.7</v>
      </c>
      <c r="AR26" s="102" t="s">
        <v>682</v>
      </c>
    </row>
    <row r="27" spans="1:44" ht="102.75" customHeight="1" x14ac:dyDescent="0.25">
      <c r="A27" s="77">
        <v>24</v>
      </c>
      <c r="B27" s="78" t="s">
        <v>6</v>
      </c>
      <c r="C27" s="78" t="s">
        <v>8</v>
      </c>
      <c r="D27" s="78" t="s">
        <v>50</v>
      </c>
      <c r="E27" s="77"/>
      <c r="F27" s="79"/>
      <c r="G27" s="80"/>
      <c r="H27" s="81">
        <f t="shared" si="0"/>
        <v>0</v>
      </c>
      <c r="I27" s="82"/>
      <c r="J27" s="77"/>
      <c r="K27" s="100">
        <v>1</v>
      </c>
      <c r="L27" s="101">
        <v>0.99</v>
      </c>
      <c r="M27" s="85">
        <f t="shared" si="1"/>
        <v>0.99</v>
      </c>
      <c r="N27" s="102" t="s">
        <v>641</v>
      </c>
      <c r="O27" s="77"/>
      <c r="P27" s="100">
        <v>1</v>
      </c>
      <c r="Q27" s="101">
        <v>1</v>
      </c>
      <c r="R27" s="85">
        <f t="shared" si="13"/>
        <v>1</v>
      </c>
      <c r="S27" s="102" t="s">
        <v>279</v>
      </c>
      <c r="T27" s="77"/>
      <c r="U27" s="79"/>
      <c r="V27" s="80"/>
      <c r="W27" s="81">
        <f t="shared" si="3"/>
        <v>0</v>
      </c>
      <c r="X27" s="82"/>
      <c r="Y27" s="77"/>
      <c r="Z27" s="79"/>
      <c r="AA27" s="80"/>
      <c r="AB27" s="81">
        <f t="shared" si="4"/>
        <v>0</v>
      </c>
      <c r="AC27" s="82"/>
      <c r="AD27" s="77"/>
      <c r="AE27" s="79"/>
      <c r="AF27" s="80"/>
      <c r="AG27" s="81">
        <f t="shared" si="5"/>
        <v>0</v>
      </c>
      <c r="AH27" s="82"/>
      <c r="AI27" s="77"/>
      <c r="AJ27" s="100">
        <v>1</v>
      </c>
      <c r="AK27" s="101">
        <v>0.2</v>
      </c>
      <c r="AL27" s="85">
        <f t="shared" si="8"/>
        <v>0.2</v>
      </c>
      <c r="AM27" s="102" t="s">
        <v>603</v>
      </c>
      <c r="AN27" s="77"/>
      <c r="AO27" s="100">
        <v>1</v>
      </c>
      <c r="AP27" s="101">
        <v>0.7</v>
      </c>
      <c r="AQ27" s="85">
        <f t="shared" si="12"/>
        <v>0.7</v>
      </c>
      <c r="AR27" s="102" t="s">
        <v>683</v>
      </c>
    </row>
    <row r="28" spans="1:44" ht="384.75" customHeight="1" x14ac:dyDescent="0.25">
      <c r="A28" s="77">
        <v>25</v>
      </c>
      <c r="B28" s="78" t="s">
        <v>6</v>
      </c>
      <c r="C28" s="78" t="s">
        <v>8</v>
      </c>
      <c r="D28" s="78" t="s">
        <v>51</v>
      </c>
      <c r="E28" s="77"/>
      <c r="F28" s="79"/>
      <c r="G28" s="80"/>
      <c r="H28" s="81">
        <f t="shared" si="0"/>
        <v>0</v>
      </c>
      <c r="I28" s="82"/>
      <c r="J28" s="77"/>
      <c r="K28" s="100">
        <v>1</v>
      </c>
      <c r="L28" s="101">
        <v>0.9</v>
      </c>
      <c r="M28" s="85">
        <f t="shared" si="1"/>
        <v>0.9</v>
      </c>
      <c r="N28" s="102" t="s">
        <v>642</v>
      </c>
      <c r="O28" s="77"/>
      <c r="P28" s="100">
        <v>1</v>
      </c>
      <c r="Q28" s="101">
        <v>0.6</v>
      </c>
      <c r="R28" s="85">
        <f t="shared" si="13"/>
        <v>0.6</v>
      </c>
      <c r="S28" s="102" t="s">
        <v>658</v>
      </c>
      <c r="T28" s="77"/>
      <c r="U28" s="79"/>
      <c r="V28" s="80"/>
      <c r="W28" s="81">
        <f t="shared" si="3"/>
        <v>0</v>
      </c>
      <c r="X28" s="82"/>
      <c r="Y28" s="77"/>
      <c r="Z28" s="79"/>
      <c r="AA28" s="80"/>
      <c r="AB28" s="81">
        <f t="shared" si="4"/>
        <v>0</v>
      </c>
      <c r="AC28" s="82"/>
      <c r="AD28" s="77"/>
      <c r="AE28" s="79"/>
      <c r="AF28" s="80"/>
      <c r="AG28" s="81">
        <f t="shared" si="5"/>
        <v>0</v>
      </c>
      <c r="AH28" s="82"/>
      <c r="AI28" s="77"/>
      <c r="AJ28" s="100">
        <v>1</v>
      </c>
      <c r="AK28" s="101">
        <v>0.1</v>
      </c>
      <c r="AL28" s="85">
        <f t="shared" si="8"/>
        <v>0.1</v>
      </c>
      <c r="AM28" s="102" t="s">
        <v>604</v>
      </c>
      <c r="AN28" s="77"/>
      <c r="AO28" s="100">
        <v>1</v>
      </c>
      <c r="AP28" s="101">
        <v>0.7</v>
      </c>
      <c r="AQ28" s="85">
        <f t="shared" si="12"/>
        <v>0.7</v>
      </c>
      <c r="AR28" s="102" t="s">
        <v>684</v>
      </c>
    </row>
    <row r="29" spans="1:44" ht="141.75" customHeight="1" x14ac:dyDescent="0.25">
      <c r="A29" s="77">
        <v>26</v>
      </c>
      <c r="B29" s="78" t="s">
        <v>6</v>
      </c>
      <c r="C29" s="78" t="s">
        <v>8</v>
      </c>
      <c r="D29" s="78" t="s">
        <v>52</v>
      </c>
      <c r="E29" s="77"/>
      <c r="F29" s="79"/>
      <c r="G29" s="80"/>
      <c r="H29" s="81">
        <f t="shared" si="0"/>
        <v>0</v>
      </c>
      <c r="I29" s="82"/>
      <c r="J29" s="77"/>
      <c r="K29" s="100">
        <v>1</v>
      </c>
      <c r="L29" s="101">
        <v>1</v>
      </c>
      <c r="M29" s="85">
        <f t="shared" si="1"/>
        <v>1</v>
      </c>
      <c r="N29" s="102" t="s">
        <v>147</v>
      </c>
      <c r="O29" s="77"/>
      <c r="P29" s="100">
        <v>1</v>
      </c>
      <c r="Q29" s="101">
        <v>0.75</v>
      </c>
      <c r="R29" s="85">
        <f t="shared" si="13"/>
        <v>0.75</v>
      </c>
      <c r="S29" s="102" t="s">
        <v>659</v>
      </c>
      <c r="T29" s="77"/>
      <c r="U29" s="79"/>
      <c r="V29" s="80"/>
      <c r="W29" s="81">
        <f t="shared" si="3"/>
        <v>0</v>
      </c>
      <c r="X29" s="78"/>
      <c r="Y29" s="77"/>
      <c r="Z29" s="79"/>
      <c r="AA29" s="80"/>
      <c r="AB29" s="81">
        <f t="shared" si="4"/>
        <v>0</v>
      </c>
      <c r="AC29" s="78"/>
      <c r="AD29" s="77"/>
      <c r="AE29" s="79"/>
      <c r="AF29" s="80"/>
      <c r="AG29" s="81">
        <f t="shared" si="5"/>
        <v>0</v>
      </c>
      <c r="AH29" s="78"/>
      <c r="AI29" s="77"/>
      <c r="AJ29" s="100">
        <v>1</v>
      </c>
      <c r="AK29" s="101">
        <v>0.1</v>
      </c>
      <c r="AL29" s="85">
        <f t="shared" si="8"/>
        <v>0.1</v>
      </c>
      <c r="AM29" s="102" t="s">
        <v>605</v>
      </c>
      <c r="AN29" s="77"/>
      <c r="AO29" s="100">
        <v>1</v>
      </c>
      <c r="AP29" s="101">
        <v>0.75</v>
      </c>
      <c r="AQ29" s="85">
        <f t="shared" si="12"/>
        <v>0.75</v>
      </c>
      <c r="AR29" s="102" t="s">
        <v>685</v>
      </c>
    </row>
    <row r="30" spans="1:44" ht="330" customHeight="1" x14ac:dyDescent="0.25">
      <c r="A30" s="77">
        <v>27</v>
      </c>
      <c r="B30" s="78" t="s">
        <v>6</v>
      </c>
      <c r="C30" s="78" t="s">
        <v>8</v>
      </c>
      <c r="D30" s="78" t="s">
        <v>53</v>
      </c>
      <c r="E30" s="77"/>
      <c r="F30" s="79"/>
      <c r="G30" s="80"/>
      <c r="H30" s="81">
        <f t="shared" si="0"/>
        <v>0</v>
      </c>
      <c r="I30" s="82"/>
      <c r="J30" s="77"/>
      <c r="K30" s="100">
        <v>1</v>
      </c>
      <c r="L30" s="101">
        <v>1</v>
      </c>
      <c r="M30" s="85">
        <f t="shared" si="1"/>
        <v>1</v>
      </c>
      <c r="N30" s="102"/>
      <c r="O30" s="77"/>
      <c r="P30" s="100">
        <v>1</v>
      </c>
      <c r="Q30" s="101">
        <v>0.6</v>
      </c>
      <c r="R30" s="85">
        <f t="shared" si="2"/>
        <v>0.6</v>
      </c>
      <c r="S30" s="102" t="s">
        <v>464</v>
      </c>
      <c r="T30" s="77"/>
      <c r="U30" s="79"/>
      <c r="V30" s="80"/>
      <c r="W30" s="81">
        <f t="shared" si="3"/>
        <v>0</v>
      </c>
      <c r="X30" s="82"/>
      <c r="Y30" s="77"/>
      <c r="Z30" s="79"/>
      <c r="AA30" s="80"/>
      <c r="AB30" s="81">
        <f t="shared" si="4"/>
        <v>0</v>
      </c>
      <c r="AC30" s="82"/>
      <c r="AD30" s="77"/>
      <c r="AE30" s="79"/>
      <c r="AF30" s="80"/>
      <c r="AG30" s="81">
        <f t="shared" si="5"/>
        <v>0</v>
      </c>
      <c r="AH30" s="82"/>
      <c r="AI30" s="77"/>
      <c r="AJ30" s="100">
        <v>1</v>
      </c>
      <c r="AK30" s="101">
        <v>0.85</v>
      </c>
      <c r="AL30" s="85">
        <f t="shared" si="8"/>
        <v>0.85</v>
      </c>
      <c r="AM30" s="102" t="s">
        <v>606</v>
      </c>
      <c r="AN30" s="77"/>
      <c r="AO30" s="100">
        <v>1</v>
      </c>
      <c r="AP30" s="101">
        <v>1</v>
      </c>
      <c r="AQ30" s="85">
        <f t="shared" si="7"/>
        <v>1</v>
      </c>
      <c r="AR30" s="102"/>
    </row>
    <row r="31" spans="1:44" ht="152.25" customHeight="1" x14ac:dyDescent="0.25">
      <c r="A31" s="77">
        <v>28</v>
      </c>
      <c r="B31" s="78" t="s">
        <v>6</v>
      </c>
      <c r="C31" s="78" t="s">
        <v>8</v>
      </c>
      <c r="D31" s="78" t="s">
        <v>54</v>
      </c>
      <c r="E31" s="77"/>
      <c r="F31" s="79"/>
      <c r="G31" s="80"/>
      <c r="H31" s="81">
        <f t="shared" si="0"/>
        <v>0</v>
      </c>
      <c r="I31" s="82"/>
      <c r="J31" s="77"/>
      <c r="K31" s="100">
        <v>1</v>
      </c>
      <c r="L31" s="101">
        <v>1</v>
      </c>
      <c r="M31" s="85">
        <f t="shared" si="1"/>
        <v>1</v>
      </c>
      <c r="N31" s="102" t="s">
        <v>643</v>
      </c>
      <c r="O31" s="77"/>
      <c r="P31" s="100">
        <v>1</v>
      </c>
      <c r="Q31" s="101">
        <v>1</v>
      </c>
      <c r="R31" s="85">
        <f t="shared" si="2"/>
        <v>1</v>
      </c>
      <c r="S31" s="102" t="s">
        <v>660</v>
      </c>
      <c r="T31" s="77"/>
      <c r="U31" s="79"/>
      <c r="V31" s="80"/>
      <c r="W31" s="81">
        <f t="shared" si="3"/>
        <v>0</v>
      </c>
      <c r="X31" s="82"/>
      <c r="Y31" s="77"/>
      <c r="Z31" s="79"/>
      <c r="AA31" s="80"/>
      <c r="AB31" s="81">
        <f t="shared" si="4"/>
        <v>0</v>
      </c>
      <c r="AC31" s="82"/>
      <c r="AD31" s="77"/>
      <c r="AE31" s="79"/>
      <c r="AF31" s="80"/>
      <c r="AG31" s="81">
        <f t="shared" si="5"/>
        <v>0</v>
      </c>
      <c r="AH31" s="82"/>
      <c r="AI31" s="77"/>
      <c r="AJ31" s="100">
        <v>1</v>
      </c>
      <c r="AK31" s="101">
        <v>1</v>
      </c>
      <c r="AL31" s="85">
        <f t="shared" si="8"/>
        <v>1</v>
      </c>
      <c r="AM31" s="102" t="s">
        <v>672</v>
      </c>
      <c r="AN31" s="77"/>
      <c r="AO31" s="100">
        <v>1</v>
      </c>
      <c r="AP31" s="101">
        <v>1</v>
      </c>
      <c r="AQ31" s="85">
        <f t="shared" si="7"/>
        <v>1</v>
      </c>
      <c r="AR31" s="102" t="s">
        <v>686</v>
      </c>
    </row>
    <row r="32" spans="1:44" ht="157.5" customHeight="1" x14ac:dyDescent="0.25">
      <c r="A32" s="77">
        <v>29</v>
      </c>
      <c r="B32" s="78" t="s">
        <v>6</v>
      </c>
      <c r="C32" s="78" t="s">
        <v>8</v>
      </c>
      <c r="D32" s="78" t="s">
        <v>55</v>
      </c>
      <c r="E32" s="77"/>
      <c r="F32" s="79"/>
      <c r="G32" s="80"/>
      <c r="H32" s="81">
        <f t="shared" si="0"/>
        <v>0</v>
      </c>
      <c r="I32" s="82"/>
      <c r="J32" s="77"/>
      <c r="K32" s="100">
        <v>1</v>
      </c>
      <c r="L32" s="101">
        <v>1</v>
      </c>
      <c r="M32" s="85">
        <f t="shared" si="1"/>
        <v>1</v>
      </c>
      <c r="N32" s="102" t="s">
        <v>406</v>
      </c>
      <c r="O32" s="77"/>
      <c r="P32" s="100">
        <v>1</v>
      </c>
      <c r="Q32" s="101">
        <v>1</v>
      </c>
      <c r="R32" s="85">
        <f t="shared" si="2"/>
        <v>1</v>
      </c>
      <c r="S32" s="102" t="s">
        <v>661</v>
      </c>
      <c r="T32" s="77"/>
      <c r="U32" s="79"/>
      <c r="V32" s="80"/>
      <c r="W32" s="81">
        <f t="shared" si="3"/>
        <v>0</v>
      </c>
      <c r="X32" s="82"/>
      <c r="Y32" s="77"/>
      <c r="Z32" s="79"/>
      <c r="AA32" s="80"/>
      <c r="AB32" s="81">
        <f t="shared" si="4"/>
        <v>0</v>
      </c>
      <c r="AC32" s="82"/>
      <c r="AD32" s="77"/>
      <c r="AE32" s="79"/>
      <c r="AF32" s="80"/>
      <c r="AG32" s="81">
        <f t="shared" si="5"/>
        <v>0</v>
      </c>
      <c r="AH32" s="82"/>
      <c r="AI32" s="77"/>
      <c r="AJ32" s="100">
        <v>1</v>
      </c>
      <c r="AK32" s="101">
        <v>1</v>
      </c>
      <c r="AL32" s="85">
        <f t="shared" si="8"/>
        <v>1</v>
      </c>
      <c r="AM32" s="102" t="s">
        <v>673</v>
      </c>
      <c r="AN32" s="77"/>
      <c r="AO32" s="100">
        <v>1</v>
      </c>
      <c r="AP32" s="101">
        <v>1</v>
      </c>
      <c r="AQ32" s="85">
        <f t="shared" si="7"/>
        <v>1</v>
      </c>
      <c r="AR32" s="102" t="s">
        <v>437</v>
      </c>
    </row>
    <row r="33" spans="1:44" ht="94.5" x14ac:dyDescent="0.25">
      <c r="A33" s="77">
        <v>30</v>
      </c>
      <c r="B33" s="78" t="s">
        <v>6</v>
      </c>
      <c r="C33" s="78" t="s">
        <v>8</v>
      </c>
      <c r="D33" s="78" t="s">
        <v>56</v>
      </c>
      <c r="E33" s="77"/>
      <c r="F33" s="79"/>
      <c r="G33" s="80"/>
      <c r="H33" s="81">
        <f t="shared" si="0"/>
        <v>0</v>
      </c>
      <c r="I33" s="82"/>
      <c r="J33" s="77"/>
      <c r="K33" s="100">
        <v>1</v>
      </c>
      <c r="L33" s="101">
        <v>0.85</v>
      </c>
      <c r="M33" s="85">
        <f t="shared" si="1"/>
        <v>0.85</v>
      </c>
      <c r="N33" s="102" t="s">
        <v>644</v>
      </c>
      <c r="O33" s="77"/>
      <c r="P33" s="100">
        <v>1</v>
      </c>
      <c r="Q33" s="101">
        <v>0.5</v>
      </c>
      <c r="R33" s="85">
        <f t="shared" si="2"/>
        <v>0.5</v>
      </c>
      <c r="S33" s="102" t="s">
        <v>465</v>
      </c>
      <c r="T33" s="77"/>
      <c r="U33" s="79"/>
      <c r="V33" s="80"/>
      <c r="W33" s="81">
        <f t="shared" si="3"/>
        <v>0</v>
      </c>
      <c r="X33" s="82"/>
      <c r="Y33" s="77"/>
      <c r="Z33" s="79"/>
      <c r="AA33" s="80"/>
      <c r="AB33" s="81">
        <f t="shared" si="4"/>
        <v>0</v>
      </c>
      <c r="AC33" s="82"/>
      <c r="AD33" s="77"/>
      <c r="AE33" s="79"/>
      <c r="AF33" s="80"/>
      <c r="AG33" s="81">
        <f t="shared" si="5"/>
        <v>0</v>
      </c>
      <c r="AH33" s="82"/>
      <c r="AI33" s="77"/>
      <c r="AJ33" s="100">
        <v>1</v>
      </c>
      <c r="AK33" s="101">
        <v>0.3</v>
      </c>
      <c r="AL33" s="85">
        <f t="shared" si="8"/>
        <v>0.3</v>
      </c>
      <c r="AM33" s="102" t="s">
        <v>609</v>
      </c>
      <c r="AN33" s="77"/>
      <c r="AO33" s="100">
        <v>1</v>
      </c>
      <c r="AP33" s="101">
        <v>0.5</v>
      </c>
      <c r="AQ33" s="85">
        <f t="shared" si="7"/>
        <v>0.5</v>
      </c>
      <c r="AR33" s="102" t="s">
        <v>687</v>
      </c>
    </row>
    <row r="34" spans="1:44" ht="195.75" customHeight="1" x14ac:dyDescent="0.25">
      <c r="A34" s="77">
        <v>31</v>
      </c>
      <c r="B34" s="78" t="s">
        <v>6</v>
      </c>
      <c r="C34" s="78" t="s">
        <v>9</v>
      </c>
      <c r="D34" s="102" t="s">
        <v>57</v>
      </c>
      <c r="E34" s="77"/>
      <c r="F34" s="79"/>
      <c r="G34" s="80"/>
      <c r="H34" s="81">
        <f t="shared" si="0"/>
        <v>0</v>
      </c>
      <c r="I34" s="82"/>
      <c r="J34" s="77"/>
      <c r="K34" s="100">
        <v>1</v>
      </c>
      <c r="L34" s="101">
        <v>0.62</v>
      </c>
      <c r="M34" s="85">
        <f t="shared" si="1"/>
        <v>0.62</v>
      </c>
      <c r="N34" s="102" t="s">
        <v>645</v>
      </c>
      <c r="O34" s="77"/>
      <c r="P34" s="100">
        <v>1</v>
      </c>
      <c r="Q34" s="101">
        <v>0.3</v>
      </c>
      <c r="R34" s="85">
        <f t="shared" si="2"/>
        <v>0.3</v>
      </c>
      <c r="S34" s="102" t="s">
        <v>173</v>
      </c>
      <c r="T34" s="77"/>
      <c r="U34" s="79"/>
      <c r="V34" s="80"/>
      <c r="W34" s="81">
        <f t="shared" si="3"/>
        <v>0</v>
      </c>
      <c r="X34" s="82"/>
      <c r="Y34" s="77"/>
      <c r="Z34" s="79"/>
      <c r="AA34" s="80"/>
      <c r="AB34" s="81">
        <f t="shared" si="4"/>
        <v>0</v>
      </c>
      <c r="AC34" s="82"/>
      <c r="AD34" s="77"/>
      <c r="AE34" s="79"/>
      <c r="AF34" s="80"/>
      <c r="AG34" s="81">
        <f t="shared" si="5"/>
        <v>0</v>
      </c>
      <c r="AH34" s="82"/>
      <c r="AI34" s="77"/>
      <c r="AJ34" s="100">
        <v>1</v>
      </c>
      <c r="AK34" s="101">
        <v>0.3</v>
      </c>
      <c r="AL34" s="85">
        <f t="shared" si="8"/>
        <v>0.3</v>
      </c>
      <c r="AM34" s="102" t="s">
        <v>610</v>
      </c>
      <c r="AN34" s="77"/>
      <c r="AO34" s="100">
        <v>1</v>
      </c>
      <c r="AP34" s="101">
        <v>0.5</v>
      </c>
      <c r="AQ34" s="85">
        <f t="shared" si="7"/>
        <v>0.5</v>
      </c>
      <c r="AR34" s="102" t="s">
        <v>688</v>
      </c>
    </row>
    <row r="35" spans="1:44" ht="216" customHeight="1" x14ac:dyDescent="0.25">
      <c r="A35" s="77">
        <v>32</v>
      </c>
      <c r="B35" s="78" t="s">
        <v>6</v>
      </c>
      <c r="C35" s="78" t="s">
        <v>9</v>
      </c>
      <c r="D35" s="102" t="s">
        <v>58</v>
      </c>
      <c r="E35" s="77"/>
      <c r="F35" s="79"/>
      <c r="G35" s="80"/>
      <c r="H35" s="81">
        <f t="shared" si="0"/>
        <v>0</v>
      </c>
      <c r="I35" s="78"/>
      <c r="J35" s="77"/>
      <c r="K35" s="100">
        <v>1</v>
      </c>
      <c r="L35" s="101">
        <v>0.9</v>
      </c>
      <c r="M35" s="85">
        <f t="shared" si="1"/>
        <v>0.9</v>
      </c>
      <c r="N35" s="102" t="s">
        <v>152</v>
      </c>
      <c r="O35" s="77"/>
      <c r="P35" s="100">
        <v>1</v>
      </c>
      <c r="Q35" s="101">
        <v>0.7</v>
      </c>
      <c r="R35" s="85">
        <f t="shared" si="2"/>
        <v>0.7</v>
      </c>
      <c r="S35" s="102" t="s">
        <v>332</v>
      </c>
      <c r="T35" s="77"/>
      <c r="U35" s="79"/>
      <c r="V35" s="80"/>
      <c r="W35" s="81">
        <f t="shared" si="3"/>
        <v>0</v>
      </c>
      <c r="X35" s="82"/>
      <c r="Y35" s="77"/>
      <c r="Z35" s="79"/>
      <c r="AA35" s="80"/>
      <c r="AB35" s="81">
        <f t="shared" si="4"/>
        <v>0</v>
      </c>
      <c r="AC35" s="82"/>
      <c r="AD35" s="77"/>
      <c r="AE35" s="79"/>
      <c r="AF35" s="80"/>
      <c r="AG35" s="81">
        <f t="shared" si="5"/>
        <v>0</v>
      </c>
      <c r="AH35" s="82"/>
      <c r="AI35" s="77"/>
      <c r="AJ35" s="100">
        <v>1</v>
      </c>
      <c r="AK35" s="101">
        <v>0.1</v>
      </c>
      <c r="AL35" s="85">
        <f t="shared" si="8"/>
        <v>0.1</v>
      </c>
      <c r="AM35" s="102" t="s">
        <v>611</v>
      </c>
      <c r="AN35" s="77"/>
      <c r="AO35" s="100">
        <v>1</v>
      </c>
      <c r="AP35" s="101">
        <v>0.5</v>
      </c>
      <c r="AQ35" s="85">
        <f t="shared" si="7"/>
        <v>0.5</v>
      </c>
      <c r="AR35" s="102" t="s">
        <v>348</v>
      </c>
    </row>
    <row r="36" spans="1:44" ht="190.5" customHeight="1" x14ac:dyDescent="0.25">
      <c r="A36" s="77">
        <v>33</v>
      </c>
      <c r="B36" s="78" t="s">
        <v>6</v>
      </c>
      <c r="C36" s="78" t="s">
        <v>9</v>
      </c>
      <c r="D36" s="78" t="s">
        <v>59</v>
      </c>
      <c r="E36" s="77"/>
      <c r="F36" s="79"/>
      <c r="G36" s="80"/>
      <c r="H36" s="81">
        <f t="shared" si="0"/>
        <v>0</v>
      </c>
      <c r="I36" s="82"/>
      <c r="J36" s="77"/>
      <c r="K36" s="100">
        <v>1</v>
      </c>
      <c r="L36" s="101">
        <v>1</v>
      </c>
      <c r="M36" s="85">
        <f t="shared" si="1"/>
        <v>1</v>
      </c>
      <c r="N36" s="102"/>
      <c r="O36" s="77"/>
      <c r="P36" s="100">
        <v>1</v>
      </c>
      <c r="Q36" s="101">
        <v>0.5</v>
      </c>
      <c r="R36" s="85">
        <f t="shared" si="2"/>
        <v>0.5</v>
      </c>
      <c r="S36" s="102" t="s">
        <v>662</v>
      </c>
      <c r="T36" s="77"/>
      <c r="U36" s="79"/>
      <c r="V36" s="80"/>
      <c r="W36" s="81">
        <f t="shared" si="3"/>
        <v>0</v>
      </c>
      <c r="X36" s="82"/>
      <c r="Y36" s="77"/>
      <c r="Z36" s="79"/>
      <c r="AA36" s="80"/>
      <c r="AB36" s="81">
        <f t="shared" si="4"/>
        <v>0</v>
      </c>
      <c r="AC36" s="82"/>
      <c r="AD36" s="77"/>
      <c r="AE36" s="79"/>
      <c r="AF36" s="80"/>
      <c r="AG36" s="81">
        <f t="shared" si="5"/>
        <v>0</v>
      </c>
      <c r="AH36" s="82"/>
      <c r="AI36" s="77"/>
      <c r="AJ36" s="100">
        <v>1</v>
      </c>
      <c r="AK36" s="101">
        <v>0.5</v>
      </c>
      <c r="AL36" s="85">
        <f t="shared" si="8"/>
        <v>0.5</v>
      </c>
      <c r="AM36" s="102" t="s">
        <v>612</v>
      </c>
      <c r="AN36" s="77"/>
      <c r="AO36" s="100">
        <v>1</v>
      </c>
      <c r="AP36" s="101">
        <v>0.8</v>
      </c>
      <c r="AQ36" s="85">
        <f t="shared" si="7"/>
        <v>0.8</v>
      </c>
      <c r="AR36" s="102" t="s">
        <v>689</v>
      </c>
    </row>
    <row r="37" spans="1:44" ht="159" customHeight="1" x14ac:dyDescent="0.25">
      <c r="A37" s="77">
        <v>34</v>
      </c>
      <c r="B37" s="78" t="s">
        <v>6</v>
      </c>
      <c r="C37" s="78" t="s">
        <v>9</v>
      </c>
      <c r="D37" s="78" t="s">
        <v>60</v>
      </c>
      <c r="E37" s="77"/>
      <c r="F37" s="79"/>
      <c r="G37" s="80"/>
      <c r="H37" s="81">
        <f t="shared" si="0"/>
        <v>0</v>
      </c>
      <c r="I37" s="82"/>
      <c r="J37" s="77"/>
      <c r="K37" s="100">
        <v>1</v>
      </c>
      <c r="L37" s="101">
        <v>1</v>
      </c>
      <c r="M37" s="85">
        <f t="shared" si="1"/>
        <v>1</v>
      </c>
      <c r="N37" s="102" t="s">
        <v>646</v>
      </c>
      <c r="O37" s="77"/>
      <c r="P37" s="100">
        <v>1</v>
      </c>
      <c r="Q37" s="101">
        <v>1</v>
      </c>
      <c r="R37" s="85">
        <f t="shared" si="2"/>
        <v>1</v>
      </c>
      <c r="S37" s="102" t="s">
        <v>176</v>
      </c>
      <c r="T37" s="77"/>
      <c r="U37" s="79"/>
      <c r="V37" s="80"/>
      <c r="W37" s="81">
        <f t="shared" si="3"/>
        <v>0</v>
      </c>
      <c r="X37" s="82"/>
      <c r="Y37" s="77"/>
      <c r="Z37" s="79"/>
      <c r="AA37" s="80"/>
      <c r="AB37" s="81">
        <f t="shared" si="4"/>
        <v>0</v>
      </c>
      <c r="AC37" s="82"/>
      <c r="AD37" s="77"/>
      <c r="AE37" s="79"/>
      <c r="AF37" s="80"/>
      <c r="AG37" s="81">
        <f t="shared" si="5"/>
        <v>0</v>
      </c>
      <c r="AH37" s="82"/>
      <c r="AI37" s="77"/>
      <c r="AJ37" s="100">
        <v>1</v>
      </c>
      <c r="AK37" s="101">
        <v>1</v>
      </c>
      <c r="AL37" s="85">
        <f t="shared" si="8"/>
        <v>1</v>
      </c>
      <c r="AM37" s="102" t="s">
        <v>613</v>
      </c>
      <c r="AN37" s="77"/>
      <c r="AO37" s="100">
        <v>0</v>
      </c>
      <c r="AP37" s="101"/>
      <c r="AQ37" s="85">
        <f t="shared" si="7"/>
        <v>0</v>
      </c>
      <c r="AR37" s="102" t="s">
        <v>297</v>
      </c>
    </row>
    <row r="38" spans="1:44" ht="279" customHeight="1" x14ac:dyDescent="0.25">
      <c r="A38" s="77">
        <v>35</v>
      </c>
      <c r="B38" s="78" t="s">
        <v>6</v>
      </c>
      <c r="C38" s="78" t="s">
        <v>9</v>
      </c>
      <c r="D38" s="78" t="s">
        <v>61</v>
      </c>
      <c r="E38" s="77"/>
      <c r="F38" s="79"/>
      <c r="G38" s="80"/>
      <c r="H38" s="81">
        <f t="shared" si="0"/>
        <v>0</v>
      </c>
      <c r="I38" s="82"/>
      <c r="J38" s="77"/>
      <c r="K38" s="100">
        <v>1</v>
      </c>
      <c r="L38" s="101">
        <v>0.9</v>
      </c>
      <c r="M38" s="85">
        <f t="shared" si="1"/>
        <v>0.9</v>
      </c>
      <c r="N38" s="102" t="s">
        <v>647</v>
      </c>
      <c r="O38" s="77"/>
      <c r="P38" s="100">
        <v>1</v>
      </c>
      <c r="Q38" s="101">
        <v>0.98</v>
      </c>
      <c r="R38" s="85">
        <f t="shared" si="2"/>
        <v>0.98</v>
      </c>
      <c r="S38" s="102" t="s">
        <v>234</v>
      </c>
      <c r="T38" s="77"/>
      <c r="U38" s="79"/>
      <c r="V38" s="80"/>
      <c r="W38" s="81">
        <f t="shared" si="3"/>
        <v>0</v>
      </c>
      <c r="X38" s="82"/>
      <c r="Y38" s="77"/>
      <c r="Z38" s="79"/>
      <c r="AA38" s="80"/>
      <c r="AB38" s="81">
        <f t="shared" si="4"/>
        <v>0</v>
      </c>
      <c r="AC38" s="82"/>
      <c r="AD38" s="77"/>
      <c r="AE38" s="79"/>
      <c r="AF38" s="80"/>
      <c r="AG38" s="81">
        <f t="shared" si="5"/>
        <v>0</v>
      </c>
      <c r="AH38" s="82"/>
      <c r="AI38" s="77"/>
      <c r="AJ38" s="100">
        <v>1</v>
      </c>
      <c r="AK38" s="101">
        <v>0.1</v>
      </c>
      <c r="AL38" s="85">
        <f t="shared" si="8"/>
        <v>0.1</v>
      </c>
      <c r="AM38" s="102" t="s">
        <v>674</v>
      </c>
      <c r="AN38" s="77"/>
      <c r="AO38" s="100">
        <v>1</v>
      </c>
      <c r="AP38" s="101">
        <v>0.65</v>
      </c>
      <c r="AQ38" s="85">
        <f t="shared" si="7"/>
        <v>0.65</v>
      </c>
      <c r="AR38" s="102" t="s">
        <v>690</v>
      </c>
    </row>
    <row r="39" spans="1:44" ht="365.25" customHeight="1" x14ac:dyDescent="0.25">
      <c r="A39" s="77">
        <v>36</v>
      </c>
      <c r="B39" s="78" t="s">
        <v>6</v>
      </c>
      <c r="C39" s="78" t="s">
        <v>9</v>
      </c>
      <c r="D39" s="78" t="s">
        <v>62</v>
      </c>
      <c r="E39" s="77"/>
      <c r="F39" s="79"/>
      <c r="G39" s="80"/>
      <c r="H39" s="81">
        <f t="shared" si="0"/>
        <v>0</v>
      </c>
      <c r="I39" s="82"/>
      <c r="J39" s="77"/>
      <c r="K39" s="100">
        <v>1</v>
      </c>
      <c r="L39" s="101">
        <v>0.9</v>
      </c>
      <c r="M39" s="85">
        <f t="shared" si="1"/>
        <v>0.9</v>
      </c>
      <c r="N39" s="102" t="s">
        <v>578</v>
      </c>
      <c r="O39" s="77"/>
      <c r="P39" s="100">
        <v>1</v>
      </c>
      <c r="Q39" s="101">
        <v>0.96</v>
      </c>
      <c r="R39" s="85">
        <f t="shared" si="2"/>
        <v>0.96</v>
      </c>
      <c r="S39" s="102" t="s">
        <v>177</v>
      </c>
      <c r="T39" s="77"/>
      <c r="U39" s="79"/>
      <c r="V39" s="80"/>
      <c r="W39" s="81">
        <f t="shared" si="3"/>
        <v>0</v>
      </c>
      <c r="X39" s="82"/>
      <c r="Y39" s="77"/>
      <c r="Z39" s="79"/>
      <c r="AA39" s="80"/>
      <c r="AB39" s="81">
        <f t="shared" si="4"/>
        <v>0</v>
      </c>
      <c r="AC39" s="82"/>
      <c r="AD39" s="77"/>
      <c r="AE39" s="79"/>
      <c r="AF39" s="80"/>
      <c r="AG39" s="81">
        <f t="shared" si="5"/>
        <v>0</v>
      </c>
      <c r="AH39" s="82"/>
      <c r="AI39" s="77"/>
      <c r="AJ39" s="100">
        <v>1</v>
      </c>
      <c r="AK39" s="101">
        <v>0.4</v>
      </c>
      <c r="AL39" s="85">
        <f t="shared" si="8"/>
        <v>0.4</v>
      </c>
      <c r="AM39" s="102" t="s">
        <v>675</v>
      </c>
      <c r="AN39" s="77"/>
      <c r="AO39" s="100">
        <v>1</v>
      </c>
      <c r="AP39" s="101">
        <v>0.6</v>
      </c>
      <c r="AQ39" s="85">
        <f t="shared" si="7"/>
        <v>0.6</v>
      </c>
      <c r="AR39" s="102" t="s">
        <v>632</v>
      </c>
    </row>
    <row r="40" spans="1:44" ht="94.5" x14ac:dyDescent="0.25">
      <c r="A40" s="77">
        <v>37</v>
      </c>
      <c r="B40" s="78" t="s">
        <v>6</v>
      </c>
      <c r="C40" s="78" t="s">
        <v>9</v>
      </c>
      <c r="D40" s="78" t="s">
        <v>63</v>
      </c>
      <c r="E40" s="77"/>
      <c r="F40" s="79"/>
      <c r="G40" s="80"/>
      <c r="H40" s="81">
        <f t="shared" si="0"/>
        <v>0</v>
      </c>
      <c r="I40" s="82"/>
      <c r="J40" s="77"/>
      <c r="K40" s="100">
        <v>1</v>
      </c>
      <c r="L40" s="101">
        <v>0.65</v>
      </c>
      <c r="M40" s="85">
        <f t="shared" si="1"/>
        <v>0.65</v>
      </c>
      <c r="N40" s="102" t="s">
        <v>648</v>
      </c>
      <c r="O40" s="77"/>
      <c r="P40" s="100">
        <v>1</v>
      </c>
      <c r="Q40" s="101">
        <v>0.98</v>
      </c>
      <c r="R40" s="85">
        <f t="shared" si="2"/>
        <v>0.98</v>
      </c>
      <c r="S40" s="102" t="s">
        <v>663</v>
      </c>
      <c r="T40" s="77"/>
      <c r="U40" s="79"/>
      <c r="V40" s="80"/>
      <c r="W40" s="81">
        <f t="shared" si="3"/>
        <v>0</v>
      </c>
      <c r="X40" s="82"/>
      <c r="Y40" s="77"/>
      <c r="Z40" s="79"/>
      <c r="AA40" s="80"/>
      <c r="AB40" s="81">
        <f t="shared" si="4"/>
        <v>0</v>
      </c>
      <c r="AC40" s="82"/>
      <c r="AD40" s="77"/>
      <c r="AE40" s="79"/>
      <c r="AF40" s="80"/>
      <c r="AG40" s="81">
        <f t="shared" si="5"/>
        <v>0</v>
      </c>
      <c r="AH40" s="82"/>
      <c r="AI40" s="77"/>
      <c r="AJ40" s="100">
        <v>1</v>
      </c>
      <c r="AK40" s="101">
        <v>0.99</v>
      </c>
      <c r="AL40" s="85">
        <f t="shared" si="8"/>
        <v>0.99</v>
      </c>
      <c r="AM40" s="102" t="s">
        <v>616</v>
      </c>
      <c r="AN40" s="77"/>
      <c r="AO40" s="100">
        <v>1</v>
      </c>
      <c r="AP40" s="101">
        <v>0.6</v>
      </c>
      <c r="AQ40" s="85">
        <f t="shared" si="7"/>
        <v>0.6</v>
      </c>
      <c r="AR40" s="102" t="s">
        <v>199</v>
      </c>
    </row>
    <row r="41" spans="1:44" ht="222.75" customHeight="1" x14ac:dyDescent="0.25">
      <c r="A41" s="77">
        <v>38</v>
      </c>
      <c r="B41" s="78" t="s">
        <v>10</v>
      </c>
      <c r="C41" s="78" t="s">
        <v>11</v>
      </c>
      <c r="D41" s="78" t="s">
        <v>65</v>
      </c>
      <c r="E41" s="77"/>
      <c r="F41" s="79"/>
      <c r="G41" s="80"/>
      <c r="H41" s="81">
        <f t="shared" si="0"/>
        <v>0</v>
      </c>
      <c r="I41" s="82"/>
      <c r="J41" s="77"/>
      <c r="K41" s="100">
        <v>1</v>
      </c>
      <c r="L41" s="101">
        <v>0.9</v>
      </c>
      <c r="M41" s="85">
        <f t="shared" si="1"/>
        <v>0.9</v>
      </c>
      <c r="N41" s="78" t="s">
        <v>1429</v>
      </c>
      <c r="O41" s="77"/>
      <c r="P41" s="100">
        <v>1</v>
      </c>
      <c r="Q41" s="101">
        <v>0.8</v>
      </c>
      <c r="R41" s="85">
        <f t="shared" si="2"/>
        <v>0.8</v>
      </c>
      <c r="S41" s="78" t="s">
        <v>1430</v>
      </c>
      <c r="T41" s="77"/>
      <c r="U41" s="79"/>
      <c r="V41" s="80"/>
      <c r="W41" s="81">
        <f t="shared" si="3"/>
        <v>0</v>
      </c>
      <c r="X41" s="82"/>
      <c r="Y41" s="77"/>
      <c r="Z41" s="79"/>
      <c r="AA41" s="80"/>
      <c r="AB41" s="81">
        <f t="shared" si="4"/>
        <v>0</v>
      </c>
      <c r="AC41" s="82"/>
      <c r="AD41" s="77"/>
      <c r="AE41" s="79"/>
      <c r="AF41" s="80"/>
      <c r="AG41" s="81">
        <f t="shared" si="5"/>
        <v>0</v>
      </c>
      <c r="AH41" s="82"/>
      <c r="AI41" s="77"/>
      <c r="AJ41" s="100">
        <v>1</v>
      </c>
      <c r="AK41" s="101">
        <v>0.65</v>
      </c>
      <c r="AL41" s="85">
        <f t="shared" si="8"/>
        <v>0.65</v>
      </c>
      <c r="AM41" s="78" t="s">
        <v>1431</v>
      </c>
      <c r="AN41" s="77"/>
      <c r="AO41" s="100">
        <v>1</v>
      </c>
      <c r="AP41" s="101">
        <v>0.9</v>
      </c>
      <c r="AQ41" s="85">
        <f t="shared" si="7"/>
        <v>0.9</v>
      </c>
      <c r="AR41" s="78" t="s">
        <v>1432</v>
      </c>
    </row>
    <row r="42" spans="1:44" ht="105.75" customHeight="1" x14ac:dyDescent="0.25">
      <c r="A42" s="77">
        <v>39</v>
      </c>
      <c r="B42" s="78" t="s">
        <v>10</v>
      </c>
      <c r="C42" s="78" t="s">
        <v>11</v>
      </c>
      <c r="D42" s="78" t="s">
        <v>66</v>
      </c>
      <c r="E42" s="77"/>
      <c r="F42" s="79"/>
      <c r="G42" s="80"/>
      <c r="H42" s="81">
        <f t="shared" si="0"/>
        <v>0</v>
      </c>
      <c r="I42" s="82"/>
      <c r="J42" s="77"/>
      <c r="K42" s="100">
        <v>1</v>
      </c>
      <c r="L42" s="101">
        <v>1</v>
      </c>
      <c r="M42" s="85">
        <f t="shared" si="1"/>
        <v>1</v>
      </c>
      <c r="N42" s="78" t="s">
        <v>1073</v>
      </c>
      <c r="O42" s="77"/>
      <c r="P42" s="100">
        <v>1</v>
      </c>
      <c r="Q42" s="101">
        <v>1</v>
      </c>
      <c r="R42" s="85">
        <f t="shared" si="2"/>
        <v>1</v>
      </c>
      <c r="S42" s="78" t="s">
        <v>1064</v>
      </c>
      <c r="T42" s="77"/>
      <c r="U42" s="79"/>
      <c r="V42" s="80"/>
      <c r="W42" s="81">
        <f t="shared" si="3"/>
        <v>0</v>
      </c>
      <c r="X42" s="82"/>
      <c r="Y42" s="77"/>
      <c r="Z42" s="79"/>
      <c r="AA42" s="80"/>
      <c r="AB42" s="81">
        <f t="shared" si="4"/>
        <v>0</v>
      </c>
      <c r="AC42" s="82"/>
      <c r="AD42" s="77"/>
      <c r="AE42" s="79"/>
      <c r="AF42" s="80"/>
      <c r="AG42" s="81">
        <f t="shared" si="5"/>
        <v>0</v>
      </c>
      <c r="AH42" s="82"/>
      <c r="AI42" s="77"/>
      <c r="AJ42" s="100">
        <v>1</v>
      </c>
      <c r="AK42" s="101">
        <v>1</v>
      </c>
      <c r="AL42" s="85">
        <f t="shared" si="8"/>
        <v>1</v>
      </c>
      <c r="AM42" s="78" t="s">
        <v>1071</v>
      </c>
      <c r="AN42" s="77"/>
      <c r="AO42" s="100">
        <v>1</v>
      </c>
      <c r="AP42" s="101">
        <v>1</v>
      </c>
      <c r="AQ42" s="85">
        <f t="shared" si="7"/>
        <v>1</v>
      </c>
      <c r="AR42" s="78" t="s">
        <v>1066</v>
      </c>
    </row>
    <row r="43" spans="1:44" ht="109.5" customHeight="1" x14ac:dyDescent="0.25">
      <c r="A43" s="77">
        <v>40</v>
      </c>
      <c r="B43" s="78" t="s">
        <v>10</v>
      </c>
      <c r="C43" s="78" t="s">
        <v>11</v>
      </c>
      <c r="D43" s="78" t="s">
        <v>67</v>
      </c>
      <c r="E43" s="77"/>
      <c r="F43" s="79"/>
      <c r="G43" s="80"/>
      <c r="H43" s="81">
        <f t="shared" si="0"/>
        <v>0</v>
      </c>
      <c r="I43" s="82"/>
      <c r="J43" s="77"/>
      <c r="K43" s="100">
        <v>1</v>
      </c>
      <c r="L43" s="101">
        <v>0.8</v>
      </c>
      <c r="M43" s="85">
        <f t="shared" si="1"/>
        <v>0.8</v>
      </c>
      <c r="N43" s="78" t="s">
        <v>1433</v>
      </c>
      <c r="O43" s="77"/>
      <c r="P43" s="100">
        <v>1</v>
      </c>
      <c r="Q43" s="101">
        <v>0.9</v>
      </c>
      <c r="R43" s="85">
        <f t="shared" si="2"/>
        <v>0.9</v>
      </c>
      <c r="S43" s="78" t="s">
        <v>1434</v>
      </c>
      <c r="T43" s="77"/>
      <c r="U43" s="79"/>
      <c r="V43" s="80"/>
      <c r="W43" s="81">
        <f t="shared" si="3"/>
        <v>0</v>
      </c>
      <c r="X43" s="82"/>
      <c r="Y43" s="77"/>
      <c r="Z43" s="79"/>
      <c r="AA43" s="80"/>
      <c r="AB43" s="81">
        <f t="shared" si="4"/>
        <v>0</v>
      </c>
      <c r="AC43" s="82"/>
      <c r="AD43" s="77"/>
      <c r="AE43" s="79"/>
      <c r="AF43" s="80"/>
      <c r="AG43" s="81">
        <f t="shared" si="5"/>
        <v>0</v>
      </c>
      <c r="AH43" s="82"/>
      <c r="AI43" s="77"/>
      <c r="AJ43" s="100">
        <v>1</v>
      </c>
      <c r="AK43" s="101">
        <v>0.5</v>
      </c>
      <c r="AL43" s="85">
        <f t="shared" si="8"/>
        <v>0.5</v>
      </c>
      <c r="AM43" s="78" t="s">
        <v>1435</v>
      </c>
      <c r="AN43" s="77"/>
      <c r="AO43" s="100">
        <v>1</v>
      </c>
      <c r="AP43" s="101">
        <v>0.8</v>
      </c>
      <c r="AQ43" s="85">
        <f t="shared" si="7"/>
        <v>0.8</v>
      </c>
      <c r="AR43" s="78" t="s">
        <v>1436</v>
      </c>
    </row>
    <row r="44" spans="1:44" ht="108.75" customHeight="1" x14ac:dyDescent="0.25">
      <c r="A44" s="77">
        <v>41</v>
      </c>
      <c r="B44" s="78" t="s">
        <v>10</v>
      </c>
      <c r="C44" s="78" t="s">
        <v>11</v>
      </c>
      <c r="D44" s="78" t="s">
        <v>68</v>
      </c>
      <c r="E44" s="77"/>
      <c r="F44" s="79"/>
      <c r="G44" s="80"/>
      <c r="H44" s="81">
        <f t="shared" si="0"/>
        <v>0</v>
      </c>
      <c r="I44" s="82"/>
      <c r="J44" s="77"/>
      <c r="K44" s="100">
        <v>1</v>
      </c>
      <c r="L44" s="101">
        <v>1</v>
      </c>
      <c r="M44" s="85">
        <f t="shared" si="1"/>
        <v>1</v>
      </c>
      <c r="N44" s="78" t="s">
        <v>1059</v>
      </c>
      <c r="O44" s="77"/>
      <c r="P44" s="100">
        <v>1</v>
      </c>
      <c r="Q44" s="101">
        <v>0.87</v>
      </c>
      <c r="R44" s="85">
        <f t="shared" si="2"/>
        <v>0.87</v>
      </c>
      <c r="S44" s="78" t="s">
        <v>1437</v>
      </c>
      <c r="T44" s="77"/>
      <c r="U44" s="79"/>
      <c r="V44" s="80"/>
      <c r="W44" s="81">
        <f t="shared" si="3"/>
        <v>0</v>
      </c>
      <c r="X44" s="82"/>
      <c r="Y44" s="77"/>
      <c r="Z44" s="79"/>
      <c r="AA44" s="80"/>
      <c r="AB44" s="81">
        <f t="shared" si="4"/>
        <v>0</v>
      </c>
      <c r="AC44" s="82"/>
      <c r="AD44" s="77"/>
      <c r="AE44" s="79"/>
      <c r="AF44" s="80"/>
      <c r="AG44" s="81">
        <f t="shared" si="5"/>
        <v>0</v>
      </c>
      <c r="AH44" s="82"/>
      <c r="AI44" s="77"/>
      <c r="AJ44" s="100">
        <v>1</v>
      </c>
      <c r="AK44" s="101">
        <v>0.83</v>
      </c>
      <c r="AL44" s="85">
        <f t="shared" si="8"/>
        <v>0.83</v>
      </c>
      <c r="AM44" s="78" t="s">
        <v>1408</v>
      </c>
      <c r="AN44" s="77"/>
      <c r="AO44" s="100">
        <v>1</v>
      </c>
      <c r="AP44" s="101">
        <v>0.87</v>
      </c>
      <c r="AQ44" s="85">
        <f t="shared" si="7"/>
        <v>0.87</v>
      </c>
      <c r="AR44" s="78" t="s">
        <v>1438</v>
      </c>
    </row>
    <row r="45" spans="1:44" ht="64.5" customHeight="1" x14ac:dyDescent="0.25">
      <c r="A45" s="77">
        <v>42</v>
      </c>
      <c r="B45" s="78" t="s">
        <v>10</v>
      </c>
      <c r="C45" s="78" t="s">
        <v>11</v>
      </c>
      <c r="D45" s="78" t="s">
        <v>69</v>
      </c>
      <c r="E45" s="77"/>
      <c r="F45" s="79"/>
      <c r="G45" s="80"/>
      <c r="H45" s="81">
        <f t="shared" si="0"/>
        <v>0</v>
      </c>
      <c r="I45" s="82"/>
      <c r="J45" s="77"/>
      <c r="K45" s="100">
        <v>1</v>
      </c>
      <c r="L45" s="101">
        <v>1</v>
      </c>
      <c r="M45" s="85">
        <f t="shared" si="1"/>
        <v>1</v>
      </c>
      <c r="N45" s="78" t="s">
        <v>1060</v>
      </c>
      <c r="O45" s="77"/>
      <c r="P45" s="100">
        <v>1</v>
      </c>
      <c r="Q45" s="101">
        <v>0.7</v>
      </c>
      <c r="R45" s="85">
        <f t="shared" si="2"/>
        <v>0.7</v>
      </c>
      <c r="S45" s="78" t="s">
        <v>1276</v>
      </c>
      <c r="T45" s="77"/>
      <c r="U45" s="79"/>
      <c r="V45" s="80"/>
      <c r="W45" s="81">
        <f t="shared" si="3"/>
        <v>0</v>
      </c>
      <c r="X45" s="82"/>
      <c r="Y45" s="77"/>
      <c r="Z45" s="79"/>
      <c r="AA45" s="80"/>
      <c r="AB45" s="81">
        <f t="shared" si="4"/>
        <v>0</v>
      </c>
      <c r="AC45" s="82"/>
      <c r="AD45" s="77"/>
      <c r="AE45" s="79"/>
      <c r="AF45" s="80"/>
      <c r="AG45" s="81">
        <f t="shared" si="5"/>
        <v>0</v>
      </c>
      <c r="AH45" s="82"/>
      <c r="AI45" s="77"/>
      <c r="AJ45" s="100">
        <v>1</v>
      </c>
      <c r="AK45" s="101">
        <v>0.7</v>
      </c>
      <c r="AL45" s="85">
        <f t="shared" si="8"/>
        <v>0.7</v>
      </c>
      <c r="AM45" s="78" t="s">
        <v>1409</v>
      </c>
      <c r="AN45" s="77"/>
      <c r="AO45" s="100">
        <v>1</v>
      </c>
      <c r="AP45" s="101">
        <v>0.95</v>
      </c>
      <c r="AQ45" s="85">
        <f t="shared" si="7"/>
        <v>0.95</v>
      </c>
      <c r="AR45" s="78" t="s">
        <v>1277</v>
      </c>
    </row>
    <row r="46" spans="1:44" ht="168.75" customHeight="1" x14ac:dyDescent="0.25">
      <c r="A46" s="77">
        <v>43</v>
      </c>
      <c r="B46" s="78" t="s">
        <v>10</v>
      </c>
      <c r="C46" s="78" t="s">
        <v>11</v>
      </c>
      <c r="D46" s="78" t="s">
        <v>70</v>
      </c>
      <c r="E46" s="77"/>
      <c r="F46" s="79"/>
      <c r="G46" s="80"/>
      <c r="H46" s="81">
        <f t="shared" si="0"/>
        <v>0</v>
      </c>
      <c r="I46" s="82"/>
      <c r="J46" s="77"/>
      <c r="K46" s="100">
        <v>1</v>
      </c>
      <c r="L46" s="101">
        <v>1</v>
      </c>
      <c r="M46" s="85">
        <f t="shared" si="1"/>
        <v>1</v>
      </c>
      <c r="N46" s="78" t="s">
        <v>1074</v>
      </c>
      <c r="O46" s="77"/>
      <c r="P46" s="100">
        <v>1</v>
      </c>
      <c r="Q46" s="101">
        <v>0.85</v>
      </c>
      <c r="R46" s="85">
        <f t="shared" si="2"/>
        <v>0.85</v>
      </c>
      <c r="S46" s="78" t="s">
        <v>1411</v>
      </c>
      <c r="T46" s="77"/>
      <c r="U46" s="79"/>
      <c r="V46" s="80"/>
      <c r="W46" s="81">
        <f t="shared" si="3"/>
        <v>0</v>
      </c>
      <c r="X46" s="82"/>
      <c r="Y46" s="77"/>
      <c r="Z46" s="79"/>
      <c r="AA46" s="80"/>
      <c r="AB46" s="81">
        <f t="shared" si="4"/>
        <v>0</v>
      </c>
      <c r="AC46" s="82"/>
      <c r="AD46" s="77"/>
      <c r="AE46" s="79"/>
      <c r="AF46" s="80"/>
      <c r="AG46" s="81">
        <f t="shared" si="5"/>
        <v>0</v>
      </c>
      <c r="AH46" s="82"/>
      <c r="AI46" s="77"/>
      <c r="AJ46" s="100">
        <v>1</v>
      </c>
      <c r="AK46" s="101">
        <v>0.68</v>
      </c>
      <c r="AL46" s="85">
        <f>AJ46*AK46</f>
        <v>0.68</v>
      </c>
      <c r="AM46" s="78" t="s">
        <v>1412</v>
      </c>
      <c r="AN46" s="77"/>
      <c r="AO46" s="100">
        <v>1</v>
      </c>
      <c r="AP46" s="101">
        <v>0.9</v>
      </c>
      <c r="AQ46" s="85">
        <f t="shared" si="7"/>
        <v>0.9</v>
      </c>
      <c r="AR46" s="78" t="s">
        <v>1439</v>
      </c>
    </row>
    <row r="47" spans="1:44" ht="84" customHeight="1" x14ac:dyDescent="0.25">
      <c r="A47" s="77">
        <v>44</v>
      </c>
      <c r="B47" s="78" t="s">
        <v>10</v>
      </c>
      <c r="C47" s="78" t="s">
        <v>11</v>
      </c>
      <c r="D47" s="78" t="s">
        <v>12</v>
      </c>
      <c r="E47" s="77"/>
      <c r="F47" s="79"/>
      <c r="G47" s="80"/>
      <c r="H47" s="81">
        <f t="shared" si="0"/>
        <v>0</v>
      </c>
      <c r="I47" s="82"/>
      <c r="J47" s="77"/>
      <c r="K47" s="100">
        <v>1</v>
      </c>
      <c r="L47" s="101">
        <v>1</v>
      </c>
      <c r="M47" s="85">
        <f t="shared" si="1"/>
        <v>1</v>
      </c>
      <c r="N47" s="78" t="s">
        <v>1062</v>
      </c>
      <c r="O47" s="77"/>
      <c r="P47" s="100">
        <v>1</v>
      </c>
      <c r="Q47" s="101">
        <v>1</v>
      </c>
      <c r="R47" s="85">
        <f t="shared" si="2"/>
        <v>1</v>
      </c>
      <c r="S47" s="116" t="s">
        <v>1065</v>
      </c>
      <c r="T47" s="77"/>
      <c r="U47" s="79"/>
      <c r="V47" s="80"/>
      <c r="W47" s="81">
        <f t="shared" si="3"/>
        <v>0</v>
      </c>
      <c r="X47" s="82"/>
      <c r="Y47" s="77"/>
      <c r="Z47" s="79"/>
      <c r="AA47" s="80"/>
      <c r="AB47" s="81">
        <f t="shared" si="4"/>
        <v>0</v>
      </c>
      <c r="AC47" s="82"/>
      <c r="AD47" s="77"/>
      <c r="AE47" s="79"/>
      <c r="AF47" s="80"/>
      <c r="AG47" s="81">
        <f t="shared" si="5"/>
        <v>0</v>
      </c>
      <c r="AH47" s="82"/>
      <c r="AI47" s="77"/>
      <c r="AJ47" s="100">
        <v>1</v>
      </c>
      <c r="AK47" s="101">
        <v>0.5</v>
      </c>
      <c r="AL47" s="85">
        <f>AJ47*AK47</f>
        <v>0.5</v>
      </c>
      <c r="AM47" s="78" t="s">
        <v>1414</v>
      </c>
      <c r="AN47" s="77"/>
      <c r="AO47" s="100">
        <v>1</v>
      </c>
      <c r="AP47" s="101">
        <v>1</v>
      </c>
      <c r="AQ47" s="85">
        <f t="shared" si="7"/>
        <v>1</v>
      </c>
      <c r="AR47" s="78" t="s">
        <v>1058</v>
      </c>
    </row>
    <row r="48" spans="1:44" ht="101.25" customHeight="1" x14ac:dyDescent="0.25">
      <c r="A48" s="77">
        <v>45</v>
      </c>
      <c r="B48" s="78" t="s">
        <v>10</v>
      </c>
      <c r="C48" s="78" t="s">
        <v>71</v>
      </c>
      <c r="D48" s="78" t="s">
        <v>72</v>
      </c>
      <c r="E48" s="77"/>
      <c r="F48" s="79"/>
      <c r="G48" s="80"/>
      <c r="H48" s="81">
        <f t="shared" si="0"/>
        <v>0</v>
      </c>
      <c r="I48" s="82"/>
      <c r="J48" s="77"/>
      <c r="K48" s="100">
        <v>1</v>
      </c>
      <c r="L48" s="101">
        <v>0.95</v>
      </c>
      <c r="M48" s="85">
        <f t="shared" si="1"/>
        <v>0.95</v>
      </c>
      <c r="N48" s="78" t="s">
        <v>1280</v>
      </c>
      <c r="O48" s="77"/>
      <c r="P48" s="100">
        <v>1</v>
      </c>
      <c r="Q48" s="101">
        <v>0.85</v>
      </c>
      <c r="R48" s="85">
        <f t="shared" si="2"/>
        <v>0.85</v>
      </c>
      <c r="S48" s="78" t="s">
        <v>1440</v>
      </c>
      <c r="T48" s="77"/>
      <c r="U48" s="79"/>
      <c r="V48" s="80"/>
      <c r="W48" s="81">
        <f t="shared" si="3"/>
        <v>0</v>
      </c>
      <c r="X48" s="82"/>
      <c r="Y48" s="77"/>
      <c r="Z48" s="79"/>
      <c r="AA48" s="80"/>
      <c r="AB48" s="81">
        <f t="shared" si="4"/>
        <v>0</v>
      </c>
      <c r="AC48" s="82"/>
      <c r="AD48" s="77"/>
      <c r="AE48" s="79"/>
      <c r="AF48" s="80"/>
      <c r="AG48" s="81">
        <f t="shared" si="5"/>
        <v>0</v>
      </c>
      <c r="AH48" s="82"/>
      <c r="AI48" s="77"/>
      <c r="AJ48" s="100">
        <v>1</v>
      </c>
      <c r="AK48" s="101">
        <v>0.7</v>
      </c>
      <c r="AL48" s="85">
        <f t="shared" si="8"/>
        <v>0.7</v>
      </c>
      <c r="AM48" s="78" t="s">
        <v>1441</v>
      </c>
      <c r="AN48" s="77"/>
      <c r="AO48" s="100">
        <v>1</v>
      </c>
      <c r="AP48" s="101">
        <v>0.8</v>
      </c>
      <c r="AQ48" s="85">
        <f t="shared" si="7"/>
        <v>0.8</v>
      </c>
      <c r="AR48" s="78" t="s">
        <v>1442</v>
      </c>
    </row>
    <row r="49" spans="1:44" ht="78.75" customHeight="1" x14ac:dyDescent="0.25">
      <c r="A49" s="77">
        <v>46</v>
      </c>
      <c r="B49" s="78" t="s">
        <v>10</v>
      </c>
      <c r="C49" s="78" t="s">
        <v>11</v>
      </c>
      <c r="D49" s="78" t="s">
        <v>13</v>
      </c>
      <c r="E49" s="77"/>
      <c r="F49" s="79"/>
      <c r="G49" s="80"/>
      <c r="H49" s="81">
        <f t="shared" si="0"/>
        <v>0</v>
      </c>
      <c r="I49" s="82"/>
      <c r="J49" s="77"/>
      <c r="K49" s="100">
        <v>1</v>
      </c>
      <c r="L49" s="101">
        <v>1</v>
      </c>
      <c r="M49" s="85">
        <f t="shared" si="1"/>
        <v>1</v>
      </c>
      <c r="N49" s="78" t="s">
        <v>1060</v>
      </c>
      <c r="O49" s="77"/>
      <c r="P49" s="100">
        <v>1</v>
      </c>
      <c r="Q49" s="101">
        <v>1</v>
      </c>
      <c r="R49" s="85">
        <f t="shared" si="2"/>
        <v>1</v>
      </c>
      <c r="S49" s="102" t="s">
        <v>1395</v>
      </c>
      <c r="T49" s="77"/>
      <c r="U49" s="79"/>
      <c r="V49" s="80"/>
      <c r="W49" s="81">
        <f t="shared" si="3"/>
        <v>0</v>
      </c>
      <c r="X49" s="82"/>
      <c r="Y49" s="77"/>
      <c r="Z49" s="79"/>
      <c r="AA49" s="80"/>
      <c r="AB49" s="81">
        <f t="shared" si="4"/>
        <v>0</v>
      </c>
      <c r="AC49" s="82"/>
      <c r="AD49" s="77"/>
      <c r="AE49" s="79"/>
      <c r="AF49" s="80"/>
      <c r="AG49" s="81">
        <f t="shared" si="5"/>
        <v>0</v>
      </c>
      <c r="AH49" s="82"/>
      <c r="AI49" s="77"/>
      <c r="AJ49" s="100">
        <v>1</v>
      </c>
      <c r="AK49" s="101">
        <v>1</v>
      </c>
      <c r="AL49" s="85">
        <f t="shared" si="8"/>
        <v>1</v>
      </c>
      <c r="AM49" s="78" t="s">
        <v>1072</v>
      </c>
      <c r="AN49" s="77"/>
      <c r="AO49" s="100">
        <v>1</v>
      </c>
      <c r="AP49" s="101">
        <v>1</v>
      </c>
      <c r="AQ49" s="85">
        <f t="shared" si="7"/>
        <v>1</v>
      </c>
      <c r="AR49" s="78" t="s">
        <v>1395</v>
      </c>
    </row>
    <row r="50" spans="1:44" ht="78.75" x14ac:dyDescent="0.25">
      <c r="A50" s="77">
        <v>47</v>
      </c>
      <c r="B50" s="78" t="s">
        <v>14</v>
      </c>
      <c r="C50" s="78" t="s">
        <v>14</v>
      </c>
      <c r="D50" s="78" t="s">
        <v>15</v>
      </c>
      <c r="E50" s="77"/>
      <c r="F50" s="79"/>
      <c r="G50" s="80"/>
      <c r="H50" s="81">
        <f t="shared" si="0"/>
        <v>0</v>
      </c>
      <c r="I50" s="82"/>
      <c r="J50" s="77"/>
      <c r="K50" s="100">
        <v>1</v>
      </c>
      <c r="L50" s="101">
        <v>1</v>
      </c>
      <c r="M50" s="85">
        <f t="shared" si="1"/>
        <v>1</v>
      </c>
      <c r="N50" s="78" t="s">
        <v>1087</v>
      </c>
      <c r="O50" s="77"/>
      <c r="P50" s="100">
        <v>1</v>
      </c>
      <c r="Q50" s="101">
        <v>1</v>
      </c>
      <c r="R50" s="85">
        <f t="shared" si="2"/>
        <v>1</v>
      </c>
      <c r="S50" s="78" t="s">
        <v>1087</v>
      </c>
      <c r="T50" s="77"/>
      <c r="U50" s="79"/>
      <c r="V50" s="80"/>
      <c r="W50" s="81">
        <f t="shared" si="3"/>
        <v>0</v>
      </c>
      <c r="X50" s="82"/>
      <c r="Y50" s="77"/>
      <c r="Z50" s="79"/>
      <c r="AA50" s="80"/>
      <c r="AB50" s="81">
        <f t="shared" si="4"/>
        <v>0</v>
      </c>
      <c r="AC50" s="82"/>
      <c r="AD50" s="77"/>
      <c r="AE50" s="79"/>
      <c r="AF50" s="80"/>
      <c r="AG50" s="81">
        <f t="shared" si="5"/>
        <v>0</v>
      </c>
      <c r="AH50" s="82"/>
      <c r="AI50" s="77"/>
      <c r="AJ50" s="100">
        <v>1</v>
      </c>
      <c r="AK50" s="101">
        <v>0.9</v>
      </c>
      <c r="AL50" s="85">
        <f t="shared" si="8"/>
        <v>0.9</v>
      </c>
      <c r="AM50" s="78" t="s">
        <v>1133</v>
      </c>
      <c r="AN50" s="77"/>
      <c r="AO50" s="100">
        <v>1</v>
      </c>
      <c r="AP50" s="101">
        <v>1</v>
      </c>
      <c r="AQ50" s="85">
        <f t="shared" si="7"/>
        <v>1</v>
      </c>
      <c r="AR50" s="78" t="s">
        <v>1102</v>
      </c>
    </row>
    <row r="51" spans="1:44" ht="351.75" customHeight="1" x14ac:dyDescent="0.25">
      <c r="A51" s="77">
        <v>48</v>
      </c>
      <c r="B51" s="78" t="s">
        <v>14</v>
      </c>
      <c r="C51" s="78" t="s">
        <v>14</v>
      </c>
      <c r="D51" s="78" t="s">
        <v>73</v>
      </c>
      <c r="E51" s="77"/>
      <c r="F51" s="79"/>
      <c r="G51" s="80"/>
      <c r="H51" s="81">
        <f t="shared" si="0"/>
        <v>0</v>
      </c>
      <c r="I51" s="82"/>
      <c r="J51" s="77"/>
      <c r="K51" s="100">
        <v>1</v>
      </c>
      <c r="L51" s="101">
        <v>0.85</v>
      </c>
      <c r="M51" s="85">
        <f t="shared" si="1"/>
        <v>0.85</v>
      </c>
      <c r="N51" s="78" t="s">
        <v>1115</v>
      </c>
      <c r="O51" s="77"/>
      <c r="P51" s="100">
        <v>1</v>
      </c>
      <c r="Q51" s="101">
        <v>0.95</v>
      </c>
      <c r="R51" s="85">
        <f t="shared" si="2"/>
        <v>0.95</v>
      </c>
      <c r="S51" s="78" t="s">
        <v>1088</v>
      </c>
      <c r="T51" s="77"/>
      <c r="U51" s="79"/>
      <c r="V51" s="80"/>
      <c r="W51" s="81">
        <f t="shared" si="3"/>
        <v>0</v>
      </c>
      <c r="X51" s="82"/>
      <c r="Y51" s="77"/>
      <c r="Z51" s="79"/>
      <c r="AA51" s="80"/>
      <c r="AB51" s="81">
        <f t="shared" si="4"/>
        <v>0</v>
      </c>
      <c r="AC51" s="82"/>
      <c r="AD51" s="77"/>
      <c r="AE51" s="79"/>
      <c r="AF51" s="80"/>
      <c r="AG51" s="81">
        <f t="shared" si="5"/>
        <v>0</v>
      </c>
      <c r="AH51" s="82"/>
      <c r="AI51" s="77"/>
      <c r="AJ51" s="100">
        <v>1</v>
      </c>
      <c r="AK51" s="101">
        <v>0.2</v>
      </c>
      <c r="AL51" s="85">
        <f t="shared" si="8"/>
        <v>0.2</v>
      </c>
      <c r="AM51" s="78" t="s">
        <v>1134</v>
      </c>
      <c r="AN51" s="77"/>
      <c r="AO51" s="100">
        <v>1</v>
      </c>
      <c r="AP51" s="101">
        <v>0.4</v>
      </c>
      <c r="AQ51" s="85">
        <f t="shared" si="7"/>
        <v>0.4</v>
      </c>
      <c r="AR51" s="78" t="s">
        <v>1138</v>
      </c>
    </row>
    <row r="52" spans="1:44" ht="409.6" customHeight="1" x14ac:dyDescent="0.25">
      <c r="A52" s="77">
        <v>49</v>
      </c>
      <c r="B52" s="78" t="s">
        <v>14</v>
      </c>
      <c r="C52" s="78" t="s">
        <v>14</v>
      </c>
      <c r="D52" s="78" t="s">
        <v>74</v>
      </c>
      <c r="E52" s="77"/>
      <c r="F52" s="79"/>
      <c r="G52" s="80"/>
      <c r="H52" s="81">
        <f t="shared" si="0"/>
        <v>0</v>
      </c>
      <c r="I52" s="82"/>
      <c r="J52" s="77"/>
      <c r="K52" s="100">
        <v>1</v>
      </c>
      <c r="L52" s="101">
        <v>0.6</v>
      </c>
      <c r="M52" s="85">
        <f t="shared" si="1"/>
        <v>0.6</v>
      </c>
      <c r="N52" s="78" t="s">
        <v>1132</v>
      </c>
      <c r="O52" s="77"/>
      <c r="P52" s="100">
        <v>1</v>
      </c>
      <c r="Q52" s="101">
        <v>0.7</v>
      </c>
      <c r="R52" s="85">
        <f t="shared" si="2"/>
        <v>0.7</v>
      </c>
      <c r="S52" s="78" t="s">
        <v>1121</v>
      </c>
      <c r="T52" s="77"/>
      <c r="U52" s="79"/>
      <c r="V52" s="80"/>
      <c r="W52" s="81">
        <f t="shared" si="3"/>
        <v>0</v>
      </c>
      <c r="X52" s="82"/>
      <c r="Y52" s="77"/>
      <c r="Z52" s="79"/>
      <c r="AA52" s="80"/>
      <c r="AB52" s="81">
        <f t="shared" si="4"/>
        <v>0</v>
      </c>
      <c r="AC52" s="82"/>
      <c r="AD52" s="77"/>
      <c r="AE52" s="79"/>
      <c r="AF52" s="80"/>
      <c r="AG52" s="81">
        <f t="shared" si="5"/>
        <v>0</v>
      </c>
      <c r="AH52" s="82"/>
      <c r="AI52" s="77"/>
      <c r="AJ52" s="100">
        <v>1</v>
      </c>
      <c r="AK52" s="101">
        <v>0.2</v>
      </c>
      <c r="AL52" s="85">
        <f t="shared" si="8"/>
        <v>0.2</v>
      </c>
      <c r="AM52" s="78" t="s">
        <v>1135</v>
      </c>
      <c r="AN52" s="77"/>
      <c r="AO52" s="100">
        <v>1</v>
      </c>
      <c r="AP52" s="101">
        <v>0.7</v>
      </c>
      <c r="AQ52" s="85">
        <f t="shared" si="7"/>
        <v>0.7</v>
      </c>
      <c r="AR52" s="78" t="s">
        <v>1139</v>
      </c>
    </row>
    <row r="53" spans="1:44" ht="138" customHeight="1" x14ac:dyDescent="0.25">
      <c r="A53" s="77">
        <v>50</v>
      </c>
      <c r="B53" s="78" t="s">
        <v>14</v>
      </c>
      <c r="C53" s="78" t="s">
        <v>14</v>
      </c>
      <c r="D53" s="78" t="s">
        <v>75</v>
      </c>
      <c r="E53" s="77"/>
      <c r="F53" s="79"/>
      <c r="G53" s="80"/>
      <c r="H53" s="81">
        <f t="shared" si="0"/>
        <v>0</v>
      </c>
      <c r="I53" s="82"/>
      <c r="J53" s="77"/>
      <c r="K53" s="100">
        <v>1</v>
      </c>
      <c r="L53" s="101">
        <v>1</v>
      </c>
      <c r="M53" s="85">
        <f t="shared" si="1"/>
        <v>1</v>
      </c>
      <c r="N53" s="78" t="s">
        <v>1087</v>
      </c>
      <c r="O53" s="77"/>
      <c r="P53" s="100">
        <v>1</v>
      </c>
      <c r="Q53" s="101">
        <v>1</v>
      </c>
      <c r="R53" s="85">
        <f t="shared" si="2"/>
        <v>1</v>
      </c>
      <c r="S53" s="78" t="s">
        <v>1087</v>
      </c>
      <c r="T53" s="77"/>
      <c r="U53" s="79"/>
      <c r="V53" s="80"/>
      <c r="W53" s="81">
        <f t="shared" si="3"/>
        <v>0</v>
      </c>
      <c r="X53" s="82"/>
      <c r="Y53" s="77"/>
      <c r="Z53" s="79"/>
      <c r="AA53" s="80"/>
      <c r="AB53" s="81">
        <f t="shared" si="4"/>
        <v>0</v>
      </c>
      <c r="AC53" s="82"/>
      <c r="AD53" s="77"/>
      <c r="AE53" s="79"/>
      <c r="AF53" s="80"/>
      <c r="AG53" s="81">
        <f t="shared" si="5"/>
        <v>0</v>
      </c>
      <c r="AH53" s="82"/>
      <c r="AI53" s="77"/>
      <c r="AJ53" s="100">
        <v>1</v>
      </c>
      <c r="AK53" s="101">
        <v>0.85</v>
      </c>
      <c r="AL53" s="85">
        <f t="shared" si="8"/>
        <v>0.85</v>
      </c>
      <c r="AM53" s="78" t="s">
        <v>1136</v>
      </c>
      <c r="AN53" s="77"/>
      <c r="AO53" s="100">
        <v>1</v>
      </c>
      <c r="AP53" s="101">
        <v>1</v>
      </c>
      <c r="AQ53" s="85">
        <f t="shared" si="7"/>
        <v>1</v>
      </c>
      <c r="AR53" s="78" t="s">
        <v>1087</v>
      </c>
    </row>
    <row r="54" spans="1:44" ht="109.5" customHeight="1" x14ac:dyDescent="0.25">
      <c r="A54" s="77">
        <v>51</v>
      </c>
      <c r="B54" s="78" t="s">
        <v>14</v>
      </c>
      <c r="C54" s="78" t="s">
        <v>14</v>
      </c>
      <c r="D54" s="78" t="s">
        <v>76</v>
      </c>
      <c r="E54" s="77"/>
      <c r="F54" s="79"/>
      <c r="G54" s="80"/>
      <c r="H54" s="81">
        <f t="shared" si="0"/>
        <v>0</v>
      </c>
      <c r="I54" s="82"/>
      <c r="J54" s="77"/>
      <c r="K54" s="100">
        <v>1</v>
      </c>
      <c r="L54" s="101">
        <v>1</v>
      </c>
      <c r="M54" s="85">
        <f t="shared" si="1"/>
        <v>1</v>
      </c>
      <c r="N54" s="78" t="s">
        <v>1087</v>
      </c>
      <c r="O54" s="77"/>
      <c r="P54" s="100">
        <v>1</v>
      </c>
      <c r="Q54" s="101">
        <v>1</v>
      </c>
      <c r="R54" s="85">
        <f t="shared" si="2"/>
        <v>1</v>
      </c>
      <c r="S54" s="78" t="s">
        <v>1087</v>
      </c>
      <c r="T54" s="77"/>
      <c r="U54" s="79"/>
      <c r="V54" s="80"/>
      <c r="W54" s="81">
        <f t="shared" si="3"/>
        <v>0</v>
      </c>
      <c r="X54" s="82"/>
      <c r="Y54" s="77"/>
      <c r="Z54" s="79"/>
      <c r="AA54" s="80"/>
      <c r="AB54" s="81">
        <f t="shared" si="4"/>
        <v>0</v>
      </c>
      <c r="AC54" s="82"/>
      <c r="AD54" s="77"/>
      <c r="AE54" s="79"/>
      <c r="AF54" s="80"/>
      <c r="AG54" s="81">
        <f t="shared" si="5"/>
        <v>0</v>
      </c>
      <c r="AH54" s="82"/>
      <c r="AI54" s="77"/>
      <c r="AJ54" s="100">
        <v>1</v>
      </c>
      <c r="AK54" s="101">
        <v>1</v>
      </c>
      <c r="AL54" s="85">
        <f t="shared" si="8"/>
        <v>1</v>
      </c>
      <c r="AM54" s="78" t="s">
        <v>1087</v>
      </c>
      <c r="AN54" s="77"/>
      <c r="AO54" s="100">
        <v>1</v>
      </c>
      <c r="AP54" s="101">
        <v>1</v>
      </c>
      <c r="AQ54" s="85">
        <f t="shared" si="7"/>
        <v>1</v>
      </c>
      <c r="AR54" s="78" t="s">
        <v>1087</v>
      </c>
    </row>
    <row r="55" spans="1:44" ht="366" customHeight="1" x14ac:dyDescent="0.25">
      <c r="A55" s="77">
        <v>52</v>
      </c>
      <c r="B55" s="78" t="s">
        <v>14</v>
      </c>
      <c r="C55" s="78" t="s">
        <v>14</v>
      </c>
      <c r="D55" s="78" t="s">
        <v>77</v>
      </c>
      <c r="E55" s="77"/>
      <c r="F55" s="79"/>
      <c r="G55" s="80"/>
      <c r="H55" s="81">
        <f t="shared" si="0"/>
        <v>0</v>
      </c>
      <c r="I55" s="82"/>
      <c r="J55" s="77"/>
      <c r="K55" s="100">
        <v>1</v>
      </c>
      <c r="L55" s="101">
        <v>0.95</v>
      </c>
      <c r="M55" s="85">
        <f t="shared" si="1"/>
        <v>0.95</v>
      </c>
      <c r="N55" s="78" t="s">
        <v>1124</v>
      </c>
      <c r="O55" s="77"/>
      <c r="P55" s="100">
        <v>1</v>
      </c>
      <c r="Q55" s="101">
        <v>0.8</v>
      </c>
      <c r="R55" s="85">
        <f t="shared" si="2"/>
        <v>0.8</v>
      </c>
      <c r="S55" s="78" t="s">
        <v>1126</v>
      </c>
      <c r="T55" s="77"/>
      <c r="U55" s="79"/>
      <c r="V55" s="80"/>
      <c r="W55" s="81">
        <f t="shared" si="3"/>
        <v>0</v>
      </c>
      <c r="X55" s="82"/>
      <c r="Y55" s="77"/>
      <c r="Z55" s="79"/>
      <c r="AA55" s="80"/>
      <c r="AB55" s="81">
        <f t="shared" si="4"/>
        <v>0</v>
      </c>
      <c r="AC55" s="82"/>
      <c r="AD55" s="77"/>
      <c r="AE55" s="79"/>
      <c r="AF55" s="80"/>
      <c r="AG55" s="81">
        <f t="shared" si="5"/>
        <v>0</v>
      </c>
      <c r="AH55" s="82"/>
      <c r="AI55" s="77"/>
      <c r="AJ55" s="100">
        <v>1</v>
      </c>
      <c r="AK55" s="101">
        <v>0.1</v>
      </c>
      <c r="AL55" s="85">
        <f t="shared" si="8"/>
        <v>0.1</v>
      </c>
      <c r="AM55" s="78" t="s">
        <v>1137</v>
      </c>
      <c r="AN55" s="77"/>
      <c r="AO55" s="100">
        <v>1</v>
      </c>
      <c r="AP55" s="101">
        <v>0.75</v>
      </c>
      <c r="AQ55" s="85">
        <f t="shared" si="7"/>
        <v>0.75</v>
      </c>
      <c r="AR55" s="78" t="s">
        <v>1140</v>
      </c>
    </row>
    <row r="56" spans="1:44" ht="79.5" customHeight="1" x14ac:dyDescent="0.25">
      <c r="A56" s="77">
        <v>53</v>
      </c>
      <c r="B56" s="78" t="s">
        <v>14</v>
      </c>
      <c r="C56" s="78" t="s">
        <v>14</v>
      </c>
      <c r="D56" s="78" t="s">
        <v>78</v>
      </c>
      <c r="E56" s="77"/>
      <c r="F56" s="79">
        <v>1</v>
      </c>
      <c r="G56" s="80"/>
      <c r="H56" s="81">
        <f t="shared" si="0"/>
        <v>0</v>
      </c>
      <c r="I56" s="82"/>
      <c r="J56" s="77"/>
      <c r="K56" s="100">
        <v>1</v>
      </c>
      <c r="L56" s="101">
        <v>1</v>
      </c>
      <c r="M56" s="85">
        <f t="shared" si="1"/>
        <v>1</v>
      </c>
      <c r="N56" s="78" t="s">
        <v>1087</v>
      </c>
      <c r="O56" s="77"/>
      <c r="P56" s="100">
        <v>1</v>
      </c>
      <c r="Q56" s="101">
        <v>0.9</v>
      </c>
      <c r="R56" s="85">
        <f t="shared" si="2"/>
        <v>0.9</v>
      </c>
      <c r="S56" s="78" t="s">
        <v>1097</v>
      </c>
      <c r="T56" s="77"/>
      <c r="U56" s="79"/>
      <c r="V56" s="80"/>
      <c r="W56" s="81">
        <f t="shared" si="3"/>
        <v>0</v>
      </c>
      <c r="X56" s="77"/>
      <c r="Y56" s="77"/>
      <c r="Z56" s="79"/>
      <c r="AA56" s="80"/>
      <c r="AB56" s="81">
        <f t="shared" si="4"/>
        <v>0</v>
      </c>
      <c r="AC56" s="77"/>
      <c r="AD56" s="77"/>
      <c r="AE56" s="79"/>
      <c r="AF56" s="80"/>
      <c r="AG56" s="81">
        <f t="shared" si="5"/>
        <v>0</v>
      </c>
      <c r="AH56" s="77"/>
      <c r="AI56" s="77"/>
      <c r="AJ56" s="100">
        <v>1</v>
      </c>
      <c r="AK56" s="101">
        <v>1</v>
      </c>
      <c r="AL56" s="85">
        <f t="shared" si="8"/>
        <v>1</v>
      </c>
      <c r="AM56" s="78" t="s">
        <v>1087</v>
      </c>
      <c r="AN56" s="77"/>
      <c r="AO56" s="100">
        <v>1</v>
      </c>
      <c r="AP56" s="101">
        <v>1</v>
      </c>
      <c r="AQ56" s="85">
        <f t="shared" si="7"/>
        <v>1</v>
      </c>
      <c r="AR56" s="117" t="s">
        <v>1087</v>
      </c>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63B79653-EB52-4FFC-A8AD-D5D976372486}">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6F697847-1D6A-4A99-9CD6-7467E7742731}">
          <x14:formula1>
            <xm:f>'C:\Users\michele.cerqueira\AppData\Local\Microsoft\Windows\INetCache\Content.Outlook\CUTOBPMD\[ESTUDOS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R56"/>
  <sheetViews>
    <sheetView zoomScale="60" zoomScaleNormal="60" workbookViewId="0">
      <pane xSplit="4" ySplit="3" topLeftCell="M9" activePane="bottomRight" state="frozen"/>
      <selection pane="topRight" activeCell="E1" sqref="E1"/>
      <selection pane="bottomLeft" activeCell="A4" sqref="A4"/>
      <selection pane="bottomRight" activeCell="S10" sqref="S10"/>
    </sheetView>
  </sheetViews>
  <sheetFormatPr defaultRowHeight="15" x14ac:dyDescent="0.25"/>
  <cols>
    <col min="1" max="1" width="5.5703125" style="73" customWidth="1"/>
    <col min="2" max="2" width="16.5703125" style="74" bestFit="1" customWidth="1"/>
    <col min="3" max="3" width="14.7109375" style="74" customWidth="1"/>
    <col min="4" max="4" width="60.85546875" style="74" customWidth="1"/>
    <col min="5" max="5" width="2.42578125" style="74" customWidth="1"/>
    <col min="6" max="6" width="20.140625" style="74" hidden="1" customWidth="1"/>
    <col min="7" max="7" width="14.28515625" style="74" hidden="1" customWidth="1"/>
    <col min="8" max="8" width="9.140625" style="74" hidden="1" customWidth="1"/>
    <col min="9" max="9" width="52.85546875" style="110" hidden="1" customWidth="1"/>
    <col min="10" max="10" width="1.85546875" style="74" hidden="1" customWidth="1"/>
    <col min="11" max="11" width="15.140625" style="75" customWidth="1"/>
    <col min="12" max="12" width="14.28515625" style="75" bestFit="1" customWidth="1"/>
    <col min="13" max="13" width="9.140625" style="75" customWidth="1"/>
    <col min="14" max="14" width="100.42578125" style="74" customWidth="1"/>
    <col min="15" max="15" width="1.5703125" style="74" customWidth="1"/>
    <col min="16" max="16" width="16.5703125" style="75" customWidth="1"/>
    <col min="17" max="17" width="14.28515625" style="75" bestFit="1" customWidth="1"/>
    <col min="18" max="18" width="9.140625" style="75" customWidth="1"/>
    <col min="19" max="19" width="109.7109375" style="74" customWidth="1"/>
    <col min="20" max="20" width="3.42578125" style="74" customWidth="1"/>
    <col min="21" max="21" width="13.5703125" style="74" hidden="1" customWidth="1"/>
    <col min="22" max="22" width="13.7109375" style="74" hidden="1" customWidth="1"/>
    <col min="23" max="23" width="0" style="74" hidden="1" customWidth="1"/>
    <col min="24" max="24" width="68" style="74" hidden="1" customWidth="1"/>
    <col min="25" max="25" width="0" style="74" hidden="1" customWidth="1"/>
    <col min="26" max="26" width="17.85546875" style="74" hidden="1" customWidth="1"/>
    <col min="27" max="27" width="15" style="74" hidden="1" customWidth="1"/>
    <col min="28" max="28" width="0" style="74" hidden="1" customWidth="1"/>
    <col min="29" max="29" width="76.28515625" style="74" hidden="1" customWidth="1"/>
    <col min="30" max="30" width="0" style="74" hidden="1" customWidth="1"/>
    <col min="31" max="31" width="14" style="74" hidden="1" customWidth="1"/>
    <col min="32" max="32" width="16.28515625" style="74" hidden="1" customWidth="1"/>
    <col min="33" max="33" width="0" style="74" hidden="1" customWidth="1"/>
    <col min="34" max="34" width="78.85546875" style="74" hidden="1" customWidth="1"/>
    <col min="35" max="35" width="0" style="74" hidden="1" customWidth="1"/>
    <col min="36" max="36" width="17.85546875" style="75" customWidth="1"/>
    <col min="37" max="37" width="16.5703125" style="75" customWidth="1"/>
    <col min="38" max="38" width="9.140625" style="75"/>
    <col min="39" max="39" width="114.42578125" style="74" customWidth="1"/>
    <col min="40" max="40" width="5.28515625" style="74" customWidth="1"/>
    <col min="41" max="41" width="16" style="75" customWidth="1"/>
    <col min="42" max="42" width="13.28515625" style="75" customWidth="1"/>
    <col min="43" max="43" width="9.140625" style="75"/>
    <col min="44" max="44" width="123.5703125" style="74" customWidth="1"/>
    <col min="45" max="16384" width="9.140625" style="74"/>
  </cols>
  <sheetData>
    <row r="1" spans="1:44" x14ac:dyDescent="0.25">
      <c r="I1" s="74"/>
    </row>
    <row r="2" spans="1:44" ht="39.75" customHeight="1" x14ac:dyDescent="0.25">
      <c r="B2" s="233" t="s">
        <v>16</v>
      </c>
      <c r="C2" s="233"/>
      <c r="D2" s="233"/>
      <c r="F2" s="232" t="s">
        <v>121</v>
      </c>
      <c r="G2" s="232"/>
      <c r="H2" s="232"/>
      <c r="I2" s="232"/>
      <c r="K2" s="234" t="s">
        <v>119</v>
      </c>
      <c r="L2" s="235"/>
      <c r="M2" s="235"/>
      <c r="N2" s="236"/>
      <c r="P2" s="233" t="s">
        <v>120</v>
      </c>
      <c r="Q2" s="233"/>
      <c r="R2" s="233"/>
      <c r="S2" s="233"/>
      <c r="U2" s="232" t="s">
        <v>122</v>
      </c>
      <c r="V2" s="232"/>
      <c r="W2" s="232"/>
      <c r="X2" s="232"/>
      <c r="Z2" s="232" t="s">
        <v>123</v>
      </c>
      <c r="AA2" s="232"/>
      <c r="AB2" s="232"/>
      <c r="AC2" s="232"/>
      <c r="AE2" s="232" t="s">
        <v>124</v>
      </c>
      <c r="AF2" s="232"/>
      <c r="AG2" s="232"/>
      <c r="AH2" s="232"/>
      <c r="AJ2" s="233" t="s">
        <v>125</v>
      </c>
      <c r="AK2" s="233"/>
      <c r="AL2" s="233"/>
      <c r="AM2" s="233"/>
      <c r="AO2" s="233" t="s">
        <v>1318</v>
      </c>
      <c r="AP2" s="233"/>
      <c r="AQ2" s="233"/>
      <c r="AR2" s="233"/>
    </row>
    <row r="3" spans="1:44" ht="60.75" customHeight="1" x14ac:dyDescent="0.25">
      <c r="B3" s="66" t="s">
        <v>0</v>
      </c>
      <c r="C3" s="66" t="s">
        <v>1</v>
      </c>
      <c r="D3" s="66" t="s">
        <v>2</v>
      </c>
      <c r="F3" s="67" t="s">
        <v>17</v>
      </c>
      <c r="G3" s="67" t="s">
        <v>18</v>
      </c>
      <c r="H3" s="67" t="s">
        <v>21</v>
      </c>
      <c r="I3" s="67" t="s">
        <v>19</v>
      </c>
      <c r="K3" s="70" t="s">
        <v>17</v>
      </c>
      <c r="L3" s="70" t="s">
        <v>18</v>
      </c>
      <c r="M3" s="70" t="s">
        <v>21</v>
      </c>
      <c r="N3" s="67" t="s">
        <v>19</v>
      </c>
      <c r="P3" s="70" t="s">
        <v>17</v>
      </c>
      <c r="Q3" s="70" t="s">
        <v>18</v>
      </c>
      <c r="R3" s="70" t="s">
        <v>21</v>
      </c>
      <c r="S3" s="67" t="s">
        <v>19</v>
      </c>
      <c r="U3" s="67" t="s">
        <v>17</v>
      </c>
      <c r="V3" s="67" t="s">
        <v>18</v>
      </c>
      <c r="W3" s="67" t="s">
        <v>21</v>
      </c>
      <c r="X3" s="67" t="s">
        <v>19</v>
      </c>
      <c r="Z3" s="67" t="s">
        <v>17</v>
      </c>
      <c r="AA3" s="67" t="s">
        <v>18</v>
      </c>
      <c r="AB3" s="67" t="s">
        <v>21</v>
      </c>
      <c r="AC3" s="67" t="s">
        <v>19</v>
      </c>
      <c r="AE3" s="67" t="s">
        <v>17</v>
      </c>
      <c r="AF3" s="67" t="s">
        <v>18</v>
      </c>
      <c r="AG3" s="67" t="s">
        <v>21</v>
      </c>
      <c r="AH3" s="67" t="s">
        <v>19</v>
      </c>
      <c r="AJ3" s="70" t="s">
        <v>17</v>
      </c>
      <c r="AK3" s="70" t="s">
        <v>18</v>
      </c>
      <c r="AL3" s="70" t="s">
        <v>21</v>
      </c>
      <c r="AM3" s="67" t="s">
        <v>19</v>
      </c>
      <c r="AO3" s="70" t="s">
        <v>17</v>
      </c>
      <c r="AP3" s="70" t="s">
        <v>18</v>
      </c>
      <c r="AQ3" s="70" t="s">
        <v>21</v>
      </c>
      <c r="AR3" s="67" t="s">
        <v>19</v>
      </c>
    </row>
    <row r="4" spans="1:44" ht="173.25" x14ac:dyDescent="0.25">
      <c r="A4" s="77">
        <v>1</v>
      </c>
      <c r="B4" s="78" t="s">
        <v>3</v>
      </c>
      <c r="C4" s="78" t="s">
        <v>4</v>
      </c>
      <c r="D4" s="78" t="s">
        <v>127</v>
      </c>
      <c r="E4" s="77"/>
      <c r="F4" s="79"/>
      <c r="G4" s="80"/>
      <c r="H4" s="81">
        <f>F4*G4</f>
        <v>0</v>
      </c>
      <c r="I4" s="82"/>
      <c r="J4" s="77"/>
      <c r="K4" s="83">
        <v>1</v>
      </c>
      <c r="L4" s="84">
        <v>0.99</v>
      </c>
      <c r="M4" s="85">
        <f>K4*L4</f>
        <v>0.99</v>
      </c>
      <c r="N4" s="87" t="s">
        <v>1197</v>
      </c>
      <c r="O4" s="77"/>
      <c r="P4" s="83">
        <v>1</v>
      </c>
      <c r="Q4" s="84">
        <v>0.8</v>
      </c>
      <c r="R4" s="85">
        <f>P4*Q4</f>
        <v>0.8</v>
      </c>
      <c r="S4" s="86" t="s">
        <v>1417</v>
      </c>
      <c r="T4" s="77"/>
      <c r="U4" s="79"/>
      <c r="V4" s="80"/>
      <c r="W4" s="81">
        <f>U4*V4</f>
        <v>0</v>
      </c>
      <c r="X4" s="82"/>
      <c r="Y4" s="77"/>
      <c r="Z4" s="79"/>
      <c r="AA4" s="80"/>
      <c r="AB4" s="81">
        <f>Z4*AA4</f>
        <v>0</v>
      </c>
      <c r="AC4" s="82"/>
      <c r="AD4" s="77"/>
      <c r="AE4" s="79"/>
      <c r="AF4" s="80"/>
      <c r="AG4" s="81">
        <f>AE4*AF4</f>
        <v>0</v>
      </c>
      <c r="AH4" s="82"/>
      <c r="AI4" s="77"/>
      <c r="AJ4" s="83">
        <v>1</v>
      </c>
      <c r="AK4" s="84">
        <v>0.4</v>
      </c>
      <c r="AL4" s="85">
        <f>AJ4*AK4</f>
        <v>0.4</v>
      </c>
      <c r="AM4" s="87" t="s">
        <v>1443</v>
      </c>
      <c r="AN4" s="77"/>
      <c r="AO4" s="83">
        <v>1</v>
      </c>
      <c r="AP4" s="84">
        <v>0.4</v>
      </c>
      <c r="AQ4" s="85">
        <f>AO4*AP4</f>
        <v>0.4</v>
      </c>
      <c r="AR4" s="86" t="s">
        <v>1188</v>
      </c>
    </row>
    <row r="5" spans="1:44" ht="232.5" customHeight="1" x14ac:dyDescent="0.25">
      <c r="A5" s="77">
        <v>2</v>
      </c>
      <c r="B5" s="78" t="s">
        <v>3</v>
      </c>
      <c r="C5" s="78" t="s">
        <v>4</v>
      </c>
      <c r="D5" s="78" t="s">
        <v>33</v>
      </c>
      <c r="E5" s="77"/>
      <c r="F5" s="79"/>
      <c r="G5" s="80"/>
      <c r="H5" s="81">
        <f t="shared" ref="H5:H56" si="0">F5*G5</f>
        <v>0</v>
      </c>
      <c r="I5" s="82"/>
      <c r="J5" s="77"/>
      <c r="K5" s="111">
        <v>1</v>
      </c>
      <c r="L5" s="112">
        <v>1</v>
      </c>
      <c r="M5" s="85">
        <f t="shared" ref="M5:M56" si="1">K5*L5</f>
        <v>1</v>
      </c>
      <c r="N5" s="113"/>
      <c r="O5" s="77"/>
      <c r="P5" s="111">
        <v>1</v>
      </c>
      <c r="Q5" s="112">
        <v>0.75</v>
      </c>
      <c r="R5" s="85">
        <f t="shared" ref="R5:R56" si="2">P5*Q5</f>
        <v>0.75</v>
      </c>
      <c r="S5" s="114" t="s">
        <v>1419</v>
      </c>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111">
        <v>1</v>
      </c>
      <c r="AK5" s="112">
        <v>0.6</v>
      </c>
      <c r="AL5" s="85">
        <f t="shared" ref="AL5:AL56" si="6">AJ5*AK5</f>
        <v>0.6</v>
      </c>
      <c r="AM5" s="113" t="s">
        <v>1420</v>
      </c>
      <c r="AN5" s="77"/>
      <c r="AO5" s="111">
        <v>1</v>
      </c>
      <c r="AP5" s="112">
        <v>0.15</v>
      </c>
      <c r="AQ5" s="85">
        <f t="shared" ref="AQ5:AQ56" si="7">AO5*AP5</f>
        <v>0.15</v>
      </c>
      <c r="AR5" s="113" t="s">
        <v>1257</v>
      </c>
    </row>
    <row r="6" spans="1:44" ht="267.75" x14ac:dyDescent="0.25">
      <c r="A6" s="77">
        <v>3</v>
      </c>
      <c r="B6" s="78" t="s">
        <v>3</v>
      </c>
      <c r="C6" s="78" t="s">
        <v>4</v>
      </c>
      <c r="D6" s="78" t="s">
        <v>128</v>
      </c>
      <c r="E6" s="77"/>
      <c r="F6" s="79"/>
      <c r="G6" s="80"/>
      <c r="H6" s="81">
        <f t="shared" si="0"/>
        <v>0</v>
      </c>
      <c r="I6" s="82"/>
      <c r="J6" s="77"/>
      <c r="K6" s="83">
        <v>1</v>
      </c>
      <c r="L6" s="84">
        <v>1</v>
      </c>
      <c r="M6" s="85">
        <f t="shared" si="1"/>
        <v>1</v>
      </c>
      <c r="N6" s="87"/>
      <c r="O6" s="77"/>
      <c r="P6" s="83">
        <v>1</v>
      </c>
      <c r="Q6" s="84">
        <v>0.95</v>
      </c>
      <c r="R6" s="85">
        <f t="shared" si="2"/>
        <v>0.95</v>
      </c>
      <c r="S6" s="86" t="s">
        <v>1236</v>
      </c>
      <c r="T6" s="77"/>
      <c r="U6" s="79"/>
      <c r="V6" s="80"/>
      <c r="W6" s="81">
        <f t="shared" si="3"/>
        <v>0</v>
      </c>
      <c r="X6" s="82"/>
      <c r="Y6" s="77"/>
      <c r="Z6" s="79"/>
      <c r="AA6" s="80"/>
      <c r="AB6" s="81">
        <f t="shared" si="4"/>
        <v>0</v>
      </c>
      <c r="AC6" s="82"/>
      <c r="AD6" s="77"/>
      <c r="AE6" s="79"/>
      <c r="AF6" s="80"/>
      <c r="AG6" s="81">
        <f t="shared" si="5"/>
        <v>0</v>
      </c>
      <c r="AH6" s="82"/>
      <c r="AI6" s="77"/>
      <c r="AJ6" s="83">
        <v>1</v>
      </c>
      <c r="AK6" s="84">
        <v>0.85</v>
      </c>
      <c r="AL6" s="85">
        <f t="shared" si="6"/>
        <v>0.85</v>
      </c>
      <c r="AM6" s="87" t="s">
        <v>1240</v>
      </c>
      <c r="AN6" s="77"/>
      <c r="AO6" s="83">
        <v>1</v>
      </c>
      <c r="AP6" s="84">
        <v>0.3</v>
      </c>
      <c r="AQ6" s="85">
        <f t="shared" si="7"/>
        <v>0.3</v>
      </c>
      <c r="AR6" s="82" t="s">
        <v>1593</v>
      </c>
    </row>
    <row r="7" spans="1:44" ht="236.25" x14ac:dyDescent="0.25">
      <c r="A7" s="77">
        <v>4</v>
      </c>
      <c r="B7" s="78" t="s">
        <v>3</v>
      </c>
      <c r="C7" s="78" t="s">
        <v>4</v>
      </c>
      <c r="D7" s="78" t="s">
        <v>34</v>
      </c>
      <c r="E7" s="77"/>
      <c r="F7" s="79"/>
      <c r="G7" s="80"/>
      <c r="H7" s="81">
        <f t="shared" si="0"/>
        <v>0</v>
      </c>
      <c r="I7" s="82"/>
      <c r="J7" s="77"/>
      <c r="K7" s="111">
        <v>1</v>
      </c>
      <c r="L7" s="112">
        <v>0.94499999999999995</v>
      </c>
      <c r="M7" s="85">
        <f t="shared" si="1"/>
        <v>0.94499999999999995</v>
      </c>
      <c r="N7" s="113" t="s">
        <v>1421</v>
      </c>
      <c r="O7" s="77"/>
      <c r="P7" s="111">
        <v>1</v>
      </c>
      <c r="Q7" s="112">
        <v>0.98</v>
      </c>
      <c r="R7" s="85">
        <f t="shared" si="2"/>
        <v>0.98</v>
      </c>
      <c r="S7" s="114" t="s">
        <v>1253</v>
      </c>
      <c r="T7" s="77"/>
      <c r="U7" s="79"/>
      <c r="V7" s="80"/>
      <c r="W7" s="81">
        <f t="shared" si="3"/>
        <v>0</v>
      </c>
      <c r="X7" s="82"/>
      <c r="Y7" s="77"/>
      <c r="Z7" s="79"/>
      <c r="AA7" s="80"/>
      <c r="AB7" s="81">
        <f t="shared" si="4"/>
        <v>0</v>
      </c>
      <c r="AC7" s="82"/>
      <c r="AD7" s="77"/>
      <c r="AE7" s="79"/>
      <c r="AF7" s="80"/>
      <c r="AG7" s="81">
        <f t="shared" si="5"/>
        <v>0</v>
      </c>
      <c r="AH7" s="82"/>
      <c r="AI7" s="77"/>
      <c r="AJ7" s="111">
        <v>1</v>
      </c>
      <c r="AK7" s="112">
        <v>0.93</v>
      </c>
      <c r="AL7" s="85">
        <f t="shared" si="6"/>
        <v>0.93</v>
      </c>
      <c r="AM7" s="113" t="s">
        <v>1254</v>
      </c>
      <c r="AN7" s="77"/>
      <c r="AO7" s="111">
        <v>1</v>
      </c>
      <c r="AP7" s="112">
        <v>0.25</v>
      </c>
      <c r="AQ7" s="85">
        <f t="shared" si="7"/>
        <v>0.25</v>
      </c>
      <c r="AR7" s="113" t="s">
        <v>1606</v>
      </c>
    </row>
    <row r="8" spans="1:44" ht="141.75" x14ac:dyDescent="0.25">
      <c r="A8" s="77">
        <v>5</v>
      </c>
      <c r="B8" s="78" t="s">
        <v>3</v>
      </c>
      <c r="C8" s="78" t="s">
        <v>4</v>
      </c>
      <c r="D8" s="78" t="s">
        <v>35</v>
      </c>
      <c r="E8" s="77"/>
      <c r="F8" s="79"/>
      <c r="G8" s="80"/>
      <c r="H8" s="81">
        <f t="shared" si="0"/>
        <v>0</v>
      </c>
      <c r="I8" s="82"/>
      <c r="J8" s="77"/>
      <c r="K8" s="83">
        <v>1</v>
      </c>
      <c r="L8" s="84">
        <v>0.7</v>
      </c>
      <c r="M8" s="85">
        <f t="shared" si="1"/>
        <v>0.7</v>
      </c>
      <c r="N8" s="86" t="s">
        <v>1180</v>
      </c>
      <c r="O8" s="77"/>
      <c r="P8" s="83">
        <v>1</v>
      </c>
      <c r="Q8" s="84">
        <v>0.8</v>
      </c>
      <c r="R8" s="85">
        <f t="shared" si="2"/>
        <v>0.8</v>
      </c>
      <c r="S8" s="86" t="s">
        <v>1424</v>
      </c>
      <c r="T8" s="77"/>
      <c r="U8" s="79"/>
      <c r="V8" s="80"/>
      <c r="W8" s="81">
        <f t="shared" si="3"/>
        <v>0</v>
      </c>
      <c r="X8" s="78"/>
      <c r="Y8" s="77"/>
      <c r="Z8" s="79"/>
      <c r="AA8" s="80"/>
      <c r="AB8" s="81">
        <f t="shared" si="4"/>
        <v>0</v>
      </c>
      <c r="AC8" s="78"/>
      <c r="AD8" s="77"/>
      <c r="AE8" s="79"/>
      <c r="AF8" s="80"/>
      <c r="AG8" s="81">
        <f t="shared" si="5"/>
        <v>0</v>
      </c>
      <c r="AH8" s="78"/>
      <c r="AI8" s="77"/>
      <c r="AJ8" s="83">
        <v>1</v>
      </c>
      <c r="AK8" s="84">
        <v>0.95</v>
      </c>
      <c r="AL8" s="85">
        <f t="shared" si="6"/>
        <v>0.95</v>
      </c>
      <c r="AM8" s="87" t="s">
        <v>1241</v>
      </c>
      <c r="AN8" s="77"/>
      <c r="AO8" s="83">
        <v>1</v>
      </c>
      <c r="AP8" s="84">
        <v>0.3</v>
      </c>
      <c r="AQ8" s="85">
        <f t="shared" si="7"/>
        <v>0.3</v>
      </c>
      <c r="AR8" s="87" t="s">
        <v>1190</v>
      </c>
    </row>
    <row r="9" spans="1:44" ht="220.5" x14ac:dyDescent="0.25">
      <c r="A9" s="77">
        <v>6</v>
      </c>
      <c r="B9" s="78" t="s">
        <v>3</v>
      </c>
      <c r="C9" s="78" t="s">
        <v>4</v>
      </c>
      <c r="D9" s="78" t="s">
        <v>129</v>
      </c>
      <c r="E9" s="77"/>
      <c r="F9" s="79"/>
      <c r="G9" s="80"/>
      <c r="H9" s="81">
        <f t="shared" si="0"/>
        <v>0</v>
      </c>
      <c r="I9" s="78"/>
      <c r="J9" s="77"/>
      <c r="K9" s="111">
        <v>1</v>
      </c>
      <c r="L9" s="112">
        <v>0.76</v>
      </c>
      <c r="M9" s="85">
        <f t="shared" si="1"/>
        <v>0.76</v>
      </c>
      <c r="N9" s="113" t="s">
        <v>1627</v>
      </c>
      <c r="O9" s="77"/>
      <c r="P9" s="111">
        <v>1</v>
      </c>
      <c r="Q9" s="112">
        <v>0.95</v>
      </c>
      <c r="R9" s="85">
        <f t="shared" si="2"/>
        <v>0.95</v>
      </c>
      <c r="S9" s="113" t="s">
        <v>1633</v>
      </c>
      <c r="T9" s="77"/>
      <c r="U9" s="79"/>
      <c r="V9" s="80"/>
      <c r="W9" s="81">
        <f t="shared" si="3"/>
        <v>0</v>
      </c>
      <c r="X9" s="78"/>
      <c r="Y9" s="77"/>
      <c r="Z9" s="79"/>
      <c r="AA9" s="80"/>
      <c r="AB9" s="81">
        <f t="shared" si="4"/>
        <v>0</v>
      </c>
      <c r="AC9" s="78"/>
      <c r="AD9" s="77"/>
      <c r="AE9" s="79"/>
      <c r="AF9" s="80"/>
      <c r="AG9" s="81">
        <f t="shared" si="5"/>
        <v>0</v>
      </c>
      <c r="AH9" s="78"/>
      <c r="AI9" s="77"/>
      <c r="AJ9" s="111">
        <v>1</v>
      </c>
      <c r="AK9" s="112">
        <v>0.5</v>
      </c>
      <c r="AL9" s="85">
        <f t="shared" si="6"/>
        <v>0.5</v>
      </c>
      <c r="AM9" s="113" t="s">
        <v>1242</v>
      </c>
      <c r="AN9" s="77"/>
      <c r="AO9" s="111">
        <v>1</v>
      </c>
      <c r="AP9" s="112">
        <v>0.2</v>
      </c>
      <c r="AQ9" s="85">
        <f t="shared" si="7"/>
        <v>0.2</v>
      </c>
      <c r="AR9" s="113" t="s">
        <v>1616</v>
      </c>
    </row>
    <row r="10" spans="1:44" ht="193.5" customHeight="1" x14ac:dyDescent="0.25">
      <c r="A10" s="77">
        <v>7</v>
      </c>
      <c r="B10" s="78" t="s">
        <v>3</v>
      </c>
      <c r="C10" s="78" t="s">
        <v>4</v>
      </c>
      <c r="D10" s="78" t="s">
        <v>36</v>
      </c>
      <c r="E10" s="77"/>
      <c r="F10" s="79"/>
      <c r="G10" s="80"/>
      <c r="H10" s="81">
        <f t="shared" si="0"/>
        <v>0</v>
      </c>
      <c r="I10" s="82"/>
      <c r="J10" s="77"/>
      <c r="K10" s="83">
        <v>1</v>
      </c>
      <c r="L10" s="84">
        <v>0.75</v>
      </c>
      <c r="M10" s="85">
        <f t="shared" si="1"/>
        <v>0.75</v>
      </c>
      <c r="N10" s="87" t="s">
        <v>1181</v>
      </c>
      <c r="O10" s="77"/>
      <c r="P10" s="83">
        <v>1</v>
      </c>
      <c r="Q10" s="84">
        <v>0.7</v>
      </c>
      <c r="R10" s="85">
        <f t="shared" si="2"/>
        <v>0.7</v>
      </c>
      <c r="S10" s="86" t="s">
        <v>1237</v>
      </c>
      <c r="T10" s="77"/>
      <c r="U10" s="79"/>
      <c r="V10" s="80"/>
      <c r="W10" s="81">
        <f t="shared" si="3"/>
        <v>0</v>
      </c>
      <c r="X10" s="82"/>
      <c r="Y10" s="77"/>
      <c r="Z10" s="79"/>
      <c r="AA10" s="80"/>
      <c r="AB10" s="81">
        <f t="shared" si="4"/>
        <v>0</v>
      </c>
      <c r="AC10" s="82"/>
      <c r="AD10" s="77"/>
      <c r="AE10" s="79"/>
      <c r="AF10" s="80"/>
      <c r="AG10" s="81">
        <f t="shared" si="5"/>
        <v>0</v>
      </c>
      <c r="AH10" s="82"/>
      <c r="AI10" s="77"/>
      <c r="AJ10" s="83">
        <v>1</v>
      </c>
      <c r="AK10" s="84">
        <v>0.4</v>
      </c>
      <c r="AL10" s="85">
        <f t="shared" si="6"/>
        <v>0.4</v>
      </c>
      <c r="AM10" s="87" t="s">
        <v>1243</v>
      </c>
      <c r="AN10" s="77"/>
      <c r="AO10" s="83">
        <v>1</v>
      </c>
      <c r="AP10" s="84">
        <v>0.2</v>
      </c>
      <c r="AQ10" s="85">
        <f t="shared" si="7"/>
        <v>0.2</v>
      </c>
      <c r="AR10" s="87" t="s">
        <v>1191</v>
      </c>
    </row>
    <row r="11" spans="1:44" ht="118.5" customHeight="1" x14ac:dyDescent="0.25">
      <c r="A11" s="77">
        <v>8</v>
      </c>
      <c r="B11" s="78" t="s">
        <v>3</v>
      </c>
      <c r="C11" s="78" t="s">
        <v>4</v>
      </c>
      <c r="D11" s="78" t="s">
        <v>64</v>
      </c>
      <c r="E11" s="77"/>
      <c r="F11" s="79"/>
      <c r="G11" s="80"/>
      <c r="H11" s="81">
        <f t="shared" si="0"/>
        <v>0</v>
      </c>
      <c r="I11" s="78"/>
      <c r="J11" s="77"/>
      <c r="K11" s="111">
        <v>1</v>
      </c>
      <c r="L11" s="112">
        <v>1</v>
      </c>
      <c r="M11" s="85">
        <f t="shared" si="1"/>
        <v>1</v>
      </c>
      <c r="N11" s="113"/>
      <c r="O11" s="77"/>
      <c r="P11" s="111">
        <v>1</v>
      </c>
      <c r="Q11" s="112">
        <v>0.9</v>
      </c>
      <c r="R11" s="85">
        <f t="shared" si="2"/>
        <v>0.9</v>
      </c>
      <c r="S11" s="113" t="s">
        <v>1238</v>
      </c>
      <c r="T11" s="77"/>
      <c r="U11" s="79"/>
      <c r="V11" s="80"/>
      <c r="W11" s="81">
        <f t="shared" si="3"/>
        <v>0</v>
      </c>
      <c r="X11" s="82"/>
      <c r="Y11" s="77"/>
      <c r="Z11" s="79"/>
      <c r="AA11" s="80"/>
      <c r="AB11" s="81">
        <f t="shared" si="4"/>
        <v>0</v>
      </c>
      <c r="AC11" s="82"/>
      <c r="AD11" s="77"/>
      <c r="AE11" s="79"/>
      <c r="AF11" s="80"/>
      <c r="AG11" s="81">
        <f t="shared" si="5"/>
        <v>0</v>
      </c>
      <c r="AH11" s="82"/>
      <c r="AI11" s="77"/>
      <c r="AJ11" s="111">
        <v>1</v>
      </c>
      <c r="AK11" s="112">
        <v>0.5</v>
      </c>
      <c r="AL11" s="85">
        <f t="shared" si="6"/>
        <v>0.5</v>
      </c>
      <c r="AM11" s="113" t="s">
        <v>1244</v>
      </c>
      <c r="AN11" s="77"/>
      <c r="AO11" s="111">
        <v>1</v>
      </c>
      <c r="AP11" s="112">
        <v>0.15</v>
      </c>
      <c r="AQ11" s="85">
        <f t="shared" si="7"/>
        <v>0.15</v>
      </c>
      <c r="AR11" s="113" t="s">
        <v>1192</v>
      </c>
    </row>
    <row r="12" spans="1:44" ht="63" x14ac:dyDescent="0.25">
      <c r="A12" s="77">
        <v>9</v>
      </c>
      <c r="B12" s="78" t="s">
        <v>3</v>
      </c>
      <c r="C12" s="78" t="s">
        <v>5</v>
      </c>
      <c r="D12" s="78" t="s">
        <v>37</v>
      </c>
      <c r="E12" s="77"/>
      <c r="F12" s="79"/>
      <c r="G12" s="80"/>
      <c r="H12" s="81">
        <f t="shared" si="0"/>
        <v>0</v>
      </c>
      <c r="I12" s="82"/>
      <c r="J12" s="77"/>
      <c r="K12" s="83">
        <v>1</v>
      </c>
      <c r="L12" s="99">
        <v>0.6</v>
      </c>
      <c r="M12" s="85">
        <f t="shared" si="1"/>
        <v>0.6</v>
      </c>
      <c r="N12" s="86" t="s">
        <v>1198</v>
      </c>
      <c r="O12" s="77"/>
      <c r="P12" s="83">
        <v>1</v>
      </c>
      <c r="Q12" s="84">
        <v>1</v>
      </c>
      <c r="R12" s="85">
        <f t="shared" si="2"/>
        <v>1</v>
      </c>
      <c r="S12" s="115"/>
      <c r="T12" s="77"/>
      <c r="U12" s="79"/>
      <c r="V12" s="80"/>
      <c r="W12" s="81">
        <f t="shared" si="3"/>
        <v>0</v>
      </c>
      <c r="X12" s="82"/>
      <c r="Y12" s="77"/>
      <c r="Z12" s="79"/>
      <c r="AA12" s="80"/>
      <c r="AB12" s="81">
        <f t="shared" si="4"/>
        <v>0</v>
      </c>
      <c r="AC12" s="82"/>
      <c r="AD12" s="77"/>
      <c r="AE12" s="79"/>
      <c r="AF12" s="80"/>
      <c r="AG12" s="81">
        <f t="shared" si="5"/>
        <v>0</v>
      </c>
      <c r="AH12" s="82"/>
      <c r="AI12" s="77"/>
      <c r="AJ12" s="83">
        <v>1</v>
      </c>
      <c r="AK12" s="84">
        <v>0.15</v>
      </c>
      <c r="AL12" s="85">
        <f t="shared" si="6"/>
        <v>0.15</v>
      </c>
      <c r="AM12" s="87" t="s">
        <v>1245</v>
      </c>
      <c r="AN12" s="77"/>
      <c r="AO12" s="83">
        <v>1</v>
      </c>
      <c r="AP12" s="84">
        <v>0.2</v>
      </c>
      <c r="AQ12" s="85">
        <f t="shared" si="7"/>
        <v>0.2</v>
      </c>
      <c r="AR12" s="86" t="s">
        <v>1258</v>
      </c>
    </row>
    <row r="13" spans="1:44" ht="94.5" x14ac:dyDescent="0.25">
      <c r="A13" s="77">
        <v>10</v>
      </c>
      <c r="B13" s="78" t="s">
        <v>3</v>
      </c>
      <c r="C13" s="78" t="s">
        <v>5</v>
      </c>
      <c r="D13" s="78" t="s">
        <v>38</v>
      </c>
      <c r="E13" s="77"/>
      <c r="F13" s="79"/>
      <c r="G13" s="80"/>
      <c r="H13" s="81">
        <f t="shared" si="0"/>
        <v>0</v>
      </c>
      <c r="I13" s="82"/>
      <c r="J13" s="77"/>
      <c r="K13" s="111">
        <v>1</v>
      </c>
      <c r="L13" s="112">
        <v>0.6</v>
      </c>
      <c r="M13" s="85">
        <f t="shared" si="1"/>
        <v>0.6</v>
      </c>
      <c r="N13" s="113" t="s">
        <v>1198</v>
      </c>
      <c r="O13" s="77"/>
      <c r="P13" s="111">
        <v>1</v>
      </c>
      <c r="Q13" s="112">
        <v>0.95</v>
      </c>
      <c r="R13" s="85">
        <f t="shared" si="2"/>
        <v>0.95</v>
      </c>
      <c r="S13" s="114" t="s">
        <v>1186</v>
      </c>
      <c r="T13" s="77"/>
      <c r="U13" s="79"/>
      <c r="V13" s="80"/>
      <c r="W13" s="81">
        <f t="shared" si="3"/>
        <v>0</v>
      </c>
      <c r="X13" s="82"/>
      <c r="Y13" s="77"/>
      <c r="Z13" s="79"/>
      <c r="AA13" s="80"/>
      <c r="AB13" s="81">
        <f t="shared" si="4"/>
        <v>0</v>
      </c>
      <c r="AC13" s="82"/>
      <c r="AD13" s="77"/>
      <c r="AE13" s="79"/>
      <c r="AF13" s="80"/>
      <c r="AG13" s="81">
        <f t="shared" si="5"/>
        <v>0</v>
      </c>
      <c r="AH13" s="82"/>
      <c r="AI13" s="77"/>
      <c r="AJ13" s="111">
        <v>1</v>
      </c>
      <c r="AK13" s="112">
        <v>0.15</v>
      </c>
      <c r="AL13" s="85">
        <f t="shared" si="6"/>
        <v>0.15</v>
      </c>
      <c r="AM13" s="113" t="s">
        <v>1246</v>
      </c>
      <c r="AN13" s="77"/>
      <c r="AO13" s="111">
        <v>1</v>
      </c>
      <c r="AP13" s="112">
        <v>0.3</v>
      </c>
      <c r="AQ13" s="85">
        <f t="shared" si="7"/>
        <v>0.3</v>
      </c>
      <c r="AR13" s="113" t="s">
        <v>1251</v>
      </c>
    </row>
    <row r="14" spans="1:44" ht="104.25" customHeight="1" x14ac:dyDescent="0.25">
      <c r="A14" s="77">
        <v>11</v>
      </c>
      <c r="B14" s="78" t="s">
        <v>3</v>
      </c>
      <c r="C14" s="78" t="s">
        <v>31</v>
      </c>
      <c r="D14" s="78" t="s">
        <v>39</v>
      </c>
      <c r="E14" s="77"/>
      <c r="F14" s="79"/>
      <c r="G14" s="80"/>
      <c r="H14" s="81">
        <f t="shared" si="0"/>
        <v>0</v>
      </c>
      <c r="I14" s="82"/>
      <c r="J14" s="77"/>
      <c r="K14" s="83">
        <v>1</v>
      </c>
      <c r="L14" s="84">
        <v>0.85</v>
      </c>
      <c r="M14" s="85">
        <f t="shared" si="1"/>
        <v>0.85</v>
      </c>
      <c r="N14" s="86" t="s">
        <v>1199</v>
      </c>
      <c r="O14" s="77"/>
      <c r="P14" s="83">
        <v>1</v>
      </c>
      <c r="Q14" s="84">
        <v>1</v>
      </c>
      <c r="R14" s="85">
        <f t="shared" si="2"/>
        <v>1</v>
      </c>
      <c r="S14" s="115"/>
      <c r="T14" s="77"/>
      <c r="U14" s="79"/>
      <c r="V14" s="80"/>
      <c r="W14" s="81">
        <f t="shared" si="3"/>
        <v>0</v>
      </c>
      <c r="X14" s="82"/>
      <c r="Y14" s="77"/>
      <c r="Z14" s="79"/>
      <c r="AA14" s="80"/>
      <c r="AB14" s="81">
        <f t="shared" si="4"/>
        <v>0</v>
      </c>
      <c r="AC14" s="82"/>
      <c r="AD14" s="77"/>
      <c r="AE14" s="79"/>
      <c r="AF14" s="80"/>
      <c r="AG14" s="81">
        <f t="shared" si="5"/>
        <v>0</v>
      </c>
      <c r="AH14" s="82"/>
      <c r="AI14" s="77"/>
      <c r="AJ14" s="83">
        <v>1</v>
      </c>
      <c r="AK14" s="84">
        <v>0.3</v>
      </c>
      <c r="AL14" s="85">
        <f t="shared" si="6"/>
        <v>0.3</v>
      </c>
      <c r="AM14" s="87" t="s">
        <v>1247</v>
      </c>
      <c r="AN14" s="77"/>
      <c r="AO14" s="83">
        <v>1</v>
      </c>
      <c r="AP14" s="84">
        <v>0.15</v>
      </c>
      <c r="AQ14" s="85">
        <f t="shared" si="7"/>
        <v>0.15</v>
      </c>
      <c r="AR14" s="86" t="s">
        <v>1195</v>
      </c>
    </row>
    <row r="15" spans="1:44" ht="153" customHeight="1" x14ac:dyDescent="0.25">
      <c r="A15" s="77">
        <v>12</v>
      </c>
      <c r="B15" s="78" t="s">
        <v>3</v>
      </c>
      <c r="C15" s="78" t="s">
        <v>31</v>
      </c>
      <c r="D15" s="78" t="s">
        <v>40</v>
      </c>
      <c r="E15" s="77"/>
      <c r="F15" s="79"/>
      <c r="G15" s="80"/>
      <c r="H15" s="81">
        <f t="shared" si="0"/>
        <v>0</v>
      </c>
      <c r="I15" s="82"/>
      <c r="J15" s="77"/>
      <c r="K15" s="111">
        <v>1</v>
      </c>
      <c r="L15" s="112">
        <v>1</v>
      </c>
      <c r="M15" s="85">
        <f t="shared" si="1"/>
        <v>1</v>
      </c>
      <c r="N15" s="113"/>
      <c r="O15" s="77"/>
      <c r="P15" s="111">
        <v>1</v>
      </c>
      <c r="Q15" s="112">
        <v>0.95</v>
      </c>
      <c r="R15" s="85">
        <f t="shared" si="2"/>
        <v>0.95</v>
      </c>
      <c r="S15" s="114" t="s">
        <v>1187</v>
      </c>
      <c r="T15" s="77"/>
      <c r="U15" s="79"/>
      <c r="V15" s="80"/>
      <c r="W15" s="81">
        <f t="shared" si="3"/>
        <v>0</v>
      </c>
      <c r="X15" s="82"/>
      <c r="Y15" s="77"/>
      <c r="Z15" s="79"/>
      <c r="AA15" s="80"/>
      <c r="AB15" s="81">
        <f t="shared" si="4"/>
        <v>0</v>
      </c>
      <c r="AC15" s="82"/>
      <c r="AD15" s="77"/>
      <c r="AE15" s="79"/>
      <c r="AF15" s="80"/>
      <c r="AG15" s="81">
        <f t="shared" si="5"/>
        <v>0</v>
      </c>
      <c r="AH15" s="82"/>
      <c r="AI15" s="77"/>
      <c r="AJ15" s="111">
        <v>1</v>
      </c>
      <c r="AK15" s="112">
        <v>0.3</v>
      </c>
      <c r="AL15" s="85">
        <f t="shared" si="6"/>
        <v>0.3</v>
      </c>
      <c r="AM15" s="113" t="s">
        <v>1248</v>
      </c>
      <c r="AN15" s="77"/>
      <c r="AO15" s="111">
        <v>1</v>
      </c>
      <c r="AP15" s="112">
        <v>0.5</v>
      </c>
      <c r="AQ15" s="85">
        <f t="shared" si="7"/>
        <v>0.5</v>
      </c>
      <c r="AR15" s="113" t="s">
        <v>1252</v>
      </c>
    </row>
    <row r="16" spans="1:44" ht="347.25" customHeight="1" x14ac:dyDescent="0.25">
      <c r="A16" s="77">
        <v>13</v>
      </c>
      <c r="B16" s="78" t="s">
        <v>6</v>
      </c>
      <c r="C16" s="78" t="s">
        <v>7</v>
      </c>
      <c r="D16" s="78" t="s">
        <v>41</v>
      </c>
      <c r="E16" s="77"/>
      <c r="F16" s="79"/>
      <c r="G16" s="80"/>
      <c r="H16" s="81">
        <f t="shared" si="0"/>
        <v>0</v>
      </c>
      <c r="I16" s="82"/>
      <c r="J16" s="77"/>
      <c r="K16" s="100">
        <v>1</v>
      </c>
      <c r="L16" s="101">
        <v>1</v>
      </c>
      <c r="M16" s="85">
        <f t="shared" si="1"/>
        <v>1</v>
      </c>
      <c r="N16" s="102" t="s">
        <v>633</v>
      </c>
      <c r="O16" s="77"/>
      <c r="P16" s="100">
        <v>1</v>
      </c>
      <c r="Q16" s="101">
        <v>0.7</v>
      </c>
      <c r="R16" s="85">
        <f t="shared" si="2"/>
        <v>0.7</v>
      </c>
      <c r="S16" s="102" t="s">
        <v>703</v>
      </c>
      <c r="T16" s="77"/>
      <c r="U16" s="79"/>
      <c r="V16" s="80"/>
      <c r="W16" s="81">
        <f t="shared" si="3"/>
        <v>0</v>
      </c>
      <c r="X16" s="82"/>
      <c r="Y16" s="77"/>
      <c r="Z16" s="79"/>
      <c r="AA16" s="80"/>
      <c r="AB16" s="81">
        <f t="shared" si="4"/>
        <v>0</v>
      </c>
      <c r="AC16" s="82"/>
      <c r="AD16" s="77"/>
      <c r="AE16" s="79"/>
      <c r="AF16" s="80"/>
      <c r="AG16" s="81">
        <f t="shared" si="5"/>
        <v>0</v>
      </c>
      <c r="AH16" s="82"/>
      <c r="AI16" s="77"/>
      <c r="AJ16" s="100">
        <v>1</v>
      </c>
      <c r="AK16" s="101">
        <v>0.6</v>
      </c>
      <c r="AL16" s="85">
        <f t="shared" si="6"/>
        <v>0.6</v>
      </c>
      <c r="AM16" s="102" t="s">
        <v>1444</v>
      </c>
      <c r="AN16" s="77"/>
      <c r="AO16" s="100">
        <v>1</v>
      </c>
      <c r="AP16" s="101">
        <v>0.98</v>
      </c>
      <c r="AQ16" s="85">
        <f t="shared" si="7"/>
        <v>0.98</v>
      </c>
      <c r="AR16" s="102" t="s">
        <v>1445</v>
      </c>
    </row>
    <row r="17" spans="1:44" ht="110.25" x14ac:dyDescent="0.25">
      <c r="A17" s="77">
        <v>14</v>
      </c>
      <c r="B17" s="78" t="s">
        <v>6</v>
      </c>
      <c r="C17" s="78" t="s">
        <v>7</v>
      </c>
      <c r="D17" s="78" t="s">
        <v>130</v>
      </c>
      <c r="E17" s="77"/>
      <c r="F17" s="79"/>
      <c r="G17" s="80"/>
      <c r="H17" s="81">
        <f t="shared" si="0"/>
        <v>0</v>
      </c>
      <c r="I17" s="82"/>
      <c r="J17" s="77"/>
      <c r="K17" s="100">
        <v>1</v>
      </c>
      <c r="L17" s="101">
        <v>1</v>
      </c>
      <c r="M17" s="85">
        <f t="shared" si="1"/>
        <v>1</v>
      </c>
      <c r="N17" s="102" t="s">
        <v>441</v>
      </c>
      <c r="O17" s="77"/>
      <c r="P17" s="100">
        <v>1</v>
      </c>
      <c r="Q17" s="101">
        <v>0.65</v>
      </c>
      <c r="R17" s="85">
        <f t="shared" si="2"/>
        <v>0.65</v>
      </c>
      <c r="S17" s="102" t="s">
        <v>704</v>
      </c>
      <c r="T17" s="77"/>
      <c r="U17" s="79"/>
      <c r="V17" s="80"/>
      <c r="W17" s="81">
        <f t="shared" si="3"/>
        <v>0</v>
      </c>
      <c r="X17" s="82"/>
      <c r="Y17" s="77"/>
      <c r="Z17" s="79"/>
      <c r="AA17" s="80"/>
      <c r="AB17" s="81">
        <f t="shared" si="4"/>
        <v>0</v>
      </c>
      <c r="AC17" s="82"/>
      <c r="AD17" s="77"/>
      <c r="AE17" s="79"/>
      <c r="AF17" s="80"/>
      <c r="AG17" s="81">
        <f t="shared" si="5"/>
        <v>0</v>
      </c>
      <c r="AH17" s="82"/>
      <c r="AI17" s="77"/>
      <c r="AJ17" s="100">
        <v>1</v>
      </c>
      <c r="AK17" s="101">
        <v>0.15</v>
      </c>
      <c r="AL17" s="85">
        <f t="shared" si="6"/>
        <v>0.15</v>
      </c>
      <c r="AM17" s="102" t="s">
        <v>714</v>
      </c>
      <c r="AN17" s="77"/>
      <c r="AO17" s="100">
        <v>1</v>
      </c>
      <c r="AP17" s="101">
        <v>0.75</v>
      </c>
      <c r="AQ17" s="85">
        <f t="shared" si="7"/>
        <v>0.75</v>
      </c>
      <c r="AR17" s="102" t="s">
        <v>724</v>
      </c>
    </row>
    <row r="18" spans="1:44" ht="126" x14ac:dyDescent="0.25">
      <c r="A18" s="77">
        <v>15</v>
      </c>
      <c r="B18" s="78" t="s">
        <v>6</v>
      </c>
      <c r="C18" s="78" t="s">
        <v>7</v>
      </c>
      <c r="D18" s="78" t="s">
        <v>131</v>
      </c>
      <c r="E18" s="77"/>
      <c r="F18" s="79"/>
      <c r="G18" s="80"/>
      <c r="H18" s="81">
        <f t="shared" si="0"/>
        <v>0</v>
      </c>
      <c r="I18" s="82"/>
      <c r="J18" s="77"/>
      <c r="K18" s="100">
        <v>1</v>
      </c>
      <c r="L18" s="101">
        <v>1</v>
      </c>
      <c r="M18" s="85">
        <f t="shared" si="1"/>
        <v>1</v>
      </c>
      <c r="N18" s="78" t="s">
        <v>691</v>
      </c>
      <c r="O18" s="77"/>
      <c r="P18" s="100">
        <v>1</v>
      </c>
      <c r="Q18" s="101">
        <v>0.95</v>
      </c>
      <c r="R18" s="85">
        <f t="shared" si="2"/>
        <v>0.95</v>
      </c>
      <c r="S18" s="78" t="s">
        <v>705</v>
      </c>
      <c r="T18" s="77"/>
      <c r="U18" s="79"/>
      <c r="V18" s="80"/>
      <c r="W18" s="81">
        <f t="shared" si="3"/>
        <v>0</v>
      </c>
      <c r="X18" s="82"/>
      <c r="Y18" s="77"/>
      <c r="Z18" s="79"/>
      <c r="AA18" s="80"/>
      <c r="AB18" s="81">
        <f t="shared" si="4"/>
        <v>0</v>
      </c>
      <c r="AC18" s="82"/>
      <c r="AD18" s="77"/>
      <c r="AE18" s="79"/>
      <c r="AF18" s="80"/>
      <c r="AG18" s="81">
        <f t="shared" si="5"/>
        <v>0</v>
      </c>
      <c r="AH18" s="82"/>
      <c r="AI18" s="77"/>
      <c r="AJ18" s="100">
        <v>1</v>
      </c>
      <c r="AK18" s="101">
        <v>0.8</v>
      </c>
      <c r="AL18" s="85">
        <f t="shared" si="6"/>
        <v>0.8</v>
      </c>
      <c r="AM18" s="78" t="s">
        <v>715</v>
      </c>
      <c r="AN18" s="77"/>
      <c r="AO18" s="100">
        <v>1</v>
      </c>
      <c r="AP18" s="101">
        <v>0.95</v>
      </c>
      <c r="AQ18" s="85">
        <f t="shared" si="7"/>
        <v>0.95</v>
      </c>
      <c r="AR18" s="78" t="s">
        <v>725</v>
      </c>
    </row>
    <row r="19" spans="1:44" ht="78.75" x14ac:dyDescent="0.25">
      <c r="A19" s="77">
        <v>16</v>
      </c>
      <c r="B19" s="78" t="s">
        <v>6</v>
      </c>
      <c r="C19" s="78" t="s">
        <v>7</v>
      </c>
      <c r="D19" s="78" t="s">
        <v>42</v>
      </c>
      <c r="E19" s="77"/>
      <c r="F19" s="79"/>
      <c r="G19" s="80"/>
      <c r="H19" s="81">
        <f t="shared" si="0"/>
        <v>0</v>
      </c>
      <c r="I19" s="82"/>
      <c r="J19" s="77"/>
      <c r="K19" s="100">
        <v>1</v>
      </c>
      <c r="L19" s="101">
        <v>1</v>
      </c>
      <c r="M19" s="85">
        <f t="shared" si="1"/>
        <v>1</v>
      </c>
      <c r="N19" s="78" t="s">
        <v>692</v>
      </c>
      <c r="O19" s="77"/>
      <c r="P19" s="100">
        <v>1</v>
      </c>
      <c r="Q19" s="101">
        <v>0.95</v>
      </c>
      <c r="R19" s="85">
        <f t="shared" si="2"/>
        <v>0.95</v>
      </c>
      <c r="S19" s="78" t="s">
        <v>706</v>
      </c>
      <c r="T19" s="77"/>
      <c r="U19" s="79"/>
      <c r="V19" s="80"/>
      <c r="W19" s="81">
        <f t="shared" si="3"/>
        <v>0</v>
      </c>
      <c r="X19" s="82"/>
      <c r="Y19" s="77"/>
      <c r="Z19" s="79"/>
      <c r="AA19" s="80"/>
      <c r="AB19" s="81">
        <f t="shared" si="4"/>
        <v>0</v>
      </c>
      <c r="AC19" s="82"/>
      <c r="AD19" s="77"/>
      <c r="AE19" s="79"/>
      <c r="AF19" s="80"/>
      <c r="AG19" s="81">
        <f t="shared" si="5"/>
        <v>0</v>
      </c>
      <c r="AH19" s="82"/>
      <c r="AI19" s="77"/>
      <c r="AJ19" s="100">
        <v>1</v>
      </c>
      <c r="AK19" s="101">
        <v>1</v>
      </c>
      <c r="AL19" s="85">
        <f t="shared" si="6"/>
        <v>1</v>
      </c>
      <c r="AM19" s="78" t="s">
        <v>716</v>
      </c>
      <c r="AN19" s="77"/>
      <c r="AO19" s="100">
        <v>1</v>
      </c>
      <c r="AP19" s="101">
        <v>0.96</v>
      </c>
      <c r="AQ19" s="85">
        <f t="shared" si="7"/>
        <v>0.96</v>
      </c>
      <c r="AR19" s="78" t="s">
        <v>619</v>
      </c>
    </row>
    <row r="20" spans="1:44" ht="364.5" customHeight="1" x14ac:dyDescent="0.25">
      <c r="A20" s="77">
        <v>17</v>
      </c>
      <c r="B20" s="78" t="s">
        <v>6</v>
      </c>
      <c r="C20" s="78" t="s">
        <v>7</v>
      </c>
      <c r="D20" s="78" t="s">
        <v>43</v>
      </c>
      <c r="E20" s="77"/>
      <c r="F20" s="79"/>
      <c r="G20" s="80"/>
      <c r="H20" s="81">
        <f t="shared" si="0"/>
        <v>0</v>
      </c>
      <c r="I20" s="82"/>
      <c r="J20" s="77"/>
      <c r="K20" s="100">
        <v>1</v>
      </c>
      <c r="L20" s="101">
        <v>0.7</v>
      </c>
      <c r="M20" s="85">
        <f t="shared" si="1"/>
        <v>0.7</v>
      </c>
      <c r="N20" s="102" t="s">
        <v>444</v>
      </c>
      <c r="O20" s="77"/>
      <c r="P20" s="100">
        <v>1</v>
      </c>
      <c r="Q20" s="101">
        <v>0.9</v>
      </c>
      <c r="R20" s="85">
        <f t="shared" si="2"/>
        <v>0.9</v>
      </c>
      <c r="S20" s="102" t="s">
        <v>652</v>
      </c>
      <c r="T20" s="77"/>
      <c r="U20" s="79"/>
      <c r="V20" s="80"/>
      <c r="W20" s="81">
        <f t="shared" si="3"/>
        <v>0</v>
      </c>
      <c r="X20" s="82"/>
      <c r="Y20" s="77"/>
      <c r="Z20" s="79"/>
      <c r="AA20" s="80"/>
      <c r="AB20" s="81">
        <f t="shared" si="4"/>
        <v>0</v>
      </c>
      <c r="AC20" s="82"/>
      <c r="AD20" s="77"/>
      <c r="AE20" s="79"/>
      <c r="AF20" s="80"/>
      <c r="AG20" s="81">
        <f t="shared" si="5"/>
        <v>0</v>
      </c>
      <c r="AH20" s="82"/>
      <c r="AI20" s="77"/>
      <c r="AJ20" s="100">
        <v>1</v>
      </c>
      <c r="AK20" s="101">
        <v>0.45</v>
      </c>
      <c r="AL20" s="85">
        <f t="shared" si="6"/>
        <v>0.45</v>
      </c>
      <c r="AM20" s="102" t="s">
        <v>717</v>
      </c>
      <c r="AN20" s="77"/>
      <c r="AO20" s="100">
        <v>1</v>
      </c>
      <c r="AP20" s="101">
        <v>0.5</v>
      </c>
      <c r="AQ20" s="85">
        <f t="shared" si="7"/>
        <v>0.5</v>
      </c>
      <c r="AR20" s="102" t="s">
        <v>726</v>
      </c>
    </row>
    <row r="21" spans="1:44" ht="141.75" x14ac:dyDescent="0.25">
      <c r="A21" s="77">
        <v>18</v>
      </c>
      <c r="B21" s="78" t="s">
        <v>6</v>
      </c>
      <c r="C21" s="78" t="s">
        <v>7</v>
      </c>
      <c r="D21" s="78" t="s">
        <v>44</v>
      </c>
      <c r="E21" s="77"/>
      <c r="F21" s="79"/>
      <c r="G21" s="80"/>
      <c r="H21" s="81">
        <f t="shared" si="0"/>
        <v>0</v>
      </c>
      <c r="I21" s="82"/>
      <c r="J21" s="77"/>
      <c r="K21" s="100">
        <v>1</v>
      </c>
      <c r="L21" s="101">
        <v>0.75</v>
      </c>
      <c r="M21" s="85">
        <f>K21*L21</f>
        <v>0.75</v>
      </c>
      <c r="N21" s="102" t="s">
        <v>693</v>
      </c>
      <c r="O21" s="77"/>
      <c r="P21" s="100">
        <v>1</v>
      </c>
      <c r="Q21" s="101">
        <v>0.75</v>
      </c>
      <c r="R21" s="85">
        <f>P21*Q21</f>
        <v>0.75</v>
      </c>
      <c r="S21" s="102" t="s">
        <v>1446</v>
      </c>
      <c r="T21" s="77"/>
      <c r="U21" s="79"/>
      <c r="V21" s="80"/>
      <c r="W21" s="81">
        <f t="shared" si="3"/>
        <v>0</v>
      </c>
      <c r="X21" s="82"/>
      <c r="Y21" s="77"/>
      <c r="Z21" s="79"/>
      <c r="AA21" s="80"/>
      <c r="AB21" s="81">
        <f t="shared" si="4"/>
        <v>0</v>
      </c>
      <c r="AC21" s="82"/>
      <c r="AD21" s="77"/>
      <c r="AE21" s="79"/>
      <c r="AF21" s="80"/>
      <c r="AG21" s="81">
        <f t="shared" si="5"/>
        <v>0</v>
      </c>
      <c r="AH21" s="82"/>
      <c r="AI21" s="77"/>
      <c r="AJ21" s="100">
        <v>1</v>
      </c>
      <c r="AK21" s="101">
        <v>0.2</v>
      </c>
      <c r="AL21" s="85">
        <f t="shared" si="6"/>
        <v>0.2</v>
      </c>
      <c r="AM21" s="102" t="s">
        <v>718</v>
      </c>
      <c r="AN21" s="77"/>
      <c r="AO21" s="100">
        <v>1</v>
      </c>
      <c r="AP21" s="101">
        <v>0.72</v>
      </c>
      <c r="AQ21" s="85">
        <f t="shared" si="7"/>
        <v>0.72</v>
      </c>
      <c r="AR21" s="102" t="s">
        <v>727</v>
      </c>
    </row>
    <row r="22" spans="1:44" ht="94.5" x14ac:dyDescent="0.25">
      <c r="A22" s="77">
        <v>19</v>
      </c>
      <c r="B22" s="78" t="s">
        <v>6</v>
      </c>
      <c r="C22" s="78" t="s">
        <v>7</v>
      </c>
      <c r="D22" s="78" t="s">
        <v>45</v>
      </c>
      <c r="E22" s="77"/>
      <c r="F22" s="79"/>
      <c r="G22" s="80"/>
      <c r="H22" s="81">
        <f t="shared" si="0"/>
        <v>0</v>
      </c>
      <c r="I22" s="82"/>
      <c r="J22" s="77"/>
      <c r="K22" s="100">
        <v>1</v>
      </c>
      <c r="L22" s="101">
        <v>0.65</v>
      </c>
      <c r="M22" s="85">
        <f t="shared" ref="M22:M23" si="8">K22*L22</f>
        <v>0.65</v>
      </c>
      <c r="N22" s="102" t="s">
        <v>694</v>
      </c>
      <c r="O22" s="77"/>
      <c r="P22" s="100">
        <v>1</v>
      </c>
      <c r="Q22" s="101">
        <v>0.4</v>
      </c>
      <c r="R22" s="85">
        <f t="shared" ref="R22:R23" si="9">P22*Q22</f>
        <v>0.4</v>
      </c>
      <c r="S22" s="102" t="s">
        <v>707</v>
      </c>
      <c r="T22" s="77"/>
      <c r="U22" s="79"/>
      <c r="V22" s="80"/>
      <c r="W22" s="81">
        <f t="shared" si="3"/>
        <v>0</v>
      </c>
      <c r="X22" s="82"/>
      <c r="Y22" s="77"/>
      <c r="Z22" s="79"/>
      <c r="AA22" s="80"/>
      <c r="AB22" s="81">
        <f t="shared" si="4"/>
        <v>0</v>
      </c>
      <c r="AC22" s="82"/>
      <c r="AD22" s="77"/>
      <c r="AE22" s="79"/>
      <c r="AF22" s="80"/>
      <c r="AG22" s="81">
        <f t="shared" si="5"/>
        <v>0</v>
      </c>
      <c r="AH22" s="82"/>
      <c r="AI22" s="77"/>
      <c r="AJ22" s="100">
        <v>1</v>
      </c>
      <c r="AK22" s="101">
        <v>0.4</v>
      </c>
      <c r="AL22" s="85">
        <f t="shared" si="6"/>
        <v>0.4</v>
      </c>
      <c r="AM22" s="102" t="s">
        <v>719</v>
      </c>
      <c r="AN22" s="77"/>
      <c r="AO22" s="100">
        <v>1</v>
      </c>
      <c r="AP22" s="101">
        <v>0.3</v>
      </c>
      <c r="AQ22" s="85">
        <f t="shared" si="7"/>
        <v>0.3</v>
      </c>
      <c r="AR22" s="102" t="s">
        <v>679</v>
      </c>
    </row>
    <row r="23" spans="1:44" ht="94.5" x14ac:dyDescent="0.25">
      <c r="A23" s="77">
        <v>20</v>
      </c>
      <c r="B23" s="78" t="s">
        <v>6</v>
      </c>
      <c r="C23" s="78" t="s">
        <v>7</v>
      </c>
      <c r="D23" s="78" t="s">
        <v>46</v>
      </c>
      <c r="E23" s="77"/>
      <c r="F23" s="79"/>
      <c r="G23" s="80"/>
      <c r="H23" s="81">
        <f t="shared" si="0"/>
        <v>0</v>
      </c>
      <c r="I23" s="82"/>
      <c r="J23" s="77"/>
      <c r="K23" s="100">
        <v>1</v>
      </c>
      <c r="L23" s="101">
        <v>0.9</v>
      </c>
      <c r="M23" s="85">
        <f t="shared" si="8"/>
        <v>0.9</v>
      </c>
      <c r="N23" s="102" t="s">
        <v>695</v>
      </c>
      <c r="O23" s="77"/>
      <c r="P23" s="100">
        <v>1</v>
      </c>
      <c r="Q23" s="101">
        <v>0.6</v>
      </c>
      <c r="R23" s="85">
        <f t="shared" si="9"/>
        <v>0.6</v>
      </c>
      <c r="S23" s="102" t="s">
        <v>654</v>
      </c>
      <c r="T23" s="77"/>
      <c r="U23" s="79"/>
      <c r="V23" s="80"/>
      <c r="W23" s="81">
        <f t="shared" si="3"/>
        <v>0</v>
      </c>
      <c r="X23" s="82"/>
      <c r="Y23" s="77"/>
      <c r="Z23" s="79"/>
      <c r="AA23" s="80"/>
      <c r="AB23" s="81">
        <f t="shared" si="4"/>
        <v>0</v>
      </c>
      <c r="AC23" s="82"/>
      <c r="AD23" s="77"/>
      <c r="AE23" s="79"/>
      <c r="AF23" s="80"/>
      <c r="AG23" s="81">
        <f t="shared" si="5"/>
        <v>0</v>
      </c>
      <c r="AH23" s="82"/>
      <c r="AI23" s="77"/>
      <c r="AJ23" s="100">
        <v>1</v>
      </c>
      <c r="AK23" s="101">
        <v>0.5</v>
      </c>
      <c r="AL23" s="85">
        <f t="shared" si="6"/>
        <v>0.5</v>
      </c>
      <c r="AM23" s="102" t="s">
        <v>720</v>
      </c>
      <c r="AN23" s="77"/>
      <c r="AO23" s="100">
        <v>1</v>
      </c>
      <c r="AP23" s="101">
        <v>0.3</v>
      </c>
      <c r="AQ23" s="85">
        <f t="shared" si="7"/>
        <v>0.3</v>
      </c>
      <c r="AR23" s="102" t="s">
        <v>728</v>
      </c>
    </row>
    <row r="24" spans="1:44" ht="126" x14ac:dyDescent="0.25">
      <c r="A24" s="77">
        <v>21</v>
      </c>
      <c r="B24" s="78" t="s">
        <v>6</v>
      </c>
      <c r="C24" s="78" t="s">
        <v>7</v>
      </c>
      <c r="D24" s="78" t="s">
        <v>47</v>
      </c>
      <c r="E24" s="77"/>
      <c r="F24" s="79"/>
      <c r="G24" s="80"/>
      <c r="H24" s="81">
        <f t="shared" si="0"/>
        <v>0</v>
      </c>
      <c r="I24" s="82"/>
      <c r="J24" s="77" t="s">
        <v>30</v>
      </c>
      <c r="K24" s="100">
        <v>1</v>
      </c>
      <c r="L24" s="101">
        <v>0.98</v>
      </c>
      <c r="M24" s="85">
        <f t="shared" si="1"/>
        <v>0.98</v>
      </c>
      <c r="N24" s="102" t="s">
        <v>358</v>
      </c>
      <c r="O24" s="77"/>
      <c r="P24" s="100">
        <v>1</v>
      </c>
      <c r="Q24" s="101">
        <v>0.9</v>
      </c>
      <c r="R24" s="85">
        <f>P24*Q24</f>
        <v>0.9</v>
      </c>
      <c r="S24" s="102" t="s">
        <v>655</v>
      </c>
      <c r="T24" s="77"/>
      <c r="U24" s="79"/>
      <c r="V24" s="80"/>
      <c r="W24" s="81">
        <f t="shared" si="3"/>
        <v>0</v>
      </c>
      <c r="X24" s="82"/>
      <c r="Y24" s="77"/>
      <c r="Z24" s="79"/>
      <c r="AA24" s="80"/>
      <c r="AB24" s="81">
        <f t="shared" si="4"/>
        <v>0</v>
      </c>
      <c r="AC24" s="82"/>
      <c r="AD24" s="77"/>
      <c r="AE24" s="79"/>
      <c r="AF24" s="80"/>
      <c r="AG24" s="81">
        <f t="shared" si="5"/>
        <v>0</v>
      </c>
      <c r="AH24" s="82"/>
      <c r="AI24" s="77"/>
      <c r="AJ24" s="100">
        <v>1</v>
      </c>
      <c r="AK24" s="101">
        <v>0.98</v>
      </c>
      <c r="AL24" s="85">
        <f t="shared" si="6"/>
        <v>0.98</v>
      </c>
      <c r="AM24" s="102" t="s">
        <v>307</v>
      </c>
      <c r="AN24" s="77"/>
      <c r="AO24" s="100">
        <v>1</v>
      </c>
      <c r="AP24" s="101">
        <v>0.95</v>
      </c>
      <c r="AQ24" s="85">
        <f t="shared" si="7"/>
        <v>0.95</v>
      </c>
      <c r="AR24" s="102" t="s">
        <v>185</v>
      </c>
    </row>
    <row r="25" spans="1:44" s="73" customFormat="1" ht="126" x14ac:dyDescent="0.25">
      <c r="A25" s="77">
        <v>22</v>
      </c>
      <c r="B25" s="78" t="s">
        <v>6</v>
      </c>
      <c r="C25" s="78" t="s">
        <v>8</v>
      </c>
      <c r="D25" s="78" t="s">
        <v>48</v>
      </c>
      <c r="E25" s="77"/>
      <c r="F25" s="79"/>
      <c r="G25" s="80"/>
      <c r="H25" s="81">
        <f t="shared" si="0"/>
        <v>0</v>
      </c>
      <c r="I25" s="82"/>
      <c r="J25" s="77"/>
      <c r="K25" s="100">
        <v>1</v>
      </c>
      <c r="L25" s="101">
        <v>1</v>
      </c>
      <c r="M25" s="85">
        <f t="shared" si="1"/>
        <v>1</v>
      </c>
      <c r="N25" s="102" t="s">
        <v>696</v>
      </c>
      <c r="O25" s="77"/>
      <c r="P25" s="100">
        <v>1</v>
      </c>
      <c r="Q25" s="101">
        <v>1</v>
      </c>
      <c r="R25" s="85">
        <f t="shared" ref="R25:R29" si="10">P25*Q25</f>
        <v>1</v>
      </c>
      <c r="S25" s="102" t="s">
        <v>656</v>
      </c>
      <c r="T25" s="77"/>
      <c r="U25" s="79"/>
      <c r="V25" s="80"/>
      <c r="W25" s="81">
        <f t="shared" si="3"/>
        <v>0</v>
      </c>
      <c r="X25" s="82"/>
      <c r="Y25" s="77"/>
      <c r="Z25" s="79"/>
      <c r="AA25" s="80"/>
      <c r="AB25" s="81">
        <f t="shared" si="4"/>
        <v>0</v>
      </c>
      <c r="AC25" s="82"/>
      <c r="AD25" s="77"/>
      <c r="AE25" s="79"/>
      <c r="AF25" s="80"/>
      <c r="AG25" s="81">
        <f t="shared" si="5"/>
        <v>0</v>
      </c>
      <c r="AH25" s="82"/>
      <c r="AI25" s="77"/>
      <c r="AJ25" s="100">
        <v>1</v>
      </c>
      <c r="AK25" s="101">
        <v>0.55000000000000004</v>
      </c>
      <c r="AL25" s="85">
        <f t="shared" si="6"/>
        <v>0.55000000000000004</v>
      </c>
      <c r="AM25" s="102" t="s">
        <v>721</v>
      </c>
      <c r="AN25" s="77"/>
      <c r="AO25" s="100">
        <v>1</v>
      </c>
      <c r="AP25" s="101">
        <v>0.5</v>
      </c>
      <c r="AQ25" s="85">
        <f t="shared" si="7"/>
        <v>0.5</v>
      </c>
      <c r="AR25" s="78" t="s">
        <v>729</v>
      </c>
    </row>
    <row r="26" spans="1:44" ht="94.5" x14ac:dyDescent="0.25">
      <c r="A26" s="77">
        <v>23</v>
      </c>
      <c r="B26" s="78" t="s">
        <v>6</v>
      </c>
      <c r="C26" s="78" t="s">
        <v>8</v>
      </c>
      <c r="D26" s="78" t="s">
        <v>49</v>
      </c>
      <c r="E26" s="77"/>
      <c r="F26" s="79"/>
      <c r="G26" s="80"/>
      <c r="H26" s="81">
        <f t="shared" si="0"/>
        <v>0</v>
      </c>
      <c r="I26" s="82"/>
      <c r="J26" s="77"/>
      <c r="K26" s="100">
        <v>1</v>
      </c>
      <c r="L26" s="101">
        <v>1</v>
      </c>
      <c r="M26" s="85">
        <f t="shared" si="1"/>
        <v>1</v>
      </c>
      <c r="N26" s="102" t="s">
        <v>697</v>
      </c>
      <c r="O26" s="77"/>
      <c r="P26" s="100">
        <v>1</v>
      </c>
      <c r="Q26" s="101">
        <v>1</v>
      </c>
      <c r="R26" s="85">
        <f t="shared" si="10"/>
        <v>1</v>
      </c>
      <c r="S26" s="102" t="s">
        <v>708</v>
      </c>
      <c r="T26" s="77"/>
      <c r="U26" s="79"/>
      <c r="V26" s="80"/>
      <c r="W26" s="81">
        <f t="shared" si="3"/>
        <v>0</v>
      </c>
      <c r="X26" s="82"/>
      <c r="Y26" s="77"/>
      <c r="Z26" s="79"/>
      <c r="AA26" s="80"/>
      <c r="AB26" s="81">
        <f t="shared" si="4"/>
        <v>0</v>
      </c>
      <c r="AC26" s="82"/>
      <c r="AD26" s="77"/>
      <c r="AE26" s="79"/>
      <c r="AF26" s="80"/>
      <c r="AG26" s="81">
        <f t="shared" si="5"/>
        <v>0</v>
      </c>
      <c r="AH26" s="82"/>
      <c r="AI26" s="77"/>
      <c r="AJ26" s="100">
        <v>1</v>
      </c>
      <c r="AK26" s="101">
        <v>0.7</v>
      </c>
      <c r="AL26" s="85">
        <f t="shared" si="6"/>
        <v>0.7</v>
      </c>
      <c r="AM26" s="102" t="s">
        <v>671</v>
      </c>
      <c r="AN26" s="77"/>
      <c r="AO26" s="100">
        <v>1</v>
      </c>
      <c r="AP26" s="101">
        <v>0.7</v>
      </c>
      <c r="AQ26" s="85">
        <f t="shared" si="7"/>
        <v>0.7</v>
      </c>
      <c r="AR26" s="78" t="s">
        <v>682</v>
      </c>
    </row>
    <row r="27" spans="1:44" ht="78.75" x14ac:dyDescent="0.25">
      <c r="A27" s="77">
        <v>24</v>
      </c>
      <c r="B27" s="78" t="s">
        <v>6</v>
      </c>
      <c r="C27" s="78" t="s">
        <v>8</v>
      </c>
      <c r="D27" s="78" t="s">
        <v>50</v>
      </c>
      <c r="E27" s="77"/>
      <c r="F27" s="79"/>
      <c r="G27" s="80"/>
      <c r="H27" s="81">
        <f t="shared" si="0"/>
        <v>0</v>
      </c>
      <c r="I27" s="82"/>
      <c r="J27" s="77"/>
      <c r="K27" s="100">
        <v>1</v>
      </c>
      <c r="L27" s="101">
        <v>0.99</v>
      </c>
      <c r="M27" s="85">
        <f t="shared" si="1"/>
        <v>0.99</v>
      </c>
      <c r="N27" s="102" t="s">
        <v>641</v>
      </c>
      <c r="O27" s="77"/>
      <c r="P27" s="100">
        <v>1</v>
      </c>
      <c r="Q27" s="101">
        <v>1</v>
      </c>
      <c r="R27" s="85">
        <f t="shared" si="10"/>
        <v>1</v>
      </c>
      <c r="S27" s="102" t="s">
        <v>279</v>
      </c>
      <c r="T27" s="77"/>
      <c r="U27" s="79"/>
      <c r="V27" s="80"/>
      <c r="W27" s="81">
        <f t="shared" si="3"/>
        <v>0</v>
      </c>
      <c r="X27" s="82"/>
      <c r="Y27" s="77"/>
      <c r="Z27" s="79"/>
      <c r="AA27" s="80"/>
      <c r="AB27" s="81">
        <f t="shared" si="4"/>
        <v>0</v>
      </c>
      <c r="AC27" s="82"/>
      <c r="AD27" s="77"/>
      <c r="AE27" s="79"/>
      <c r="AF27" s="80"/>
      <c r="AG27" s="81">
        <f t="shared" si="5"/>
        <v>0</v>
      </c>
      <c r="AH27" s="82"/>
      <c r="AI27" s="77"/>
      <c r="AJ27" s="100">
        <v>1</v>
      </c>
      <c r="AK27" s="101">
        <v>0.2</v>
      </c>
      <c r="AL27" s="85">
        <f t="shared" si="6"/>
        <v>0.2</v>
      </c>
      <c r="AM27" s="102" t="s">
        <v>722</v>
      </c>
      <c r="AN27" s="77"/>
      <c r="AO27" s="100">
        <v>1</v>
      </c>
      <c r="AP27" s="101">
        <v>0.7</v>
      </c>
      <c r="AQ27" s="85">
        <f t="shared" si="7"/>
        <v>0.7</v>
      </c>
      <c r="AR27" s="78" t="s">
        <v>625</v>
      </c>
    </row>
    <row r="28" spans="1:44" ht="267.75" x14ac:dyDescent="0.25">
      <c r="A28" s="77">
        <v>25</v>
      </c>
      <c r="B28" s="78" t="s">
        <v>6</v>
      </c>
      <c r="C28" s="78" t="s">
        <v>8</v>
      </c>
      <c r="D28" s="78" t="s">
        <v>51</v>
      </c>
      <c r="E28" s="77"/>
      <c r="F28" s="79"/>
      <c r="G28" s="80"/>
      <c r="H28" s="81">
        <f t="shared" si="0"/>
        <v>0</v>
      </c>
      <c r="I28" s="82"/>
      <c r="J28" s="77"/>
      <c r="K28" s="100">
        <v>1</v>
      </c>
      <c r="L28" s="101">
        <v>0.85</v>
      </c>
      <c r="M28" s="85">
        <f t="shared" si="1"/>
        <v>0.85</v>
      </c>
      <c r="N28" s="102" t="s">
        <v>1447</v>
      </c>
      <c r="O28" s="77"/>
      <c r="P28" s="100">
        <v>1</v>
      </c>
      <c r="Q28" s="101">
        <v>0.75</v>
      </c>
      <c r="R28" s="85">
        <f t="shared" si="10"/>
        <v>0.75</v>
      </c>
      <c r="S28" s="102" t="s">
        <v>1448</v>
      </c>
      <c r="T28" s="77"/>
      <c r="U28" s="79"/>
      <c r="V28" s="80"/>
      <c r="W28" s="81">
        <f t="shared" si="3"/>
        <v>0</v>
      </c>
      <c r="X28" s="82"/>
      <c r="Y28" s="77"/>
      <c r="Z28" s="79"/>
      <c r="AA28" s="80"/>
      <c r="AB28" s="81">
        <f t="shared" si="4"/>
        <v>0</v>
      </c>
      <c r="AC28" s="82"/>
      <c r="AD28" s="77"/>
      <c r="AE28" s="79"/>
      <c r="AF28" s="80"/>
      <c r="AG28" s="81">
        <f t="shared" si="5"/>
        <v>0</v>
      </c>
      <c r="AH28" s="82"/>
      <c r="AI28" s="77"/>
      <c r="AJ28" s="100">
        <v>1</v>
      </c>
      <c r="AK28" s="101">
        <v>0.1</v>
      </c>
      <c r="AL28" s="85">
        <f t="shared" si="6"/>
        <v>0.1</v>
      </c>
      <c r="AM28" s="102" t="s">
        <v>604</v>
      </c>
      <c r="AN28" s="77"/>
      <c r="AO28" s="100">
        <v>1</v>
      </c>
      <c r="AP28" s="101">
        <v>0.7</v>
      </c>
      <c r="AQ28" s="85">
        <f t="shared" si="7"/>
        <v>0.7</v>
      </c>
      <c r="AR28" s="102" t="s">
        <v>730</v>
      </c>
    </row>
    <row r="29" spans="1:44" ht="94.5" x14ac:dyDescent="0.25">
      <c r="A29" s="77">
        <v>26</v>
      </c>
      <c r="B29" s="78" t="s">
        <v>6</v>
      </c>
      <c r="C29" s="78" t="s">
        <v>8</v>
      </c>
      <c r="D29" s="78" t="s">
        <v>52</v>
      </c>
      <c r="E29" s="77"/>
      <c r="F29" s="79"/>
      <c r="G29" s="80"/>
      <c r="H29" s="81">
        <f t="shared" si="0"/>
        <v>0</v>
      </c>
      <c r="I29" s="82"/>
      <c r="J29" s="77"/>
      <c r="K29" s="100">
        <v>1</v>
      </c>
      <c r="L29" s="101">
        <v>1</v>
      </c>
      <c r="M29" s="85">
        <f t="shared" si="1"/>
        <v>1</v>
      </c>
      <c r="N29" s="102" t="s">
        <v>147</v>
      </c>
      <c r="O29" s="77"/>
      <c r="P29" s="100">
        <v>1</v>
      </c>
      <c r="Q29" s="101">
        <v>0.85</v>
      </c>
      <c r="R29" s="85">
        <f t="shared" si="10"/>
        <v>0.85</v>
      </c>
      <c r="S29" s="102" t="s">
        <v>709</v>
      </c>
      <c r="T29" s="77"/>
      <c r="U29" s="79"/>
      <c r="V29" s="80"/>
      <c r="W29" s="81">
        <f t="shared" si="3"/>
        <v>0</v>
      </c>
      <c r="X29" s="78"/>
      <c r="Y29" s="77"/>
      <c r="Z29" s="79"/>
      <c r="AA29" s="80"/>
      <c r="AB29" s="81">
        <f t="shared" si="4"/>
        <v>0</v>
      </c>
      <c r="AC29" s="78"/>
      <c r="AD29" s="77"/>
      <c r="AE29" s="79"/>
      <c r="AF29" s="80"/>
      <c r="AG29" s="81">
        <f t="shared" si="5"/>
        <v>0</v>
      </c>
      <c r="AH29" s="78"/>
      <c r="AI29" s="77"/>
      <c r="AJ29" s="100">
        <v>1</v>
      </c>
      <c r="AK29" s="101">
        <v>0.1</v>
      </c>
      <c r="AL29" s="85">
        <f t="shared" si="6"/>
        <v>0.1</v>
      </c>
      <c r="AM29" s="102" t="s">
        <v>605</v>
      </c>
      <c r="AN29" s="77"/>
      <c r="AO29" s="100">
        <v>1</v>
      </c>
      <c r="AP29" s="101">
        <v>0.75</v>
      </c>
      <c r="AQ29" s="85">
        <f t="shared" si="7"/>
        <v>0.75</v>
      </c>
      <c r="AR29" s="102" t="s">
        <v>731</v>
      </c>
    </row>
    <row r="30" spans="1:44" ht="283.5" x14ac:dyDescent="0.25">
      <c r="A30" s="77">
        <v>27</v>
      </c>
      <c r="B30" s="78" t="s">
        <v>6</v>
      </c>
      <c r="C30" s="78" t="s">
        <v>8</v>
      </c>
      <c r="D30" s="78" t="s">
        <v>53</v>
      </c>
      <c r="E30" s="77"/>
      <c r="F30" s="79"/>
      <c r="G30" s="80"/>
      <c r="H30" s="81">
        <f t="shared" si="0"/>
        <v>0</v>
      </c>
      <c r="I30" s="82"/>
      <c r="J30" s="77"/>
      <c r="K30" s="100">
        <v>1</v>
      </c>
      <c r="L30" s="101">
        <v>1</v>
      </c>
      <c r="M30" s="85">
        <f t="shared" si="1"/>
        <v>1</v>
      </c>
      <c r="N30" s="102"/>
      <c r="O30" s="77"/>
      <c r="P30" s="100">
        <v>1</v>
      </c>
      <c r="Q30" s="101">
        <v>0.6</v>
      </c>
      <c r="R30" s="85">
        <f t="shared" si="2"/>
        <v>0.6</v>
      </c>
      <c r="S30" s="102" t="s">
        <v>464</v>
      </c>
      <c r="T30" s="77"/>
      <c r="U30" s="79"/>
      <c r="V30" s="80"/>
      <c r="W30" s="81">
        <f t="shared" si="3"/>
        <v>0</v>
      </c>
      <c r="X30" s="82"/>
      <c r="Y30" s="77"/>
      <c r="Z30" s="79"/>
      <c r="AA30" s="80"/>
      <c r="AB30" s="81">
        <f t="shared" si="4"/>
        <v>0</v>
      </c>
      <c r="AC30" s="82"/>
      <c r="AD30" s="77"/>
      <c r="AE30" s="79"/>
      <c r="AF30" s="80"/>
      <c r="AG30" s="81">
        <f t="shared" si="5"/>
        <v>0</v>
      </c>
      <c r="AH30" s="82"/>
      <c r="AI30" s="77"/>
      <c r="AJ30" s="100">
        <v>1</v>
      </c>
      <c r="AK30" s="101">
        <v>0.85</v>
      </c>
      <c r="AL30" s="85">
        <f t="shared" si="6"/>
        <v>0.85</v>
      </c>
      <c r="AM30" s="102" t="s">
        <v>606</v>
      </c>
      <c r="AN30" s="77"/>
      <c r="AO30" s="100">
        <v>1</v>
      </c>
      <c r="AP30" s="101">
        <v>1</v>
      </c>
      <c r="AQ30" s="85">
        <f t="shared" si="7"/>
        <v>1</v>
      </c>
      <c r="AR30" s="102"/>
    </row>
    <row r="31" spans="1:44" ht="78.75" x14ac:dyDescent="0.25">
      <c r="A31" s="77">
        <v>28</v>
      </c>
      <c r="B31" s="78" t="s">
        <v>6</v>
      </c>
      <c r="C31" s="78" t="s">
        <v>8</v>
      </c>
      <c r="D31" s="78" t="s">
        <v>54</v>
      </c>
      <c r="E31" s="77"/>
      <c r="F31" s="79"/>
      <c r="G31" s="80"/>
      <c r="H31" s="81">
        <f t="shared" si="0"/>
        <v>0</v>
      </c>
      <c r="I31" s="82"/>
      <c r="J31" s="77"/>
      <c r="K31" s="100">
        <v>1</v>
      </c>
      <c r="L31" s="101">
        <v>1</v>
      </c>
      <c r="M31" s="85">
        <f t="shared" si="1"/>
        <v>1</v>
      </c>
      <c r="N31" s="102" t="s">
        <v>698</v>
      </c>
      <c r="O31" s="77"/>
      <c r="P31" s="100">
        <v>1</v>
      </c>
      <c r="Q31" s="101">
        <v>1</v>
      </c>
      <c r="R31" s="85">
        <f t="shared" si="2"/>
        <v>1</v>
      </c>
      <c r="S31" s="102" t="s">
        <v>710</v>
      </c>
      <c r="T31" s="77"/>
      <c r="U31" s="79"/>
      <c r="V31" s="80"/>
      <c r="W31" s="81">
        <f t="shared" si="3"/>
        <v>0</v>
      </c>
      <c r="X31" s="82"/>
      <c r="Y31" s="77"/>
      <c r="Z31" s="79"/>
      <c r="AA31" s="80"/>
      <c r="AB31" s="81">
        <f t="shared" si="4"/>
        <v>0</v>
      </c>
      <c r="AC31" s="82"/>
      <c r="AD31" s="77"/>
      <c r="AE31" s="79"/>
      <c r="AF31" s="80"/>
      <c r="AG31" s="81">
        <f t="shared" si="5"/>
        <v>0</v>
      </c>
      <c r="AH31" s="82"/>
      <c r="AI31" s="77"/>
      <c r="AJ31" s="100">
        <v>1</v>
      </c>
      <c r="AK31" s="101">
        <v>1</v>
      </c>
      <c r="AL31" s="85">
        <f t="shared" si="6"/>
        <v>1</v>
      </c>
      <c r="AM31" s="102" t="s">
        <v>672</v>
      </c>
      <c r="AN31" s="77"/>
      <c r="AO31" s="100">
        <v>1</v>
      </c>
      <c r="AP31" s="101">
        <v>1</v>
      </c>
      <c r="AQ31" s="85">
        <f t="shared" si="7"/>
        <v>1</v>
      </c>
      <c r="AR31" s="102" t="s">
        <v>686</v>
      </c>
    </row>
    <row r="32" spans="1:44" ht="94.5" x14ac:dyDescent="0.25">
      <c r="A32" s="77">
        <v>29</v>
      </c>
      <c r="B32" s="78" t="s">
        <v>6</v>
      </c>
      <c r="C32" s="78" t="s">
        <v>8</v>
      </c>
      <c r="D32" s="78" t="s">
        <v>55</v>
      </c>
      <c r="E32" s="77"/>
      <c r="F32" s="79"/>
      <c r="G32" s="80"/>
      <c r="H32" s="81">
        <f t="shared" si="0"/>
        <v>0</v>
      </c>
      <c r="I32" s="82"/>
      <c r="J32" s="77"/>
      <c r="K32" s="100">
        <v>1</v>
      </c>
      <c r="L32" s="101">
        <v>1</v>
      </c>
      <c r="M32" s="85">
        <f t="shared" si="1"/>
        <v>1</v>
      </c>
      <c r="N32" s="102" t="s">
        <v>699</v>
      </c>
      <c r="O32" s="77"/>
      <c r="P32" s="100">
        <v>1</v>
      </c>
      <c r="Q32" s="101">
        <v>1</v>
      </c>
      <c r="R32" s="85">
        <f t="shared" si="2"/>
        <v>1</v>
      </c>
      <c r="S32" s="102" t="s">
        <v>711</v>
      </c>
      <c r="T32" s="77"/>
      <c r="U32" s="79"/>
      <c r="V32" s="80"/>
      <c r="W32" s="81">
        <f t="shared" si="3"/>
        <v>0</v>
      </c>
      <c r="X32" s="82"/>
      <c r="Y32" s="77"/>
      <c r="Z32" s="79"/>
      <c r="AA32" s="80"/>
      <c r="AB32" s="81">
        <f t="shared" si="4"/>
        <v>0</v>
      </c>
      <c r="AC32" s="82"/>
      <c r="AD32" s="77"/>
      <c r="AE32" s="79"/>
      <c r="AF32" s="80"/>
      <c r="AG32" s="81">
        <f t="shared" si="5"/>
        <v>0</v>
      </c>
      <c r="AH32" s="82"/>
      <c r="AI32" s="77"/>
      <c r="AJ32" s="100">
        <v>1</v>
      </c>
      <c r="AK32" s="101">
        <v>1</v>
      </c>
      <c r="AL32" s="85">
        <f t="shared" si="6"/>
        <v>1</v>
      </c>
      <c r="AM32" s="102" t="s">
        <v>673</v>
      </c>
      <c r="AN32" s="77"/>
      <c r="AO32" s="100">
        <v>1</v>
      </c>
      <c r="AP32" s="101">
        <v>1</v>
      </c>
      <c r="AQ32" s="85">
        <f t="shared" si="7"/>
        <v>1</v>
      </c>
      <c r="AR32" s="102" t="s">
        <v>732</v>
      </c>
    </row>
    <row r="33" spans="1:44" ht="94.5" x14ac:dyDescent="0.25">
      <c r="A33" s="77">
        <v>30</v>
      </c>
      <c r="B33" s="78" t="s">
        <v>6</v>
      </c>
      <c r="C33" s="78" t="s">
        <v>8</v>
      </c>
      <c r="D33" s="78" t="s">
        <v>56</v>
      </c>
      <c r="E33" s="77"/>
      <c r="F33" s="79"/>
      <c r="G33" s="80"/>
      <c r="H33" s="81">
        <f t="shared" si="0"/>
        <v>0</v>
      </c>
      <c r="I33" s="82"/>
      <c r="J33" s="77"/>
      <c r="K33" s="100">
        <v>1</v>
      </c>
      <c r="L33" s="101">
        <v>1</v>
      </c>
      <c r="M33" s="85">
        <f t="shared" si="1"/>
        <v>1</v>
      </c>
      <c r="N33" s="102" t="s">
        <v>700</v>
      </c>
      <c r="O33" s="77"/>
      <c r="P33" s="100">
        <v>1</v>
      </c>
      <c r="Q33" s="101">
        <v>0.5</v>
      </c>
      <c r="R33" s="85">
        <f t="shared" si="2"/>
        <v>0.5</v>
      </c>
      <c r="S33" s="102" t="s">
        <v>465</v>
      </c>
      <c r="T33" s="77"/>
      <c r="U33" s="79"/>
      <c r="V33" s="80"/>
      <c r="W33" s="81">
        <f t="shared" si="3"/>
        <v>0</v>
      </c>
      <c r="X33" s="82"/>
      <c r="Y33" s="77"/>
      <c r="Z33" s="79"/>
      <c r="AA33" s="80"/>
      <c r="AB33" s="81">
        <f t="shared" si="4"/>
        <v>0</v>
      </c>
      <c r="AC33" s="82"/>
      <c r="AD33" s="77"/>
      <c r="AE33" s="79"/>
      <c r="AF33" s="80"/>
      <c r="AG33" s="81">
        <f t="shared" si="5"/>
        <v>0</v>
      </c>
      <c r="AH33" s="82"/>
      <c r="AI33" s="77"/>
      <c r="AJ33" s="100">
        <v>1</v>
      </c>
      <c r="AK33" s="101">
        <v>0.3</v>
      </c>
      <c r="AL33" s="85">
        <f t="shared" si="6"/>
        <v>0.3</v>
      </c>
      <c r="AM33" s="102" t="s">
        <v>609</v>
      </c>
      <c r="AN33" s="77"/>
      <c r="AO33" s="100">
        <v>1</v>
      </c>
      <c r="AP33" s="101">
        <v>0.5</v>
      </c>
      <c r="AQ33" s="85">
        <f t="shared" si="7"/>
        <v>0.5</v>
      </c>
      <c r="AR33" s="102" t="s">
        <v>687</v>
      </c>
    </row>
    <row r="34" spans="1:44" ht="165" customHeight="1" x14ac:dyDescent="0.25">
      <c r="A34" s="77">
        <v>31</v>
      </c>
      <c r="B34" s="78" t="s">
        <v>6</v>
      </c>
      <c r="C34" s="78" t="s">
        <v>9</v>
      </c>
      <c r="D34" s="102" t="s">
        <v>57</v>
      </c>
      <c r="E34" s="77"/>
      <c r="F34" s="79"/>
      <c r="G34" s="80"/>
      <c r="H34" s="81">
        <f t="shared" si="0"/>
        <v>0</v>
      </c>
      <c r="I34" s="82"/>
      <c r="J34" s="77"/>
      <c r="K34" s="100">
        <v>1</v>
      </c>
      <c r="L34" s="101">
        <v>0.65</v>
      </c>
      <c r="M34" s="85">
        <f t="shared" si="1"/>
        <v>0.65</v>
      </c>
      <c r="N34" s="102" t="s">
        <v>1586</v>
      </c>
      <c r="O34" s="77"/>
      <c r="P34" s="100">
        <v>1</v>
      </c>
      <c r="Q34" s="101">
        <v>0.3</v>
      </c>
      <c r="R34" s="85">
        <f t="shared" si="2"/>
        <v>0.3</v>
      </c>
      <c r="S34" s="102" t="s">
        <v>173</v>
      </c>
      <c r="T34" s="77"/>
      <c r="U34" s="79"/>
      <c r="V34" s="80"/>
      <c r="W34" s="81">
        <f t="shared" si="3"/>
        <v>0</v>
      </c>
      <c r="X34" s="82"/>
      <c r="Y34" s="77"/>
      <c r="Z34" s="79"/>
      <c r="AA34" s="80"/>
      <c r="AB34" s="81">
        <f t="shared" si="4"/>
        <v>0</v>
      </c>
      <c r="AC34" s="82"/>
      <c r="AD34" s="77"/>
      <c r="AE34" s="79"/>
      <c r="AF34" s="80"/>
      <c r="AG34" s="81">
        <f t="shared" si="5"/>
        <v>0</v>
      </c>
      <c r="AH34" s="82"/>
      <c r="AI34" s="77"/>
      <c r="AJ34" s="100">
        <v>1</v>
      </c>
      <c r="AK34" s="101">
        <v>0.3</v>
      </c>
      <c r="AL34" s="85">
        <f t="shared" si="6"/>
        <v>0.3</v>
      </c>
      <c r="AM34" s="102" t="s">
        <v>610</v>
      </c>
      <c r="AN34" s="77"/>
      <c r="AO34" s="100">
        <v>1</v>
      </c>
      <c r="AP34" s="101">
        <v>0.5</v>
      </c>
      <c r="AQ34" s="85">
        <f t="shared" si="7"/>
        <v>0.5</v>
      </c>
      <c r="AR34" s="102" t="s">
        <v>688</v>
      </c>
    </row>
    <row r="35" spans="1:44" ht="189" x14ac:dyDescent="0.25">
      <c r="A35" s="77">
        <v>32</v>
      </c>
      <c r="B35" s="78" t="s">
        <v>6</v>
      </c>
      <c r="C35" s="78" t="s">
        <v>9</v>
      </c>
      <c r="D35" s="102" t="s">
        <v>58</v>
      </c>
      <c r="E35" s="77"/>
      <c r="F35" s="79"/>
      <c r="G35" s="80"/>
      <c r="H35" s="81">
        <f t="shared" si="0"/>
        <v>0</v>
      </c>
      <c r="I35" s="78"/>
      <c r="J35" s="77"/>
      <c r="K35" s="100">
        <v>1</v>
      </c>
      <c r="L35" s="101">
        <v>0.9</v>
      </c>
      <c r="M35" s="85">
        <f t="shared" si="1"/>
        <v>0.9</v>
      </c>
      <c r="N35" s="102" t="s">
        <v>152</v>
      </c>
      <c r="O35" s="77"/>
      <c r="P35" s="100">
        <v>1</v>
      </c>
      <c r="Q35" s="101">
        <v>0.7</v>
      </c>
      <c r="R35" s="85">
        <f t="shared" si="2"/>
        <v>0.7</v>
      </c>
      <c r="S35" s="102" t="s">
        <v>332</v>
      </c>
      <c r="T35" s="77"/>
      <c r="U35" s="79"/>
      <c r="V35" s="80"/>
      <c r="W35" s="81">
        <f t="shared" si="3"/>
        <v>0</v>
      </c>
      <c r="X35" s="82"/>
      <c r="Y35" s="77"/>
      <c r="Z35" s="79"/>
      <c r="AA35" s="80"/>
      <c r="AB35" s="81">
        <f t="shared" si="4"/>
        <v>0</v>
      </c>
      <c r="AC35" s="82"/>
      <c r="AD35" s="77"/>
      <c r="AE35" s="79"/>
      <c r="AF35" s="80"/>
      <c r="AG35" s="81">
        <f t="shared" si="5"/>
        <v>0</v>
      </c>
      <c r="AH35" s="82"/>
      <c r="AI35" s="77"/>
      <c r="AJ35" s="100">
        <v>1</v>
      </c>
      <c r="AK35" s="101">
        <v>0.1</v>
      </c>
      <c r="AL35" s="85">
        <f t="shared" si="6"/>
        <v>0.1</v>
      </c>
      <c r="AM35" s="102" t="s">
        <v>611</v>
      </c>
      <c r="AN35" s="77"/>
      <c r="AO35" s="100">
        <v>1</v>
      </c>
      <c r="AP35" s="101">
        <v>0.5</v>
      </c>
      <c r="AQ35" s="85">
        <f t="shared" si="7"/>
        <v>0.5</v>
      </c>
      <c r="AR35" s="102" t="s">
        <v>348</v>
      </c>
    </row>
    <row r="36" spans="1:44" ht="157.5" x14ac:dyDescent="0.25">
      <c r="A36" s="77">
        <v>33</v>
      </c>
      <c r="B36" s="78" t="s">
        <v>6</v>
      </c>
      <c r="C36" s="78" t="s">
        <v>9</v>
      </c>
      <c r="D36" s="78" t="s">
        <v>59</v>
      </c>
      <c r="E36" s="77"/>
      <c r="F36" s="79"/>
      <c r="G36" s="80"/>
      <c r="H36" s="81">
        <f t="shared" si="0"/>
        <v>0</v>
      </c>
      <c r="I36" s="82"/>
      <c r="J36" s="77"/>
      <c r="K36" s="100">
        <v>1</v>
      </c>
      <c r="L36" s="101">
        <v>1</v>
      </c>
      <c r="M36" s="85">
        <f t="shared" si="1"/>
        <v>1</v>
      </c>
      <c r="N36" s="102"/>
      <c r="O36" s="77"/>
      <c r="P36" s="100">
        <v>1</v>
      </c>
      <c r="Q36" s="101">
        <v>0.5</v>
      </c>
      <c r="R36" s="85">
        <f t="shared" si="2"/>
        <v>0.5</v>
      </c>
      <c r="S36" s="102" t="s">
        <v>712</v>
      </c>
      <c r="T36" s="77"/>
      <c r="U36" s="79"/>
      <c r="V36" s="80"/>
      <c r="W36" s="81">
        <f t="shared" si="3"/>
        <v>0</v>
      </c>
      <c r="X36" s="82"/>
      <c r="Y36" s="77"/>
      <c r="Z36" s="79"/>
      <c r="AA36" s="80"/>
      <c r="AB36" s="81">
        <f t="shared" si="4"/>
        <v>0</v>
      </c>
      <c r="AC36" s="82"/>
      <c r="AD36" s="77"/>
      <c r="AE36" s="79"/>
      <c r="AF36" s="80"/>
      <c r="AG36" s="81">
        <f t="shared" si="5"/>
        <v>0</v>
      </c>
      <c r="AH36" s="82"/>
      <c r="AI36" s="77"/>
      <c r="AJ36" s="100">
        <v>1</v>
      </c>
      <c r="AK36" s="101">
        <v>0.5</v>
      </c>
      <c r="AL36" s="85">
        <f t="shared" si="6"/>
        <v>0.5</v>
      </c>
      <c r="AM36" s="102" t="s">
        <v>612</v>
      </c>
      <c r="AN36" s="77"/>
      <c r="AO36" s="100">
        <v>1</v>
      </c>
      <c r="AP36" s="101">
        <v>0.8</v>
      </c>
      <c r="AQ36" s="85">
        <f t="shared" si="7"/>
        <v>0.8</v>
      </c>
      <c r="AR36" s="102" t="s">
        <v>689</v>
      </c>
    </row>
    <row r="37" spans="1:44" ht="94.5" x14ac:dyDescent="0.25">
      <c r="A37" s="77">
        <v>34</v>
      </c>
      <c r="B37" s="78" t="s">
        <v>6</v>
      </c>
      <c r="C37" s="78" t="s">
        <v>9</v>
      </c>
      <c r="D37" s="78" t="s">
        <v>60</v>
      </c>
      <c r="E37" s="77"/>
      <c r="F37" s="79"/>
      <c r="G37" s="80"/>
      <c r="H37" s="81">
        <f t="shared" si="0"/>
        <v>0</v>
      </c>
      <c r="I37" s="82"/>
      <c r="J37" s="77"/>
      <c r="K37" s="100">
        <v>1</v>
      </c>
      <c r="L37" s="101">
        <v>1</v>
      </c>
      <c r="M37" s="85">
        <f t="shared" si="1"/>
        <v>1</v>
      </c>
      <c r="N37" s="102" t="s">
        <v>701</v>
      </c>
      <c r="O37" s="77"/>
      <c r="P37" s="100">
        <v>1</v>
      </c>
      <c r="Q37" s="101">
        <v>1</v>
      </c>
      <c r="R37" s="85">
        <f t="shared" si="2"/>
        <v>1</v>
      </c>
      <c r="S37" s="102" t="s">
        <v>176</v>
      </c>
      <c r="T37" s="77"/>
      <c r="U37" s="79"/>
      <c r="V37" s="80"/>
      <c r="W37" s="81">
        <f t="shared" si="3"/>
        <v>0</v>
      </c>
      <c r="X37" s="82"/>
      <c r="Y37" s="77"/>
      <c r="Z37" s="79"/>
      <c r="AA37" s="80"/>
      <c r="AB37" s="81">
        <f t="shared" si="4"/>
        <v>0</v>
      </c>
      <c r="AC37" s="82"/>
      <c r="AD37" s="77"/>
      <c r="AE37" s="79"/>
      <c r="AF37" s="80"/>
      <c r="AG37" s="81">
        <f t="shared" si="5"/>
        <v>0</v>
      </c>
      <c r="AH37" s="82"/>
      <c r="AI37" s="77"/>
      <c r="AJ37" s="100">
        <v>1</v>
      </c>
      <c r="AK37" s="101">
        <v>1</v>
      </c>
      <c r="AL37" s="85">
        <f t="shared" si="6"/>
        <v>1</v>
      </c>
      <c r="AM37" s="102" t="s">
        <v>613</v>
      </c>
      <c r="AN37" s="77"/>
      <c r="AO37" s="100">
        <v>0</v>
      </c>
      <c r="AP37" s="101"/>
      <c r="AQ37" s="85">
        <f t="shared" si="7"/>
        <v>0</v>
      </c>
      <c r="AR37" s="102" t="s">
        <v>297</v>
      </c>
    </row>
    <row r="38" spans="1:44" ht="252" x14ac:dyDescent="0.25">
      <c r="A38" s="77">
        <v>35</v>
      </c>
      <c r="B38" s="78" t="s">
        <v>6</v>
      </c>
      <c r="C38" s="78" t="s">
        <v>9</v>
      </c>
      <c r="D38" s="78" t="s">
        <v>61</v>
      </c>
      <c r="E38" s="77"/>
      <c r="F38" s="79"/>
      <c r="G38" s="80"/>
      <c r="H38" s="81">
        <f t="shared" si="0"/>
        <v>0</v>
      </c>
      <c r="I38" s="82"/>
      <c r="J38" s="77"/>
      <c r="K38" s="100">
        <v>1</v>
      </c>
      <c r="L38" s="101">
        <v>0.9</v>
      </c>
      <c r="M38" s="85">
        <f t="shared" si="1"/>
        <v>0.9</v>
      </c>
      <c r="N38" s="102" t="s">
        <v>647</v>
      </c>
      <c r="O38" s="77"/>
      <c r="P38" s="100">
        <v>1</v>
      </c>
      <c r="Q38" s="101">
        <v>0.98</v>
      </c>
      <c r="R38" s="85">
        <f t="shared" si="2"/>
        <v>0.98</v>
      </c>
      <c r="S38" s="102" t="s">
        <v>234</v>
      </c>
      <c r="T38" s="77"/>
      <c r="U38" s="79"/>
      <c r="V38" s="80"/>
      <c r="W38" s="81">
        <f t="shared" si="3"/>
        <v>0</v>
      </c>
      <c r="X38" s="82"/>
      <c r="Y38" s="77"/>
      <c r="Z38" s="79"/>
      <c r="AA38" s="80"/>
      <c r="AB38" s="81">
        <f t="shared" si="4"/>
        <v>0</v>
      </c>
      <c r="AC38" s="82"/>
      <c r="AD38" s="77"/>
      <c r="AE38" s="79"/>
      <c r="AF38" s="80"/>
      <c r="AG38" s="81">
        <f t="shared" si="5"/>
        <v>0</v>
      </c>
      <c r="AH38" s="82"/>
      <c r="AI38" s="77"/>
      <c r="AJ38" s="100">
        <v>1</v>
      </c>
      <c r="AK38" s="101">
        <v>0.1</v>
      </c>
      <c r="AL38" s="85">
        <f t="shared" si="6"/>
        <v>0.1</v>
      </c>
      <c r="AM38" s="102" t="s">
        <v>723</v>
      </c>
      <c r="AN38" s="77"/>
      <c r="AO38" s="100">
        <v>1</v>
      </c>
      <c r="AP38" s="101">
        <v>0.65</v>
      </c>
      <c r="AQ38" s="85">
        <f t="shared" si="7"/>
        <v>0.65</v>
      </c>
      <c r="AR38" s="102" t="s">
        <v>733</v>
      </c>
    </row>
    <row r="39" spans="1:44" ht="267.75" x14ac:dyDescent="0.25">
      <c r="A39" s="77">
        <v>36</v>
      </c>
      <c r="B39" s="78" t="s">
        <v>6</v>
      </c>
      <c r="C39" s="78" t="s">
        <v>9</v>
      </c>
      <c r="D39" s="78" t="s">
        <v>62</v>
      </c>
      <c r="E39" s="77"/>
      <c r="F39" s="79"/>
      <c r="G39" s="80"/>
      <c r="H39" s="81">
        <f t="shared" si="0"/>
        <v>0</v>
      </c>
      <c r="I39" s="82"/>
      <c r="J39" s="77"/>
      <c r="K39" s="100">
        <v>1</v>
      </c>
      <c r="L39" s="101">
        <v>0.9</v>
      </c>
      <c r="M39" s="85">
        <f t="shared" si="1"/>
        <v>0.9</v>
      </c>
      <c r="N39" s="102" t="s">
        <v>578</v>
      </c>
      <c r="O39" s="77"/>
      <c r="P39" s="100">
        <v>1</v>
      </c>
      <c r="Q39" s="101">
        <v>0.96</v>
      </c>
      <c r="R39" s="85">
        <f t="shared" si="2"/>
        <v>0.96</v>
      </c>
      <c r="S39" s="102" t="s">
        <v>177</v>
      </c>
      <c r="T39" s="77"/>
      <c r="U39" s="79"/>
      <c r="V39" s="80"/>
      <c r="W39" s="81">
        <f t="shared" si="3"/>
        <v>0</v>
      </c>
      <c r="X39" s="82"/>
      <c r="Y39" s="77"/>
      <c r="Z39" s="79"/>
      <c r="AA39" s="80"/>
      <c r="AB39" s="81">
        <f t="shared" si="4"/>
        <v>0</v>
      </c>
      <c r="AC39" s="82"/>
      <c r="AD39" s="77"/>
      <c r="AE39" s="79"/>
      <c r="AF39" s="80"/>
      <c r="AG39" s="81">
        <f t="shared" si="5"/>
        <v>0</v>
      </c>
      <c r="AH39" s="82"/>
      <c r="AI39" s="77"/>
      <c r="AJ39" s="100">
        <v>1</v>
      </c>
      <c r="AK39" s="101">
        <v>0.4</v>
      </c>
      <c r="AL39" s="85">
        <f t="shared" si="6"/>
        <v>0.4</v>
      </c>
      <c r="AM39" s="102" t="s">
        <v>675</v>
      </c>
      <c r="AN39" s="77"/>
      <c r="AO39" s="100">
        <v>1</v>
      </c>
      <c r="AP39" s="101">
        <v>0.6</v>
      </c>
      <c r="AQ39" s="85">
        <f t="shared" si="7"/>
        <v>0.6</v>
      </c>
      <c r="AR39" s="102" t="s">
        <v>632</v>
      </c>
    </row>
    <row r="40" spans="1:44" ht="110.25" x14ac:dyDescent="0.25">
      <c r="A40" s="77">
        <v>37</v>
      </c>
      <c r="B40" s="78" t="s">
        <v>6</v>
      </c>
      <c r="C40" s="78" t="s">
        <v>9</v>
      </c>
      <c r="D40" s="78" t="s">
        <v>63</v>
      </c>
      <c r="E40" s="77"/>
      <c r="F40" s="79"/>
      <c r="G40" s="80"/>
      <c r="H40" s="81">
        <f t="shared" si="0"/>
        <v>0</v>
      </c>
      <c r="I40" s="82"/>
      <c r="J40" s="77"/>
      <c r="K40" s="100">
        <v>1</v>
      </c>
      <c r="L40" s="101">
        <v>0.65</v>
      </c>
      <c r="M40" s="85">
        <f t="shared" si="1"/>
        <v>0.65</v>
      </c>
      <c r="N40" s="102" t="s">
        <v>702</v>
      </c>
      <c r="O40" s="77"/>
      <c r="P40" s="100">
        <v>1</v>
      </c>
      <c r="Q40" s="101">
        <v>0.98</v>
      </c>
      <c r="R40" s="85">
        <f t="shared" si="2"/>
        <v>0.98</v>
      </c>
      <c r="S40" s="102" t="s">
        <v>713</v>
      </c>
      <c r="T40" s="77"/>
      <c r="U40" s="79"/>
      <c r="V40" s="80"/>
      <c r="W40" s="81">
        <f t="shared" si="3"/>
        <v>0</v>
      </c>
      <c r="X40" s="82"/>
      <c r="Y40" s="77"/>
      <c r="Z40" s="79"/>
      <c r="AA40" s="80"/>
      <c r="AB40" s="81">
        <f t="shared" si="4"/>
        <v>0</v>
      </c>
      <c r="AC40" s="82"/>
      <c r="AD40" s="77"/>
      <c r="AE40" s="79"/>
      <c r="AF40" s="80"/>
      <c r="AG40" s="81">
        <f t="shared" si="5"/>
        <v>0</v>
      </c>
      <c r="AH40" s="82"/>
      <c r="AI40" s="77"/>
      <c r="AJ40" s="100">
        <v>1</v>
      </c>
      <c r="AK40" s="101">
        <v>0.99</v>
      </c>
      <c r="AL40" s="85">
        <f t="shared" si="6"/>
        <v>0.99</v>
      </c>
      <c r="AM40" s="102" t="s">
        <v>616</v>
      </c>
      <c r="AN40" s="77"/>
      <c r="AO40" s="100">
        <v>1</v>
      </c>
      <c r="AP40" s="101">
        <v>0.6</v>
      </c>
      <c r="AQ40" s="85">
        <f t="shared" si="7"/>
        <v>0.6</v>
      </c>
      <c r="AR40" s="102" t="s">
        <v>199</v>
      </c>
    </row>
    <row r="41" spans="1:44" ht="110.25" x14ac:dyDescent="0.25">
      <c r="A41" s="77">
        <v>38</v>
      </c>
      <c r="B41" s="78" t="s">
        <v>10</v>
      </c>
      <c r="C41" s="78" t="s">
        <v>11</v>
      </c>
      <c r="D41" s="78" t="s">
        <v>65</v>
      </c>
      <c r="E41" s="77"/>
      <c r="F41" s="79"/>
      <c r="G41" s="80"/>
      <c r="H41" s="81">
        <f t="shared" si="0"/>
        <v>0</v>
      </c>
      <c r="I41" s="82"/>
      <c r="J41" s="77"/>
      <c r="K41" s="100">
        <v>1</v>
      </c>
      <c r="L41" s="101">
        <v>0.85</v>
      </c>
      <c r="M41" s="85">
        <f t="shared" si="1"/>
        <v>0.85</v>
      </c>
      <c r="N41" s="78" t="s">
        <v>1449</v>
      </c>
      <c r="O41" s="77"/>
      <c r="P41" s="100">
        <v>1</v>
      </c>
      <c r="Q41" s="101">
        <v>0.8</v>
      </c>
      <c r="R41" s="85">
        <f t="shared" si="2"/>
        <v>0.8</v>
      </c>
      <c r="S41" s="78" t="s">
        <v>1450</v>
      </c>
      <c r="T41" s="77"/>
      <c r="U41" s="79"/>
      <c r="V41" s="80"/>
      <c r="W41" s="81">
        <f t="shared" si="3"/>
        <v>0</v>
      </c>
      <c r="X41" s="82"/>
      <c r="Y41" s="77"/>
      <c r="Z41" s="79"/>
      <c r="AA41" s="80"/>
      <c r="AB41" s="81">
        <f t="shared" si="4"/>
        <v>0</v>
      </c>
      <c r="AC41" s="82"/>
      <c r="AD41" s="77"/>
      <c r="AE41" s="79"/>
      <c r="AF41" s="80"/>
      <c r="AG41" s="81">
        <f t="shared" si="5"/>
        <v>0</v>
      </c>
      <c r="AH41" s="82"/>
      <c r="AI41" s="77"/>
      <c r="AJ41" s="100">
        <v>1</v>
      </c>
      <c r="AK41" s="101">
        <v>0.75</v>
      </c>
      <c r="AL41" s="85">
        <f t="shared" si="6"/>
        <v>0.75</v>
      </c>
      <c r="AM41" s="78" t="s">
        <v>1451</v>
      </c>
      <c r="AN41" s="77"/>
      <c r="AO41" s="100">
        <v>1</v>
      </c>
      <c r="AP41" s="101">
        <v>0.8</v>
      </c>
      <c r="AQ41" s="85">
        <f t="shared" si="7"/>
        <v>0.8</v>
      </c>
      <c r="AR41" s="78" t="s">
        <v>1452</v>
      </c>
    </row>
    <row r="42" spans="1:44" ht="105.75" customHeight="1" x14ac:dyDescent="0.25">
      <c r="A42" s="77">
        <v>39</v>
      </c>
      <c r="B42" s="78" t="s">
        <v>10</v>
      </c>
      <c r="C42" s="78" t="s">
        <v>11</v>
      </c>
      <c r="D42" s="78" t="s">
        <v>66</v>
      </c>
      <c r="E42" s="77"/>
      <c r="F42" s="79"/>
      <c r="G42" s="80"/>
      <c r="H42" s="81">
        <f t="shared" si="0"/>
        <v>0</v>
      </c>
      <c r="I42" s="82"/>
      <c r="J42" s="77"/>
      <c r="K42" s="100">
        <v>1</v>
      </c>
      <c r="L42" s="101">
        <v>1</v>
      </c>
      <c r="M42" s="85">
        <f t="shared" si="1"/>
        <v>1</v>
      </c>
      <c r="N42" s="78" t="s">
        <v>1058</v>
      </c>
      <c r="O42" s="77"/>
      <c r="P42" s="100">
        <v>1</v>
      </c>
      <c r="Q42" s="101">
        <v>0.95</v>
      </c>
      <c r="R42" s="85">
        <f t="shared" si="2"/>
        <v>0.95</v>
      </c>
      <c r="S42" s="78" t="s">
        <v>1453</v>
      </c>
      <c r="T42" s="77"/>
      <c r="U42" s="79"/>
      <c r="V42" s="80"/>
      <c r="W42" s="81">
        <f t="shared" si="3"/>
        <v>0</v>
      </c>
      <c r="X42" s="82"/>
      <c r="Y42" s="77"/>
      <c r="Z42" s="79"/>
      <c r="AA42" s="80"/>
      <c r="AB42" s="81">
        <f t="shared" si="4"/>
        <v>0</v>
      </c>
      <c r="AC42" s="82"/>
      <c r="AD42" s="77"/>
      <c r="AE42" s="79"/>
      <c r="AF42" s="80"/>
      <c r="AG42" s="81">
        <f t="shared" si="5"/>
        <v>0</v>
      </c>
      <c r="AH42" s="82"/>
      <c r="AI42" s="77"/>
      <c r="AJ42" s="100">
        <v>1</v>
      </c>
      <c r="AK42" s="101">
        <v>1</v>
      </c>
      <c r="AL42" s="85">
        <f t="shared" si="6"/>
        <v>1</v>
      </c>
      <c r="AM42" s="78" t="s">
        <v>1071</v>
      </c>
      <c r="AN42" s="77"/>
      <c r="AO42" s="100">
        <v>1</v>
      </c>
      <c r="AP42" s="101">
        <v>1</v>
      </c>
      <c r="AQ42" s="85">
        <f t="shared" si="7"/>
        <v>1</v>
      </c>
      <c r="AR42" s="78" t="s">
        <v>1072</v>
      </c>
    </row>
    <row r="43" spans="1:44" ht="109.5" customHeight="1" x14ac:dyDescent="0.25">
      <c r="A43" s="77">
        <v>40</v>
      </c>
      <c r="B43" s="78" t="s">
        <v>10</v>
      </c>
      <c r="C43" s="78" t="s">
        <v>11</v>
      </c>
      <c r="D43" s="78" t="s">
        <v>67</v>
      </c>
      <c r="E43" s="77"/>
      <c r="F43" s="79"/>
      <c r="G43" s="80"/>
      <c r="H43" s="81">
        <f t="shared" si="0"/>
        <v>0</v>
      </c>
      <c r="I43" s="82"/>
      <c r="J43" s="77"/>
      <c r="K43" s="100">
        <v>1</v>
      </c>
      <c r="L43" s="101">
        <v>0.75</v>
      </c>
      <c r="M43" s="85">
        <f t="shared" si="1"/>
        <v>0.75</v>
      </c>
      <c r="N43" s="78" t="s">
        <v>1454</v>
      </c>
      <c r="O43" s="77"/>
      <c r="P43" s="100">
        <v>1</v>
      </c>
      <c r="Q43" s="101">
        <v>0.9</v>
      </c>
      <c r="R43" s="85">
        <f t="shared" si="2"/>
        <v>0.9</v>
      </c>
      <c r="S43" s="78" t="s">
        <v>1455</v>
      </c>
      <c r="T43" s="77"/>
      <c r="U43" s="79"/>
      <c r="V43" s="80"/>
      <c r="W43" s="81">
        <f t="shared" si="3"/>
        <v>0</v>
      </c>
      <c r="X43" s="82"/>
      <c r="Y43" s="77"/>
      <c r="Z43" s="79"/>
      <c r="AA43" s="80"/>
      <c r="AB43" s="81">
        <f t="shared" si="4"/>
        <v>0</v>
      </c>
      <c r="AC43" s="82"/>
      <c r="AD43" s="77"/>
      <c r="AE43" s="79"/>
      <c r="AF43" s="80"/>
      <c r="AG43" s="81">
        <f t="shared" si="5"/>
        <v>0</v>
      </c>
      <c r="AH43" s="82"/>
      <c r="AI43" s="77"/>
      <c r="AJ43" s="100">
        <v>1</v>
      </c>
      <c r="AK43" s="101">
        <v>0.4</v>
      </c>
      <c r="AL43" s="85">
        <f t="shared" si="6"/>
        <v>0.4</v>
      </c>
      <c r="AM43" s="78" t="s">
        <v>1435</v>
      </c>
      <c r="AN43" s="77"/>
      <c r="AO43" s="100">
        <v>1</v>
      </c>
      <c r="AP43" s="101">
        <v>0.5</v>
      </c>
      <c r="AQ43" s="85">
        <f t="shared" si="7"/>
        <v>0.5</v>
      </c>
      <c r="AR43" s="78" t="s">
        <v>1456</v>
      </c>
    </row>
    <row r="44" spans="1:44" ht="78.75" x14ac:dyDescent="0.25">
      <c r="A44" s="77">
        <v>41</v>
      </c>
      <c r="B44" s="78" t="s">
        <v>10</v>
      </c>
      <c r="C44" s="78" t="s">
        <v>11</v>
      </c>
      <c r="D44" s="78" t="s">
        <v>68</v>
      </c>
      <c r="E44" s="77"/>
      <c r="F44" s="79"/>
      <c r="G44" s="80"/>
      <c r="H44" s="81">
        <f t="shared" si="0"/>
        <v>0</v>
      </c>
      <c r="I44" s="82"/>
      <c r="J44" s="77"/>
      <c r="K44" s="100">
        <v>1</v>
      </c>
      <c r="L44" s="101">
        <v>1</v>
      </c>
      <c r="M44" s="85">
        <f t="shared" si="1"/>
        <v>1</v>
      </c>
      <c r="N44" s="78" t="s">
        <v>1059</v>
      </c>
      <c r="O44" s="77"/>
      <c r="P44" s="100">
        <v>1</v>
      </c>
      <c r="Q44" s="101">
        <v>0.87</v>
      </c>
      <c r="R44" s="85">
        <f t="shared" si="2"/>
        <v>0.87</v>
      </c>
      <c r="S44" s="78" t="s">
        <v>1346</v>
      </c>
      <c r="T44" s="77"/>
      <c r="U44" s="79"/>
      <c r="V44" s="80"/>
      <c r="W44" s="81">
        <f t="shared" si="3"/>
        <v>0</v>
      </c>
      <c r="X44" s="82"/>
      <c r="Y44" s="77"/>
      <c r="Z44" s="79"/>
      <c r="AA44" s="80"/>
      <c r="AB44" s="81">
        <f t="shared" si="4"/>
        <v>0</v>
      </c>
      <c r="AC44" s="82"/>
      <c r="AD44" s="77"/>
      <c r="AE44" s="79"/>
      <c r="AF44" s="80"/>
      <c r="AG44" s="81">
        <f t="shared" si="5"/>
        <v>0</v>
      </c>
      <c r="AH44" s="82"/>
      <c r="AI44" s="77"/>
      <c r="AJ44" s="100">
        <v>1</v>
      </c>
      <c r="AK44" s="101">
        <v>0.83</v>
      </c>
      <c r="AL44" s="85">
        <f t="shared" si="6"/>
        <v>0.83</v>
      </c>
      <c r="AM44" s="78" t="s">
        <v>1408</v>
      </c>
      <c r="AN44" s="77"/>
      <c r="AO44" s="100">
        <v>1</v>
      </c>
      <c r="AP44" s="101">
        <v>0.87</v>
      </c>
      <c r="AQ44" s="85">
        <f t="shared" si="7"/>
        <v>0.87</v>
      </c>
      <c r="AR44" s="78" t="s">
        <v>1382</v>
      </c>
    </row>
    <row r="45" spans="1:44" ht="47.25" x14ac:dyDescent="0.25">
      <c r="A45" s="77">
        <v>42</v>
      </c>
      <c r="B45" s="78" t="s">
        <v>10</v>
      </c>
      <c r="C45" s="78" t="s">
        <v>11</v>
      </c>
      <c r="D45" s="78" t="s">
        <v>69</v>
      </c>
      <c r="E45" s="77"/>
      <c r="F45" s="79"/>
      <c r="G45" s="80"/>
      <c r="H45" s="81">
        <f t="shared" si="0"/>
        <v>0</v>
      </c>
      <c r="I45" s="82"/>
      <c r="J45" s="77"/>
      <c r="K45" s="100">
        <v>1</v>
      </c>
      <c r="L45" s="101">
        <v>1</v>
      </c>
      <c r="M45" s="85">
        <f t="shared" si="1"/>
        <v>1</v>
      </c>
      <c r="N45" s="78" t="s">
        <v>1069</v>
      </c>
      <c r="O45" s="77"/>
      <c r="P45" s="100">
        <v>1</v>
      </c>
      <c r="Q45" s="101">
        <v>0.7</v>
      </c>
      <c r="R45" s="85">
        <f t="shared" si="2"/>
        <v>0.7</v>
      </c>
      <c r="S45" s="78" t="s">
        <v>1276</v>
      </c>
      <c r="T45" s="77"/>
      <c r="U45" s="79"/>
      <c r="V45" s="80"/>
      <c r="W45" s="81">
        <f t="shared" si="3"/>
        <v>0</v>
      </c>
      <c r="X45" s="82"/>
      <c r="Y45" s="77"/>
      <c r="Z45" s="79"/>
      <c r="AA45" s="80"/>
      <c r="AB45" s="81">
        <f t="shared" si="4"/>
        <v>0</v>
      </c>
      <c r="AC45" s="82"/>
      <c r="AD45" s="77"/>
      <c r="AE45" s="79"/>
      <c r="AF45" s="80"/>
      <c r="AG45" s="81">
        <f t="shared" si="5"/>
        <v>0</v>
      </c>
      <c r="AH45" s="82"/>
      <c r="AI45" s="77"/>
      <c r="AJ45" s="100">
        <v>1</v>
      </c>
      <c r="AK45" s="101">
        <v>0.7</v>
      </c>
      <c r="AL45" s="85">
        <f t="shared" si="6"/>
        <v>0.7</v>
      </c>
      <c r="AM45" s="78" t="s">
        <v>1409</v>
      </c>
      <c r="AN45" s="77"/>
      <c r="AO45" s="100">
        <v>1</v>
      </c>
      <c r="AP45" s="101">
        <v>0.95</v>
      </c>
      <c r="AQ45" s="85">
        <f t="shared" si="7"/>
        <v>0.95</v>
      </c>
      <c r="AR45" s="78" t="s">
        <v>1277</v>
      </c>
    </row>
    <row r="46" spans="1:44" ht="110.25" x14ac:dyDescent="0.25">
      <c r="A46" s="77">
        <v>43</v>
      </c>
      <c r="B46" s="78" t="s">
        <v>10</v>
      </c>
      <c r="C46" s="78" t="s">
        <v>11</v>
      </c>
      <c r="D46" s="78" t="s">
        <v>70</v>
      </c>
      <c r="E46" s="77"/>
      <c r="F46" s="79"/>
      <c r="G46" s="80"/>
      <c r="H46" s="81">
        <f t="shared" si="0"/>
        <v>0</v>
      </c>
      <c r="I46" s="82"/>
      <c r="J46" s="77"/>
      <c r="K46" s="100">
        <v>1</v>
      </c>
      <c r="L46" s="101">
        <v>1</v>
      </c>
      <c r="M46" s="85">
        <f t="shared" si="1"/>
        <v>1</v>
      </c>
      <c r="N46" s="78" t="s">
        <v>1074</v>
      </c>
      <c r="O46" s="77"/>
      <c r="P46" s="100">
        <v>1</v>
      </c>
      <c r="Q46" s="101">
        <v>0.9</v>
      </c>
      <c r="R46" s="85">
        <f t="shared" si="2"/>
        <v>0.9</v>
      </c>
      <c r="S46" s="78" t="s">
        <v>1457</v>
      </c>
      <c r="T46" s="77"/>
      <c r="U46" s="79"/>
      <c r="V46" s="80"/>
      <c r="W46" s="81">
        <f t="shared" si="3"/>
        <v>0</v>
      </c>
      <c r="X46" s="82"/>
      <c r="Y46" s="77"/>
      <c r="Z46" s="79"/>
      <c r="AA46" s="80"/>
      <c r="AB46" s="81">
        <f t="shared" si="4"/>
        <v>0</v>
      </c>
      <c r="AC46" s="82"/>
      <c r="AD46" s="77"/>
      <c r="AE46" s="79"/>
      <c r="AF46" s="80"/>
      <c r="AG46" s="81">
        <f t="shared" si="5"/>
        <v>0</v>
      </c>
      <c r="AH46" s="82"/>
      <c r="AI46" s="77"/>
      <c r="AJ46" s="100">
        <v>1</v>
      </c>
      <c r="AK46" s="101">
        <v>0.73</v>
      </c>
      <c r="AL46" s="85">
        <f t="shared" si="6"/>
        <v>0.73</v>
      </c>
      <c r="AM46" s="78" t="s">
        <v>1458</v>
      </c>
      <c r="AN46" s="77"/>
      <c r="AO46" s="100">
        <v>1</v>
      </c>
      <c r="AP46" s="101">
        <v>1</v>
      </c>
      <c r="AQ46" s="85">
        <f t="shared" si="7"/>
        <v>1</v>
      </c>
      <c r="AR46" s="78" t="s">
        <v>1068</v>
      </c>
    </row>
    <row r="47" spans="1:44" ht="47.25" x14ac:dyDescent="0.25">
      <c r="A47" s="77">
        <v>44</v>
      </c>
      <c r="B47" s="78" t="s">
        <v>10</v>
      </c>
      <c r="C47" s="78" t="s">
        <v>11</v>
      </c>
      <c r="D47" s="78" t="s">
        <v>12</v>
      </c>
      <c r="E47" s="77"/>
      <c r="F47" s="79"/>
      <c r="G47" s="80"/>
      <c r="H47" s="81">
        <f t="shared" si="0"/>
        <v>0</v>
      </c>
      <c r="I47" s="82"/>
      <c r="J47" s="77"/>
      <c r="K47" s="100">
        <v>1</v>
      </c>
      <c r="L47" s="101">
        <v>1</v>
      </c>
      <c r="M47" s="85">
        <f t="shared" si="1"/>
        <v>1</v>
      </c>
      <c r="N47" s="78" t="s">
        <v>1062</v>
      </c>
      <c r="O47" s="77"/>
      <c r="P47" s="100">
        <v>1</v>
      </c>
      <c r="Q47" s="101">
        <v>1</v>
      </c>
      <c r="R47" s="85">
        <f t="shared" si="2"/>
        <v>1</v>
      </c>
      <c r="S47" s="116" t="s">
        <v>1065</v>
      </c>
      <c r="T47" s="77"/>
      <c r="U47" s="79"/>
      <c r="V47" s="80"/>
      <c r="W47" s="81">
        <f t="shared" si="3"/>
        <v>0</v>
      </c>
      <c r="X47" s="82"/>
      <c r="Y47" s="77"/>
      <c r="Z47" s="79"/>
      <c r="AA47" s="80"/>
      <c r="AB47" s="81">
        <f t="shared" si="4"/>
        <v>0</v>
      </c>
      <c r="AC47" s="82"/>
      <c r="AD47" s="77"/>
      <c r="AE47" s="79"/>
      <c r="AF47" s="80"/>
      <c r="AG47" s="81">
        <f t="shared" si="5"/>
        <v>0</v>
      </c>
      <c r="AH47" s="82"/>
      <c r="AI47" s="77"/>
      <c r="AJ47" s="100">
        <v>1</v>
      </c>
      <c r="AK47" s="101">
        <v>0.5</v>
      </c>
      <c r="AL47" s="85">
        <f t="shared" si="6"/>
        <v>0.5</v>
      </c>
      <c r="AM47" s="78" t="s">
        <v>1414</v>
      </c>
      <c r="AN47" s="77"/>
      <c r="AO47" s="100">
        <v>1</v>
      </c>
      <c r="AP47" s="101">
        <v>1</v>
      </c>
      <c r="AQ47" s="85">
        <f t="shared" si="7"/>
        <v>1</v>
      </c>
      <c r="AR47" s="78" t="s">
        <v>1058</v>
      </c>
    </row>
    <row r="48" spans="1:44" ht="94.5" x14ac:dyDescent="0.25">
      <c r="A48" s="77">
        <v>45</v>
      </c>
      <c r="B48" s="78" t="s">
        <v>10</v>
      </c>
      <c r="C48" s="78" t="s">
        <v>71</v>
      </c>
      <c r="D48" s="78" t="s">
        <v>72</v>
      </c>
      <c r="E48" s="77"/>
      <c r="F48" s="79"/>
      <c r="G48" s="80"/>
      <c r="H48" s="81">
        <f t="shared" si="0"/>
        <v>0</v>
      </c>
      <c r="I48" s="82"/>
      <c r="J48" s="77"/>
      <c r="K48" s="100">
        <v>1</v>
      </c>
      <c r="L48" s="101">
        <v>0.95</v>
      </c>
      <c r="M48" s="85">
        <f t="shared" si="1"/>
        <v>0.95</v>
      </c>
      <c r="N48" s="78" t="s">
        <v>1280</v>
      </c>
      <c r="O48" s="77"/>
      <c r="P48" s="100">
        <v>1</v>
      </c>
      <c r="Q48" s="101">
        <v>0.85</v>
      </c>
      <c r="R48" s="85">
        <f t="shared" si="2"/>
        <v>0.85</v>
      </c>
      <c r="S48" s="78" t="s">
        <v>1281</v>
      </c>
      <c r="T48" s="77"/>
      <c r="U48" s="79"/>
      <c r="V48" s="80"/>
      <c r="W48" s="81">
        <f t="shared" si="3"/>
        <v>0</v>
      </c>
      <c r="X48" s="82"/>
      <c r="Y48" s="77"/>
      <c r="Z48" s="79"/>
      <c r="AA48" s="80"/>
      <c r="AB48" s="81">
        <f t="shared" si="4"/>
        <v>0</v>
      </c>
      <c r="AC48" s="82"/>
      <c r="AD48" s="77"/>
      <c r="AE48" s="79"/>
      <c r="AF48" s="80"/>
      <c r="AG48" s="81">
        <f t="shared" si="5"/>
        <v>0</v>
      </c>
      <c r="AH48" s="82"/>
      <c r="AI48" s="77"/>
      <c r="AJ48" s="100">
        <v>1</v>
      </c>
      <c r="AK48" s="101">
        <v>0.7</v>
      </c>
      <c r="AL48" s="85">
        <f t="shared" si="6"/>
        <v>0.7</v>
      </c>
      <c r="AM48" s="78" t="s">
        <v>1415</v>
      </c>
      <c r="AN48" s="77"/>
      <c r="AO48" s="100">
        <v>1</v>
      </c>
      <c r="AP48" s="101">
        <v>0.8</v>
      </c>
      <c r="AQ48" s="85">
        <f t="shared" si="7"/>
        <v>0.8</v>
      </c>
      <c r="AR48" s="78" t="s">
        <v>1459</v>
      </c>
    </row>
    <row r="49" spans="1:44" ht="47.25" x14ac:dyDescent="0.25">
      <c r="A49" s="77">
        <v>46</v>
      </c>
      <c r="B49" s="78" t="s">
        <v>10</v>
      </c>
      <c r="C49" s="78" t="s">
        <v>11</v>
      </c>
      <c r="D49" s="78" t="s">
        <v>13</v>
      </c>
      <c r="E49" s="77"/>
      <c r="F49" s="79"/>
      <c r="G49" s="80"/>
      <c r="H49" s="81">
        <f t="shared" si="0"/>
        <v>0</v>
      </c>
      <c r="I49" s="82"/>
      <c r="J49" s="77"/>
      <c r="K49" s="100">
        <v>1</v>
      </c>
      <c r="L49" s="101">
        <v>1</v>
      </c>
      <c r="M49" s="85">
        <f t="shared" si="1"/>
        <v>1</v>
      </c>
      <c r="N49" s="78" t="s">
        <v>1060</v>
      </c>
      <c r="O49" s="77"/>
      <c r="P49" s="100">
        <v>1</v>
      </c>
      <c r="Q49" s="101">
        <v>1</v>
      </c>
      <c r="R49" s="85">
        <f t="shared" si="2"/>
        <v>1</v>
      </c>
      <c r="S49" s="78" t="s">
        <v>1062</v>
      </c>
      <c r="T49" s="77"/>
      <c r="U49" s="79"/>
      <c r="V49" s="80"/>
      <c r="W49" s="81">
        <f t="shared" si="3"/>
        <v>0</v>
      </c>
      <c r="X49" s="82"/>
      <c r="Y49" s="77"/>
      <c r="Z49" s="79"/>
      <c r="AA49" s="80"/>
      <c r="AB49" s="81">
        <f t="shared" si="4"/>
        <v>0</v>
      </c>
      <c r="AC49" s="82"/>
      <c r="AD49" s="77"/>
      <c r="AE49" s="79"/>
      <c r="AF49" s="80"/>
      <c r="AG49" s="81">
        <f t="shared" si="5"/>
        <v>0</v>
      </c>
      <c r="AH49" s="82"/>
      <c r="AI49" s="77"/>
      <c r="AJ49" s="100">
        <v>1</v>
      </c>
      <c r="AK49" s="101">
        <v>1</v>
      </c>
      <c r="AL49" s="85">
        <f t="shared" si="6"/>
        <v>1</v>
      </c>
      <c r="AM49" s="78" t="s">
        <v>1072</v>
      </c>
      <c r="AN49" s="77"/>
      <c r="AO49" s="100">
        <v>1</v>
      </c>
      <c r="AP49" s="101">
        <v>1</v>
      </c>
      <c r="AQ49" s="85">
        <f t="shared" si="7"/>
        <v>1</v>
      </c>
      <c r="AR49" s="78" t="s">
        <v>1395</v>
      </c>
    </row>
    <row r="50" spans="1:44" ht="78.75" x14ac:dyDescent="0.25">
      <c r="A50" s="77">
        <v>47</v>
      </c>
      <c r="B50" s="78" t="s">
        <v>14</v>
      </c>
      <c r="C50" s="78" t="s">
        <v>14</v>
      </c>
      <c r="D50" s="78" t="s">
        <v>15</v>
      </c>
      <c r="E50" s="77"/>
      <c r="F50" s="79"/>
      <c r="G50" s="80"/>
      <c r="H50" s="81">
        <f t="shared" si="0"/>
        <v>0</v>
      </c>
      <c r="I50" s="82"/>
      <c r="J50" s="77"/>
      <c r="K50" s="100">
        <v>1</v>
      </c>
      <c r="L50" s="101">
        <v>1</v>
      </c>
      <c r="M50" s="85">
        <f t="shared" si="1"/>
        <v>1</v>
      </c>
      <c r="N50" s="78" t="s">
        <v>1087</v>
      </c>
      <c r="O50" s="77"/>
      <c r="P50" s="100">
        <v>1</v>
      </c>
      <c r="Q50" s="101">
        <v>1</v>
      </c>
      <c r="R50" s="85">
        <f t="shared" si="2"/>
        <v>1</v>
      </c>
      <c r="S50" s="78" t="s">
        <v>1087</v>
      </c>
      <c r="T50" s="77"/>
      <c r="U50" s="79"/>
      <c r="V50" s="80"/>
      <c r="W50" s="81">
        <f t="shared" si="3"/>
        <v>0</v>
      </c>
      <c r="X50" s="82"/>
      <c r="Y50" s="77"/>
      <c r="Z50" s="79"/>
      <c r="AA50" s="80"/>
      <c r="AB50" s="81">
        <f t="shared" si="4"/>
        <v>0</v>
      </c>
      <c r="AC50" s="82"/>
      <c r="AD50" s="77"/>
      <c r="AE50" s="79"/>
      <c r="AF50" s="80"/>
      <c r="AG50" s="81">
        <f t="shared" si="5"/>
        <v>0</v>
      </c>
      <c r="AH50" s="82"/>
      <c r="AI50" s="77"/>
      <c r="AJ50" s="100">
        <v>1</v>
      </c>
      <c r="AK50" s="101">
        <v>0.9</v>
      </c>
      <c r="AL50" s="85">
        <f t="shared" si="6"/>
        <v>0.9</v>
      </c>
      <c r="AM50" s="78" t="s">
        <v>1133</v>
      </c>
      <c r="AN50" s="77"/>
      <c r="AO50" s="100">
        <v>1</v>
      </c>
      <c r="AP50" s="101">
        <v>1</v>
      </c>
      <c r="AQ50" s="85">
        <f t="shared" si="7"/>
        <v>1</v>
      </c>
      <c r="AR50" s="78" t="s">
        <v>1087</v>
      </c>
    </row>
    <row r="51" spans="1:44" ht="142.5" customHeight="1" x14ac:dyDescent="0.25">
      <c r="A51" s="77">
        <v>48</v>
      </c>
      <c r="B51" s="78" t="s">
        <v>14</v>
      </c>
      <c r="C51" s="78" t="s">
        <v>14</v>
      </c>
      <c r="D51" s="78" t="s">
        <v>73</v>
      </c>
      <c r="E51" s="77"/>
      <c r="F51" s="79"/>
      <c r="G51" s="80"/>
      <c r="H51" s="81">
        <f t="shared" si="0"/>
        <v>0</v>
      </c>
      <c r="I51" s="82"/>
      <c r="J51" s="77"/>
      <c r="K51" s="100">
        <v>1</v>
      </c>
      <c r="L51" s="101">
        <v>0.85</v>
      </c>
      <c r="M51" s="85">
        <f t="shared" si="1"/>
        <v>0.85</v>
      </c>
      <c r="N51" s="78" t="s">
        <v>1580</v>
      </c>
      <c r="O51" s="77"/>
      <c r="P51" s="100">
        <v>1</v>
      </c>
      <c r="Q51" s="101">
        <v>0.95</v>
      </c>
      <c r="R51" s="85">
        <f t="shared" si="2"/>
        <v>0.95</v>
      </c>
      <c r="S51" s="78" t="s">
        <v>1088</v>
      </c>
      <c r="T51" s="77"/>
      <c r="U51" s="79"/>
      <c r="V51" s="80"/>
      <c r="W51" s="81">
        <f t="shared" si="3"/>
        <v>0</v>
      </c>
      <c r="X51" s="82"/>
      <c r="Y51" s="77"/>
      <c r="Z51" s="79"/>
      <c r="AA51" s="80"/>
      <c r="AB51" s="81">
        <f t="shared" si="4"/>
        <v>0</v>
      </c>
      <c r="AC51" s="82"/>
      <c r="AD51" s="77"/>
      <c r="AE51" s="79"/>
      <c r="AF51" s="80"/>
      <c r="AG51" s="81">
        <f t="shared" si="5"/>
        <v>0</v>
      </c>
      <c r="AH51" s="82"/>
      <c r="AI51" s="77"/>
      <c r="AJ51" s="100">
        <v>1</v>
      </c>
      <c r="AK51" s="101">
        <v>0.2</v>
      </c>
      <c r="AL51" s="85">
        <f t="shared" si="6"/>
        <v>0.2</v>
      </c>
      <c r="AM51" s="78" t="s">
        <v>1142</v>
      </c>
      <c r="AN51" s="77"/>
      <c r="AO51" s="100">
        <v>1</v>
      </c>
      <c r="AP51" s="101">
        <v>0.4</v>
      </c>
      <c r="AQ51" s="85">
        <f t="shared" si="7"/>
        <v>0.4</v>
      </c>
      <c r="AR51" s="78" t="s">
        <v>1138</v>
      </c>
    </row>
    <row r="52" spans="1:44" ht="124.5" customHeight="1" x14ac:dyDescent="0.25">
      <c r="A52" s="77">
        <v>49</v>
      </c>
      <c r="B52" s="78" t="s">
        <v>14</v>
      </c>
      <c r="C52" s="78" t="s">
        <v>14</v>
      </c>
      <c r="D52" s="78" t="s">
        <v>74</v>
      </c>
      <c r="E52" s="77"/>
      <c r="F52" s="79"/>
      <c r="G52" s="80"/>
      <c r="H52" s="81">
        <f t="shared" si="0"/>
        <v>0</v>
      </c>
      <c r="I52" s="82"/>
      <c r="J52" s="77"/>
      <c r="K52" s="100">
        <v>1</v>
      </c>
      <c r="L52" s="101">
        <v>0.9</v>
      </c>
      <c r="M52" s="85">
        <f t="shared" si="1"/>
        <v>0.9</v>
      </c>
      <c r="N52" s="78" t="s">
        <v>1141</v>
      </c>
      <c r="O52" s="77"/>
      <c r="P52" s="100">
        <v>1</v>
      </c>
      <c r="Q52" s="101">
        <v>0.7</v>
      </c>
      <c r="R52" s="85">
        <f t="shared" si="2"/>
        <v>0.7</v>
      </c>
      <c r="S52" s="78" t="s">
        <v>1121</v>
      </c>
      <c r="T52" s="77"/>
      <c r="U52" s="79"/>
      <c r="V52" s="80"/>
      <c r="W52" s="81">
        <f t="shared" si="3"/>
        <v>0</v>
      </c>
      <c r="X52" s="82"/>
      <c r="Y52" s="77"/>
      <c r="Z52" s="79"/>
      <c r="AA52" s="80"/>
      <c r="AB52" s="81">
        <f t="shared" si="4"/>
        <v>0</v>
      </c>
      <c r="AC52" s="82"/>
      <c r="AD52" s="77"/>
      <c r="AE52" s="79"/>
      <c r="AF52" s="80"/>
      <c r="AG52" s="81">
        <f t="shared" si="5"/>
        <v>0</v>
      </c>
      <c r="AH52" s="82"/>
      <c r="AI52" s="77"/>
      <c r="AJ52" s="100">
        <v>1</v>
      </c>
      <c r="AK52" s="101">
        <v>0.2</v>
      </c>
      <c r="AL52" s="85">
        <f t="shared" si="6"/>
        <v>0.2</v>
      </c>
      <c r="AM52" s="78" t="s">
        <v>1135</v>
      </c>
      <c r="AN52" s="77"/>
      <c r="AO52" s="100">
        <v>1</v>
      </c>
      <c r="AP52" s="101">
        <v>0.7</v>
      </c>
      <c r="AQ52" s="85">
        <f t="shared" si="7"/>
        <v>0.7</v>
      </c>
      <c r="AR52" s="78" t="s">
        <v>1139</v>
      </c>
    </row>
    <row r="53" spans="1:44" ht="138" customHeight="1" x14ac:dyDescent="0.25">
      <c r="A53" s="77">
        <v>50</v>
      </c>
      <c r="B53" s="78" t="s">
        <v>14</v>
      </c>
      <c r="C53" s="78" t="s">
        <v>14</v>
      </c>
      <c r="D53" s="78" t="s">
        <v>75</v>
      </c>
      <c r="E53" s="77"/>
      <c r="F53" s="79"/>
      <c r="G53" s="80"/>
      <c r="H53" s="81">
        <f t="shared" si="0"/>
        <v>0</v>
      </c>
      <c r="I53" s="82"/>
      <c r="J53" s="77"/>
      <c r="K53" s="100">
        <v>1</v>
      </c>
      <c r="L53" s="101">
        <v>1</v>
      </c>
      <c r="M53" s="85">
        <f t="shared" si="1"/>
        <v>1</v>
      </c>
      <c r="N53" s="78" t="s">
        <v>1087</v>
      </c>
      <c r="O53" s="77"/>
      <c r="P53" s="100">
        <v>1</v>
      </c>
      <c r="Q53" s="101">
        <v>1</v>
      </c>
      <c r="R53" s="85">
        <f t="shared" si="2"/>
        <v>1</v>
      </c>
      <c r="S53" s="78" t="s">
        <v>1087</v>
      </c>
      <c r="T53" s="77"/>
      <c r="U53" s="79"/>
      <c r="V53" s="80"/>
      <c r="W53" s="81">
        <f t="shared" si="3"/>
        <v>0</v>
      </c>
      <c r="X53" s="82"/>
      <c r="Y53" s="77"/>
      <c r="Z53" s="79"/>
      <c r="AA53" s="80"/>
      <c r="AB53" s="81">
        <f t="shared" si="4"/>
        <v>0</v>
      </c>
      <c r="AC53" s="82"/>
      <c r="AD53" s="77"/>
      <c r="AE53" s="79"/>
      <c r="AF53" s="80"/>
      <c r="AG53" s="81">
        <f t="shared" si="5"/>
        <v>0</v>
      </c>
      <c r="AH53" s="82"/>
      <c r="AI53" s="77"/>
      <c r="AJ53" s="100">
        <v>1</v>
      </c>
      <c r="AK53" s="101">
        <v>0.85</v>
      </c>
      <c r="AL53" s="85">
        <f t="shared" si="6"/>
        <v>0.85</v>
      </c>
      <c r="AM53" s="78" t="s">
        <v>1136</v>
      </c>
      <c r="AN53" s="77"/>
      <c r="AO53" s="100">
        <v>1</v>
      </c>
      <c r="AP53" s="101">
        <v>1</v>
      </c>
      <c r="AQ53" s="85">
        <f t="shared" si="7"/>
        <v>1</v>
      </c>
      <c r="AR53" s="78" t="s">
        <v>1087</v>
      </c>
    </row>
    <row r="54" spans="1:44" ht="109.5" customHeight="1" x14ac:dyDescent="0.25">
      <c r="A54" s="77">
        <v>51</v>
      </c>
      <c r="B54" s="78" t="s">
        <v>14</v>
      </c>
      <c r="C54" s="78" t="s">
        <v>14</v>
      </c>
      <c r="D54" s="78" t="s">
        <v>76</v>
      </c>
      <c r="E54" s="77"/>
      <c r="F54" s="79"/>
      <c r="G54" s="80"/>
      <c r="H54" s="81">
        <f t="shared" si="0"/>
        <v>0</v>
      </c>
      <c r="I54" s="82"/>
      <c r="J54" s="77"/>
      <c r="K54" s="100">
        <v>1</v>
      </c>
      <c r="L54" s="101">
        <v>1</v>
      </c>
      <c r="M54" s="85">
        <f t="shared" si="1"/>
        <v>1</v>
      </c>
      <c r="N54" s="78" t="s">
        <v>1087</v>
      </c>
      <c r="O54" s="77"/>
      <c r="P54" s="100">
        <v>1</v>
      </c>
      <c r="Q54" s="101">
        <v>1</v>
      </c>
      <c r="R54" s="85">
        <f t="shared" si="2"/>
        <v>1</v>
      </c>
      <c r="S54" s="78" t="s">
        <v>1087</v>
      </c>
      <c r="T54" s="77"/>
      <c r="U54" s="79"/>
      <c r="V54" s="80"/>
      <c r="W54" s="81">
        <f t="shared" si="3"/>
        <v>0</v>
      </c>
      <c r="X54" s="82"/>
      <c r="Y54" s="77"/>
      <c r="Z54" s="79"/>
      <c r="AA54" s="80"/>
      <c r="AB54" s="81">
        <f t="shared" si="4"/>
        <v>0</v>
      </c>
      <c r="AC54" s="82"/>
      <c r="AD54" s="77"/>
      <c r="AE54" s="79"/>
      <c r="AF54" s="80"/>
      <c r="AG54" s="81">
        <f t="shared" si="5"/>
        <v>0</v>
      </c>
      <c r="AH54" s="82"/>
      <c r="AI54" s="77"/>
      <c r="AJ54" s="100">
        <v>1</v>
      </c>
      <c r="AK54" s="101">
        <v>1</v>
      </c>
      <c r="AL54" s="85">
        <f t="shared" si="6"/>
        <v>1</v>
      </c>
      <c r="AM54" s="78" t="s">
        <v>1087</v>
      </c>
      <c r="AN54" s="77"/>
      <c r="AO54" s="100">
        <v>1</v>
      </c>
      <c r="AP54" s="101">
        <v>1</v>
      </c>
      <c r="AQ54" s="85">
        <f t="shared" si="7"/>
        <v>1</v>
      </c>
      <c r="AR54" s="78" t="s">
        <v>1087</v>
      </c>
    </row>
    <row r="55" spans="1:44" ht="315" x14ac:dyDescent="0.25">
      <c r="A55" s="77">
        <v>52</v>
      </c>
      <c r="B55" s="78" t="s">
        <v>14</v>
      </c>
      <c r="C55" s="78" t="s">
        <v>14</v>
      </c>
      <c r="D55" s="78" t="s">
        <v>77</v>
      </c>
      <c r="E55" s="77"/>
      <c r="F55" s="79"/>
      <c r="G55" s="80"/>
      <c r="H55" s="81">
        <f t="shared" si="0"/>
        <v>0</v>
      </c>
      <c r="I55" s="82"/>
      <c r="J55" s="77"/>
      <c r="K55" s="100">
        <v>1</v>
      </c>
      <c r="L55" s="101">
        <v>0.95</v>
      </c>
      <c r="M55" s="85">
        <f t="shared" si="1"/>
        <v>0.95</v>
      </c>
      <c r="N55" s="78" t="s">
        <v>1124</v>
      </c>
      <c r="O55" s="77"/>
      <c r="P55" s="100">
        <v>1</v>
      </c>
      <c r="Q55" s="101">
        <v>0.8</v>
      </c>
      <c r="R55" s="85">
        <f t="shared" si="2"/>
        <v>0.8</v>
      </c>
      <c r="S55" s="78" t="s">
        <v>1126</v>
      </c>
      <c r="T55" s="77"/>
      <c r="U55" s="79"/>
      <c r="V55" s="80"/>
      <c r="W55" s="81">
        <f t="shared" si="3"/>
        <v>0</v>
      </c>
      <c r="X55" s="82"/>
      <c r="Y55" s="77"/>
      <c r="Z55" s="79"/>
      <c r="AA55" s="80"/>
      <c r="AB55" s="81">
        <f t="shared" si="4"/>
        <v>0</v>
      </c>
      <c r="AC55" s="82"/>
      <c r="AD55" s="77"/>
      <c r="AE55" s="79"/>
      <c r="AF55" s="80"/>
      <c r="AG55" s="81">
        <f t="shared" si="5"/>
        <v>0</v>
      </c>
      <c r="AH55" s="82"/>
      <c r="AI55" s="77"/>
      <c r="AJ55" s="100">
        <v>1</v>
      </c>
      <c r="AK55" s="101">
        <v>0.1</v>
      </c>
      <c r="AL55" s="85">
        <f t="shared" si="6"/>
        <v>0.1</v>
      </c>
      <c r="AM55" s="78" t="s">
        <v>1137</v>
      </c>
      <c r="AN55" s="77"/>
      <c r="AO55" s="100">
        <v>1</v>
      </c>
      <c r="AP55" s="101">
        <v>0.75</v>
      </c>
      <c r="AQ55" s="85">
        <f t="shared" si="7"/>
        <v>0.75</v>
      </c>
      <c r="AR55" s="78" t="s">
        <v>1140</v>
      </c>
    </row>
    <row r="56" spans="1:44" ht="79.5" customHeight="1" x14ac:dyDescent="0.25">
      <c r="A56" s="77">
        <v>53</v>
      </c>
      <c r="B56" s="78" t="s">
        <v>14</v>
      </c>
      <c r="C56" s="78" t="s">
        <v>14</v>
      </c>
      <c r="D56" s="78" t="s">
        <v>78</v>
      </c>
      <c r="E56" s="77"/>
      <c r="F56" s="79">
        <v>1</v>
      </c>
      <c r="G56" s="80"/>
      <c r="H56" s="81">
        <f t="shared" si="0"/>
        <v>0</v>
      </c>
      <c r="I56" s="82"/>
      <c r="J56" s="77"/>
      <c r="K56" s="100">
        <v>1</v>
      </c>
      <c r="L56" s="101">
        <v>1</v>
      </c>
      <c r="M56" s="85">
        <f t="shared" si="1"/>
        <v>1</v>
      </c>
      <c r="N56" s="78" t="s">
        <v>1087</v>
      </c>
      <c r="O56" s="77"/>
      <c r="P56" s="100">
        <v>1</v>
      </c>
      <c r="Q56" s="101">
        <v>0.9</v>
      </c>
      <c r="R56" s="85">
        <f t="shared" si="2"/>
        <v>0.9</v>
      </c>
      <c r="S56" s="78" t="s">
        <v>1097</v>
      </c>
      <c r="T56" s="77"/>
      <c r="U56" s="79"/>
      <c r="V56" s="80"/>
      <c r="W56" s="81">
        <f t="shared" si="3"/>
        <v>0</v>
      </c>
      <c r="X56" s="77"/>
      <c r="Y56" s="77"/>
      <c r="Z56" s="79"/>
      <c r="AA56" s="80"/>
      <c r="AB56" s="81">
        <f t="shared" si="4"/>
        <v>0</v>
      </c>
      <c r="AC56" s="77"/>
      <c r="AD56" s="77"/>
      <c r="AE56" s="79"/>
      <c r="AF56" s="80"/>
      <c r="AG56" s="81">
        <f t="shared" si="5"/>
        <v>0</v>
      </c>
      <c r="AH56" s="77"/>
      <c r="AI56" s="77"/>
      <c r="AJ56" s="100">
        <v>1</v>
      </c>
      <c r="AK56" s="101">
        <v>1</v>
      </c>
      <c r="AL56" s="85">
        <f t="shared" si="6"/>
        <v>1</v>
      </c>
      <c r="AM56" s="78" t="s">
        <v>1087</v>
      </c>
      <c r="AN56" s="77"/>
      <c r="AO56" s="100">
        <v>1</v>
      </c>
      <c r="AP56" s="101">
        <v>1</v>
      </c>
      <c r="AQ56" s="85">
        <f t="shared" si="7"/>
        <v>1</v>
      </c>
      <c r="AR56" s="117" t="s">
        <v>1087</v>
      </c>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D7308B05-8397-41E4-AA89-BE82233004D8}">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D5A1C174-EB40-44EB-918C-63D13694CDDF}">
          <x14:formula1>
            <xm:f>'C:\Users\michele.cerqueira\AppData\Local\Microsoft\Windows\INetCache\Content.Outlook\CUTOBPMD\[ESTUDOS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R56"/>
  <sheetViews>
    <sheetView zoomScale="60" zoomScaleNormal="60" workbookViewId="0">
      <pane xSplit="4" ySplit="3" topLeftCell="L9" activePane="bottomRight" state="frozen"/>
      <selection pane="topRight" activeCell="E1" sqref="E1"/>
      <selection pane="bottomLeft" activeCell="A4" sqref="A4"/>
      <selection pane="bottomRight" activeCell="S10" sqref="S10"/>
    </sheetView>
  </sheetViews>
  <sheetFormatPr defaultRowHeight="15" x14ac:dyDescent="0.25"/>
  <cols>
    <col min="1" max="1" width="4.42578125" style="73" customWidth="1"/>
    <col min="2" max="2" width="16.5703125" style="74" bestFit="1" customWidth="1"/>
    <col min="3" max="3" width="12.85546875" style="74" customWidth="1"/>
    <col min="4" max="4" width="71.5703125" style="74" customWidth="1"/>
    <col min="5" max="5" width="2.42578125" style="74" customWidth="1"/>
    <col min="6" max="6" width="20.140625" style="74" hidden="1" customWidth="1"/>
    <col min="7" max="7" width="14.28515625" style="74" hidden="1" customWidth="1"/>
    <col min="8" max="8" width="9.140625" style="74" hidden="1" customWidth="1"/>
    <col min="9" max="9" width="52.85546875" style="110" hidden="1" customWidth="1"/>
    <col min="10" max="10" width="1.85546875" style="74" hidden="1" customWidth="1"/>
    <col min="11" max="11" width="19.85546875" style="75" customWidth="1"/>
    <col min="12" max="12" width="14.28515625" style="75" bestFit="1" customWidth="1"/>
    <col min="13" max="13" width="9.140625" style="75" customWidth="1"/>
    <col min="14" max="14" width="88.85546875" style="74" customWidth="1"/>
    <col min="15" max="15" width="1.5703125" style="74" customWidth="1"/>
    <col min="16" max="16" width="20.140625" style="75" bestFit="1" customWidth="1"/>
    <col min="17" max="17" width="14.28515625" style="75" bestFit="1" customWidth="1"/>
    <col min="18" max="18" width="9.140625" style="75" customWidth="1"/>
    <col min="19" max="19" width="94" style="74" customWidth="1"/>
    <col min="20" max="20" width="5.28515625" style="74" customWidth="1"/>
    <col min="21" max="21" width="13.7109375" style="74" hidden="1" customWidth="1"/>
    <col min="22" max="22" width="13.140625" style="74" hidden="1" customWidth="1"/>
    <col min="23" max="23" width="0" style="74" hidden="1" customWidth="1"/>
    <col min="24" max="24" width="83.42578125" style="74" hidden="1" customWidth="1"/>
    <col min="25" max="25" width="0" style="74" hidden="1" customWidth="1"/>
    <col min="26" max="26" width="13.7109375" style="74" hidden="1" customWidth="1"/>
    <col min="27" max="27" width="14.85546875" style="74" hidden="1" customWidth="1"/>
    <col min="28" max="28" width="0" style="74" hidden="1" customWidth="1"/>
    <col min="29" max="29" width="81.5703125" style="74" hidden="1" customWidth="1"/>
    <col min="30" max="30" width="0" style="74" hidden="1" customWidth="1"/>
    <col min="31" max="31" width="12.7109375" style="74" hidden="1" customWidth="1"/>
    <col min="32" max="32" width="11.28515625" style="74" hidden="1" customWidth="1"/>
    <col min="33" max="33" width="0" style="74" hidden="1" customWidth="1"/>
    <col min="34" max="34" width="77.28515625" style="74" hidden="1" customWidth="1"/>
    <col min="35" max="35" width="0" style="74" hidden="1" customWidth="1"/>
    <col min="36" max="36" width="19.85546875" style="75" customWidth="1"/>
    <col min="37" max="37" width="10.85546875" style="75" customWidth="1"/>
    <col min="38" max="38" width="9.140625" style="75"/>
    <col min="39" max="39" width="108.5703125" style="74" customWidth="1"/>
    <col min="40" max="40" width="5.5703125" style="74" customWidth="1"/>
    <col min="41" max="41" width="18.85546875" style="75" customWidth="1"/>
    <col min="42" max="42" width="12.85546875" style="75" customWidth="1"/>
    <col min="43" max="43" width="9.140625" style="75"/>
    <col min="44" max="44" width="136.42578125" style="74" customWidth="1"/>
    <col min="45" max="16384" width="9.140625" style="74"/>
  </cols>
  <sheetData>
    <row r="1" spans="1:44" x14ac:dyDescent="0.25">
      <c r="I1" s="74"/>
    </row>
    <row r="2" spans="1:44" ht="39.75" customHeight="1" x14ac:dyDescent="0.25">
      <c r="B2" s="233" t="s">
        <v>16</v>
      </c>
      <c r="C2" s="233"/>
      <c r="D2" s="233"/>
      <c r="F2" s="232" t="s">
        <v>121</v>
      </c>
      <c r="G2" s="232"/>
      <c r="H2" s="232"/>
      <c r="I2" s="232"/>
      <c r="K2" s="234" t="s">
        <v>119</v>
      </c>
      <c r="L2" s="235"/>
      <c r="M2" s="235"/>
      <c r="N2" s="236"/>
      <c r="P2" s="233" t="s">
        <v>120</v>
      </c>
      <c r="Q2" s="233"/>
      <c r="R2" s="233"/>
      <c r="S2" s="233"/>
      <c r="U2" s="232" t="s">
        <v>122</v>
      </c>
      <c r="V2" s="232"/>
      <c r="W2" s="232"/>
      <c r="X2" s="232"/>
      <c r="Z2" s="232" t="s">
        <v>123</v>
      </c>
      <c r="AA2" s="232"/>
      <c r="AB2" s="232"/>
      <c r="AC2" s="232"/>
      <c r="AE2" s="232" t="s">
        <v>124</v>
      </c>
      <c r="AF2" s="232"/>
      <c r="AG2" s="232"/>
      <c r="AH2" s="232"/>
      <c r="AJ2" s="233" t="s">
        <v>125</v>
      </c>
      <c r="AK2" s="233"/>
      <c r="AL2" s="233"/>
      <c r="AM2" s="233"/>
      <c r="AO2" s="233" t="s">
        <v>1318</v>
      </c>
      <c r="AP2" s="233"/>
      <c r="AQ2" s="233"/>
      <c r="AR2" s="233"/>
    </row>
    <row r="3" spans="1:44" ht="62.25" customHeight="1" x14ac:dyDescent="0.25">
      <c r="B3" s="66" t="s">
        <v>0</v>
      </c>
      <c r="C3" s="66" t="s">
        <v>1</v>
      </c>
      <c r="D3" s="66" t="s">
        <v>2</v>
      </c>
      <c r="F3" s="67" t="s">
        <v>17</v>
      </c>
      <c r="G3" s="67" t="s">
        <v>18</v>
      </c>
      <c r="H3" s="67" t="s">
        <v>21</v>
      </c>
      <c r="I3" s="67" t="s">
        <v>19</v>
      </c>
      <c r="K3" s="70" t="s">
        <v>17</v>
      </c>
      <c r="L3" s="70" t="s">
        <v>18</v>
      </c>
      <c r="M3" s="70" t="s">
        <v>21</v>
      </c>
      <c r="N3" s="67" t="s">
        <v>19</v>
      </c>
      <c r="P3" s="70" t="s">
        <v>17</v>
      </c>
      <c r="Q3" s="70" t="s">
        <v>18</v>
      </c>
      <c r="R3" s="70" t="s">
        <v>21</v>
      </c>
      <c r="S3" s="67" t="s">
        <v>19</v>
      </c>
      <c r="U3" s="67" t="s">
        <v>17</v>
      </c>
      <c r="V3" s="67" t="s">
        <v>18</v>
      </c>
      <c r="W3" s="67" t="s">
        <v>21</v>
      </c>
      <c r="X3" s="67" t="s">
        <v>19</v>
      </c>
      <c r="Z3" s="67" t="s">
        <v>17</v>
      </c>
      <c r="AA3" s="67" t="s">
        <v>18</v>
      </c>
      <c r="AB3" s="67" t="s">
        <v>21</v>
      </c>
      <c r="AC3" s="67" t="s">
        <v>19</v>
      </c>
      <c r="AE3" s="67" t="s">
        <v>17</v>
      </c>
      <c r="AF3" s="67" t="s">
        <v>18</v>
      </c>
      <c r="AG3" s="67" t="s">
        <v>21</v>
      </c>
      <c r="AH3" s="67" t="s">
        <v>19</v>
      </c>
      <c r="AJ3" s="70" t="s">
        <v>17</v>
      </c>
      <c r="AK3" s="70" t="s">
        <v>18</v>
      </c>
      <c r="AL3" s="70" t="s">
        <v>21</v>
      </c>
      <c r="AM3" s="67" t="s">
        <v>19</v>
      </c>
      <c r="AO3" s="70" t="s">
        <v>17</v>
      </c>
      <c r="AP3" s="70" t="s">
        <v>18</v>
      </c>
      <c r="AQ3" s="70" t="s">
        <v>21</v>
      </c>
      <c r="AR3" s="67" t="s">
        <v>19</v>
      </c>
    </row>
    <row r="4" spans="1:44" ht="173.25" x14ac:dyDescent="0.25">
      <c r="A4" s="77">
        <v>1</v>
      </c>
      <c r="B4" s="78" t="s">
        <v>3</v>
      </c>
      <c r="C4" s="78" t="s">
        <v>4</v>
      </c>
      <c r="D4" s="78" t="s">
        <v>127</v>
      </c>
      <c r="E4" s="77"/>
      <c r="F4" s="79"/>
      <c r="G4" s="80"/>
      <c r="H4" s="81">
        <f>F4*G4</f>
        <v>0</v>
      </c>
      <c r="I4" s="82"/>
      <c r="J4" s="77"/>
      <c r="K4" s="83">
        <v>1</v>
      </c>
      <c r="L4" s="84">
        <v>0.99</v>
      </c>
      <c r="M4" s="85">
        <f>K4*L4</f>
        <v>0.99</v>
      </c>
      <c r="N4" s="87" t="s">
        <v>1197</v>
      </c>
      <c r="O4" s="77"/>
      <c r="P4" s="83">
        <v>1</v>
      </c>
      <c r="Q4" s="84">
        <v>0.8</v>
      </c>
      <c r="R4" s="85">
        <f>P4*Q4</f>
        <v>0.8</v>
      </c>
      <c r="S4" s="86" t="s">
        <v>1417</v>
      </c>
      <c r="T4" s="77"/>
      <c r="U4" s="79"/>
      <c r="V4" s="80"/>
      <c r="W4" s="81">
        <f>U4*V4</f>
        <v>0</v>
      </c>
      <c r="X4" s="82"/>
      <c r="Y4" s="77"/>
      <c r="Z4" s="79"/>
      <c r="AA4" s="80"/>
      <c r="AB4" s="81">
        <f>Z4*AA4</f>
        <v>0</v>
      </c>
      <c r="AC4" s="82"/>
      <c r="AD4" s="77"/>
      <c r="AE4" s="79"/>
      <c r="AF4" s="80"/>
      <c r="AG4" s="81">
        <f>AE4*AF4</f>
        <v>0</v>
      </c>
      <c r="AH4" s="82"/>
      <c r="AI4" s="77"/>
      <c r="AJ4" s="83">
        <v>1</v>
      </c>
      <c r="AK4" s="118">
        <v>0.4</v>
      </c>
      <c r="AL4" s="85">
        <f>AJ4*AK4</f>
        <v>0.4</v>
      </c>
      <c r="AM4" s="87" t="s">
        <v>1443</v>
      </c>
      <c r="AN4" s="77"/>
      <c r="AO4" s="83">
        <v>1</v>
      </c>
      <c r="AP4" s="118">
        <v>0.4</v>
      </c>
      <c r="AQ4" s="85">
        <f>AO4*AP4</f>
        <v>0.4</v>
      </c>
      <c r="AR4" s="86" t="s">
        <v>1188</v>
      </c>
    </row>
    <row r="5" spans="1:44" ht="225.75" customHeight="1" x14ac:dyDescent="0.25">
      <c r="A5" s="77">
        <v>2</v>
      </c>
      <c r="B5" s="78" t="s">
        <v>3</v>
      </c>
      <c r="C5" s="78" t="s">
        <v>4</v>
      </c>
      <c r="D5" s="78" t="s">
        <v>33</v>
      </c>
      <c r="E5" s="77"/>
      <c r="F5" s="79"/>
      <c r="G5" s="80"/>
      <c r="H5" s="81">
        <f t="shared" ref="H5:H56" si="0">F5*G5</f>
        <v>0</v>
      </c>
      <c r="I5" s="82"/>
      <c r="J5" s="77"/>
      <c r="K5" s="111">
        <v>1</v>
      </c>
      <c r="L5" s="112">
        <v>1</v>
      </c>
      <c r="M5" s="85">
        <f t="shared" ref="M5:M56" si="1">K5*L5</f>
        <v>1</v>
      </c>
      <c r="N5" s="113"/>
      <c r="O5" s="77"/>
      <c r="P5" s="111">
        <v>1</v>
      </c>
      <c r="Q5" s="112">
        <v>0.75</v>
      </c>
      <c r="R5" s="85">
        <f t="shared" ref="R5:R56" si="2">P5*Q5</f>
        <v>0.75</v>
      </c>
      <c r="S5" s="114" t="s">
        <v>1419</v>
      </c>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111">
        <v>1</v>
      </c>
      <c r="AK5" s="119">
        <v>0.6</v>
      </c>
      <c r="AL5" s="85">
        <f t="shared" ref="AL5:AL56" si="6">AJ5*AK5</f>
        <v>0.6</v>
      </c>
      <c r="AM5" s="113" t="s">
        <v>1420</v>
      </c>
      <c r="AN5" s="77"/>
      <c r="AO5" s="111">
        <v>1</v>
      </c>
      <c r="AP5" s="119">
        <v>0.1</v>
      </c>
      <c r="AQ5" s="85">
        <f t="shared" ref="AQ5:AQ56" si="7">AO5*AP5</f>
        <v>0.1</v>
      </c>
      <c r="AR5" s="113" t="s">
        <v>1260</v>
      </c>
    </row>
    <row r="6" spans="1:44" ht="252" x14ac:dyDescent="0.25">
      <c r="A6" s="77">
        <v>3</v>
      </c>
      <c r="B6" s="78" t="s">
        <v>3</v>
      </c>
      <c r="C6" s="78" t="s">
        <v>4</v>
      </c>
      <c r="D6" s="78" t="s">
        <v>128</v>
      </c>
      <c r="E6" s="77"/>
      <c r="F6" s="79"/>
      <c r="G6" s="80"/>
      <c r="H6" s="81">
        <f t="shared" si="0"/>
        <v>0</v>
      </c>
      <c r="I6" s="82"/>
      <c r="J6" s="77"/>
      <c r="K6" s="83">
        <v>1</v>
      </c>
      <c r="L6" s="84">
        <v>1</v>
      </c>
      <c r="M6" s="85">
        <f t="shared" si="1"/>
        <v>1</v>
      </c>
      <c r="N6" s="87"/>
      <c r="O6" s="77"/>
      <c r="P6" s="83">
        <v>1</v>
      </c>
      <c r="Q6" s="84">
        <v>0.95</v>
      </c>
      <c r="R6" s="85">
        <f t="shared" si="2"/>
        <v>0.95</v>
      </c>
      <c r="S6" s="86" t="s">
        <v>1236</v>
      </c>
      <c r="T6" s="77"/>
      <c r="U6" s="79"/>
      <c r="V6" s="80"/>
      <c r="W6" s="81">
        <f t="shared" si="3"/>
        <v>0</v>
      </c>
      <c r="X6" s="82"/>
      <c r="Y6" s="77"/>
      <c r="Z6" s="79"/>
      <c r="AA6" s="80"/>
      <c r="AB6" s="81">
        <f t="shared" si="4"/>
        <v>0</v>
      </c>
      <c r="AC6" s="82"/>
      <c r="AD6" s="77"/>
      <c r="AE6" s="79"/>
      <c r="AF6" s="80"/>
      <c r="AG6" s="81">
        <f t="shared" si="5"/>
        <v>0</v>
      </c>
      <c r="AH6" s="82"/>
      <c r="AI6" s="77"/>
      <c r="AJ6" s="83">
        <v>1</v>
      </c>
      <c r="AK6" s="118">
        <v>0.85</v>
      </c>
      <c r="AL6" s="85">
        <f t="shared" si="6"/>
        <v>0.85</v>
      </c>
      <c r="AM6" s="87" t="s">
        <v>1240</v>
      </c>
      <c r="AN6" s="77"/>
      <c r="AO6" s="83">
        <v>1</v>
      </c>
      <c r="AP6" s="118">
        <v>0.3</v>
      </c>
      <c r="AQ6" s="85">
        <f t="shared" si="7"/>
        <v>0.3</v>
      </c>
      <c r="AR6" s="82" t="s">
        <v>1597</v>
      </c>
    </row>
    <row r="7" spans="1:44" ht="204.75" x14ac:dyDescent="0.25">
      <c r="A7" s="77">
        <v>4</v>
      </c>
      <c r="B7" s="78" t="s">
        <v>3</v>
      </c>
      <c r="C7" s="78" t="s">
        <v>4</v>
      </c>
      <c r="D7" s="78" t="s">
        <v>34</v>
      </c>
      <c r="E7" s="77"/>
      <c r="F7" s="79"/>
      <c r="G7" s="80"/>
      <c r="H7" s="81">
        <f t="shared" si="0"/>
        <v>0</v>
      </c>
      <c r="I7" s="82"/>
      <c r="J7" s="77"/>
      <c r="K7" s="111">
        <v>1</v>
      </c>
      <c r="L7" s="112">
        <v>0.94499999999999995</v>
      </c>
      <c r="M7" s="85">
        <f t="shared" si="1"/>
        <v>0.94499999999999995</v>
      </c>
      <c r="N7" s="113" t="s">
        <v>1421</v>
      </c>
      <c r="O7" s="77"/>
      <c r="P7" s="111">
        <v>1</v>
      </c>
      <c r="Q7" s="112">
        <v>0.98</v>
      </c>
      <c r="R7" s="85">
        <f t="shared" si="2"/>
        <v>0.98</v>
      </c>
      <c r="S7" s="114" t="s">
        <v>1253</v>
      </c>
      <c r="T7" s="77"/>
      <c r="U7" s="79"/>
      <c r="V7" s="80"/>
      <c r="W7" s="81">
        <f t="shared" si="3"/>
        <v>0</v>
      </c>
      <c r="X7" s="82"/>
      <c r="Y7" s="77"/>
      <c r="Z7" s="79"/>
      <c r="AA7" s="80"/>
      <c r="AB7" s="81">
        <f t="shared" si="4"/>
        <v>0</v>
      </c>
      <c r="AC7" s="82"/>
      <c r="AD7" s="77"/>
      <c r="AE7" s="79"/>
      <c r="AF7" s="80"/>
      <c r="AG7" s="81">
        <f t="shared" si="5"/>
        <v>0</v>
      </c>
      <c r="AH7" s="82"/>
      <c r="AI7" s="77"/>
      <c r="AJ7" s="111">
        <v>1</v>
      </c>
      <c r="AK7" s="119">
        <v>0.93</v>
      </c>
      <c r="AL7" s="85">
        <f t="shared" si="6"/>
        <v>0.93</v>
      </c>
      <c r="AM7" s="113" t="s">
        <v>1259</v>
      </c>
      <c r="AN7" s="77"/>
      <c r="AO7" s="111">
        <v>1</v>
      </c>
      <c r="AP7" s="112">
        <v>0.25</v>
      </c>
      <c r="AQ7" s="85">
        <f t="shared" si="7"/>
        <v>0.25</v>
      </c>
      <c r="AR7" s="113" t="s">
        <v>1605</v>
      </c>
    </row>
    <row r="8" spans="1:44" ht="141.75" x14ac:dyDescent="0.25">
      <c r="A8" s="77">
        <v>5</v>
      </c>
      <c r="B8" s="78" t="s">
        <v>3</v>
      </c>
      <c r="C8" s="78" t="s">
        <v>4</v>
      </c>
      <c r="D8" s="78" t="s">
        <v>35</v>
      </c>
      <c r="E8" s="77"/>
      <c r="F8" s="79"/>
      <c r="G8" s="80"/>
      <c r="H8" s="81">
        <f t="shared" si="0"/>
        <v>0</v>
      </c>
      <c r="I8" s="82"/>
      <c r="J8" s="77"/>
      <c r="K8" s="83">
        <v>1</v>
      </c>
      <c r="L8" s="84">
        <v>0.7</v>
      </c>
      <c r="M8" s="85">
        <f t="shared" si="1"/>
        <v>0.7</v>
      </c>
      <c r="N8" s="86" t="s">
        <v>1180</v>
      </c>
      <c r="O8" s="77"/>
      <c r="P8" s="83">
        <v>1</v>
      </c>
      <c r="Q8" s="84">
        <v>0.8</v>
      </c>
      <c r="R8" s="85">
        <f t="shared" si="2"/>
        <v>0.8</v>
      </c>
      <c r="S8" s="86" t="s">
        <v>1424</v>
      </c>
      <c r="T8" s="77"/>
      <c r="U8" s="79"/>
      <c r="V8" s="80"/>
      <c r="W8" s="81">
        <f t="shared" si="3"/>
        <v>0</v>
      </c>
      <c r="X8" s="78"/>
      <c r="Y8" s="77"/>
      <c r="Z8" s="79"/>
      <c r="AA8" s="80"/>
      <c r="AB8" s="81">
        <f t="shared" si="4"/>
        <v>0</v>
      </c>
      <c r="AC8" s="78"/>
      <c r="AD8" s="77"/>
      <c r="AE8" s="79"/>
      <c r="AF8" s="80"/>
      <c r="AG8" s="81">
        <f t="shared" si="5"/>
        <v>0</v>
      </c>
      <c r="AH8" s="78"/>
      <c r="AI8" s="77"/>
      <c r="AJ8" s="83">
        <v>1</v>
      </c>
      <c r="AK8" s="118">
        <v>0.95</v>
      </c>
      <c r="AL8" s="85">
        <f t="shared" si="6"/>
        <v>0.95</v>
      </c>
      <c r="AM8" s="87" t="s">
        <v>1241</v>
      </c>
      <c r="AN8" s="77"/>
      <c r="AO8" s="83">
        <v>1</v>
      </c>
      <c r="AP8" s="84">
        <v>0.3</v>
      </c>
      <c r="AQ8" s="85">
        <f t="shared" si="7"/>
        <v>0.3</v>
      </c>
      <c r="AR8" s="87" t="s">
        <v>1190</v>
      </c>
    </row>
    <row r="9" spans="1:44" ht="204.75" x14ac:dyDescent="0.25">
      <c r="A9" s="77">
        <v>6</v>
      </c>
      <c r="B9" s="78" t="s">
        <v>3</v>
      </c>
      <c r="C9" s="78" t="s">
        <v>4</v>
      </c>
      <c r="D9" s="78" t="s">
        <v>129</v>
      </c>
      <c r="E9" s="77"/>
      <c r="F9" s="79"/>
      <c r="G9" s="80"/>
      <c r="H9" s="81">
        <f t="shared" si="0"/>
        <v>0</v>
      </c>
      <c r="I9" s="78"/>
      <c r="J9" s="77"/>
      <c r="K9" s="111">
        <v>1</v>
      </c>
      <c r="L9" s="112">
        <v>0.79</v>
      </c>
      <c r="M9" s="85">
        <f t="shared" si="1"/>
        <v>0.79</v>
      </c>
      <c r="N9" s="113" t="s">
        <v>1623</v>
      </c>
      <c r="O9" s="77"/>
      <c r="P9" s="111">
        <v>1</v>
      </c>
      <c r="Q9" s="112">
        <v>0.95</v>
      </c>
      <c r="R9" s="85">
        <f t="shared" si="2"/>
        <v>0.95</v>
      </c>
      <c r="S9" s="113" t="s">
        <v>1633</v>
      </c>
      <c r="T9" s="77"/>
      <c r="U9" s="79"/>
      <c r="V9" s="80"/>
      <c r="W9" s="81">
        <f t="shared" si="3"/>
        <v>0</v>
      </c>
      <c r="X9" s="78"/>
      <c r="Y9" s="77"/>
      <c r="Z9" s="79"/>
      <c r="AA9" s="80"/>
      <c r="AB9" s="81">
        <f t="shared" si="4"/>
        <v>0</v>
      </c>
      <c r="AC9" s="78"/>
      <c r="AD9" s="77"/>
      <c r="AE9" s="79"/>
      <c r="AF9" s="80"/>
      <c r="AG9" s="81">
        <f t="shared" si="5"/>
        <v>0</v>
      </c>
      <c r="AH9" s="78"/>
      <c r="AI9" s="77"/>
      <c r="AJ9" s="111">
        <v>1</v>
      </c>
      <c r="AK9" s="119">
        <v>0.5</v>
      </c>
      <c r="AL9" s="85">
        <f t="shared" si="6"/>
        <v>0.5</v>
      </c>
      <c r="AM9" s="113" t="s">
        <v>1242</v>
      </c>
      <c r="AN9" s="77"/>
      <c r="AO9" s="111">
        <v>1</v>
      </c>
      <c r="AP9" s="112">
        <v>0.2</v>
      </c>
      <c r="AQ9" s="85">
        <f t="shared" si="7"/>
        <v>0.2</v>
      </c>
      <c r="AR9" s="113" t="s">
        <v>1617</v>
      </c>
    </row>
    <row r="10" spans="1:44" ht="157.5" x14ac:dyDescent="0.25">
      <c r="A10" s="77">
        <v>7</v>
      </c>
      <c r="B10" s="78" t="s">
        <v>3</v>
      </c>
      <c r="C10" s="78" t="s">
        <v>4</v>
      </c>
      <c r="D10" s="78" t="s">
        <v>36</v>
      </c>
      <c r="E10" s="77"/>
      <c r="F10" s="79"/>
      <c r="G10" s="80"/>
      <c r="H10" s="81">
        <f t="shared" si="0"/>
        <v>0</v>
      </c>
      <c r="I10" s="82"/>
      <c r="J10" s="77"/>
      <c r="K10" s="83">
        <v>1</v>
      </c>
      <c r="L10" s="84">
        <v>0.73</v>
      </c>
      <c r="M10" s="85">
        <f t="shared" si="1"/>
        <v>0.73</v>
      </c>
      <c r="N10" s="87" t="s">
        <v>1471</v>
      </c>
      <c r="O10" s="77"/>
      <c r="P10" s="83">
        <v>1</v>
      </c>
      <c r="Q10" s="84">
        <v>0.7</v>
      </c>
      <c r="R10" s="85">
        <f t="shared" si="2"/>
        <v>0.7</v>
      </c>
      <c r="S10" s="86" t="s">
        <v>1237</v>
      </c>
      <c r="T10" s="77"/>
      <c r="U10" s="79"/>
      <c r="V10" s="80"/>
      <c r="W10" s="81">
        <f t="shared" si="3"/>
        <v>0</v>
      </c>
      <c r="X10" s="82"/>
      <c r="Y10" s="77"/>
      <c r="Z10" s="79"/>
      <c r="AA10" s="80"/>
      <c r="AB10" s="81">
        <f t="shared" si="4"/>
        <v>0</v>
      </c>
      <c r="AC10" s="82"/>
      <c r="AD10" s="77"/>
      <c r="AE10" s="79"/>
      <c r="AF10" s="80"/>
      <c r="AG10" s="81">
        <f t="shared" si="5"/>
        <v>0</v>
      </c>
      <c r="AH10" s="82"/>
      <c r="AI10" s="77"/>
      <c r="AJ10" s="83">
        <v>1</v>
      </c>
      <c r="AK10" s="118">
        <v>0.4</v>
      </c>
      <c r="AL10" s="85">
        <f t="shared" si="6"/>
        <v>0.4</v>
      </c>
      <c r="AM10" s="87" t="s">
        <v>1243</v>
      </c>
      <c r="AN10" s="77"/>
      <c r="AO10" s="83">
        <v>1</v>
      </c>
      <c r="AP10" s="118">
        <v>0.2</v>
      </c>
      <c r="AQ10" s="85">
        <f t="shared" si="7"/>
        <v>0.2</v>
      </c>
      <c r="AR10" s="87" t="s">
        <v>1191</v>
      </c>
    </row>
    <row r="11" spans="1:44" ht="78.75" x14ac:dyDescent="0.25">
      <c r="A11" s="77">
        <v>8</v>
      </c>
      <c r="B11" s="78" t="s">
        <v>3</v>
      </c>
      <c r="C11" s="78" t="s">
        <v>4</v>
      </c>
      <c r="D11" s="78" t="s">
        <v>64</v>
      </c>
      <c r="E11" s="77"/>
      <c r="F11" s="79"/>
      <c r="G11" s="80"/>
      <c r="H11" s="81">
        <f t="shared" si="0"/>
        <v>0</v>
      </c>
      <c r="I11" s="78"/>
      <c r="J11" s="77"/>
      <c r="K11" s="111">
        <v>1</v>
      </c>
      <c r="L11" s="112">
        <v>1</v>
      </c>
      <c r="M11" s="85">
        <f t="shared" si="1"/>
        <v>1</v>
      </c>
      <c r="N11" s="113"/>
      <c r="O11" s="77"/>
      <c r="P11" s="111">
        <v>1</v>
      </c>
      <c r="Q11" s="112">
        <v>0.9</v>
      </c>
      <c r="R11" s="85">
        <f t="shared" si="2"/>
        <v>0.9</v>
      </c>
      <c r="S11" s="113" t="s">
        <v>1238</v>
      </c>
      <c r="T11" s="77"/>
      <c r="U11" s="79"/>
      <c r="V11" s="80"/>
      <c r="W11" s="81">
        <f t="shared" si="3"/>
        <v>0</v>
      </c>
      <c r="X11" s="82"/>
      <c r="Y11" s="77"/>
      <c r="Z11" s="79"/>
      <c r="AA11" s="80"/>
      <c r="AB11" s="81">
        <f t="shared" si="4"/>
        <v>0</v>
      </c>
      <c r="AC11" s="82"/>
      <c r="AD11" s="77"/>
      <c r="AE11" s="79"/>
      <c r="AF11" s="80"/>
      <c r="AG11" s="81">
        <f t="shared" si="5"/>
        <v>0</v>
      </c>
      <c r="AH11" s="82"/>
      <c r="AI11" s="77"/>
      <c r="AJ11" s="111">
        <v>1</v>
      </c>
      <c r="AK11" s="119">
        <v>0.5</v>
      </c>
      <c r="AL11" s="85">
        <f t="shared" si="6"/>
        <v>0.5</v>
      </c>
      <c r="AM11" s="113" t="s">
        <v>1244</v>
      </c>
      <c r="AN11" s="77"/>
      <c r="AO11" s="111">
        <v>1</v>
      </c>
      <c r="AP11" s="119">
        <v>0.15</v>
      </c>
      <c r="AQ11" s="85">
        <f t="shared" si="7"/>
        <v>0.15</v>
      </c>
      <c r="AR11" s="113" t="s">
        <v>1192</v>
      </c>
    </row>
    <row r="12" spans="1:44" ht="78.75" x14ac:dyDescent="0.25">
      <c r="A12" s="77">
        <v>9</v>
      </c>
      <c r="B12" s="78" t="s">
        <v>3</v>
      </c>
      <c r="C12" s="78" t="s">
        <v>5</v>
      </c>
      <c r="D12" s="78" t="s">
        <v>37</v>
      </c>
      <c r="E12" s="77"/>
      <c r="F12" s="79"/>
      <c r="G12" s="80"/>
      <c r="H12" s="81">
        <f t="shared" si="0"/>
        <v>0</v>
      </c>
      <c r="I12" s="82"/>
      <c r="J12" s="77"/>
      <c r="K12" s="83">
        <v>1</v>
      </c>
      <c r="L12" s="99">
        <v>0.6</v>
      </c>
      <c r="M12" s="85">
        <f t="shared" si="1"/>
        <v>0.6</v>
      </c>
      <c r="N12" s="86" t="s">
        <v>1198</v>
      </c>
      <c r="O12" s="77"/>
      <c r="P12" s="83">
        <v>1</v>
      </c>
      <c r="Q12" s="84">
        <v>1</v>
      </c>
      <c r="R12" s="85">
        <f t="shared" si="2"/>
        <v>1</v>
      </c>
      <c r="S12" s="115"/>
      <c r="T12" s="77"/>
      <c r="U12" s="79"/>
      <c r="V12" s="80"/>
      <c r="W12" s="81">
        <f t="shared" si="3"/>
        <v>0</v>
      </c>
      <c r="X12" s="82"/>
      <c r="Y12" s="77"/>
      <c r="Z12" s="79"/>
      <c r="AA12" s="80"/>
      <c r="AB12" s="81">
        <f t="shared" si="4"/>
        <v>0</v>
      </c>
      <c r="AC12" s="82"/>
      <c r="AD12" s="77"/>
      <c r="AE12" s="79"/>
      <c r="AF12" s="80"/>
      <c r="AG12" s="81">
        <f t="shared" si="5"/>
        <v>0</v>
      </c>
      <c r="AH12" s="82"/>
      <c r="AI12" s="77"/>
      <c r="AJ12" s="83">
        <v>1</v>
      </c>
      <c r="AK12" s="118">
        <v>0.15</v>
      </c>
      <c r="AL12" s="85">
        <f t="shared" si="6"/>
        <v>0.15</v>
      </c>
      <c r="AM12" s="87" t="s">
        <v>1245</v>
      </c>
      <c r="AN12" s="77"/>
      <c r="AO12" s="83">
        <v>1</v>
      </c>
      <c r="AP12" s="118">
        <v>0.2</v>
      </c>
      <c r="AQ12" s="85">
        <f t="shared" si="7"/>
        <v>0.2</v>
      </c>
      <c r="AR12" s="86" t="s">
        <v>1261</v>
      </c>
    </row>
    <row r="13" spans="1:44" ht="130.5" customHeight="1" x14ac:dyDescent="0.25">
      <c r="A13" s="77">
        <v>10</v>
      </c>
      <c r="B13" s="78" t="s">
        <v>3</v>
      </c>
      <c r="C13" s="78" t="s">
        <v>5</v>
      </c>
      <c r="D13" s="78" t="s">
        <v>38</v>
      </c>
      <c r="E13" s="77"/>
      <c r="F13" s="79"/>
      <c r="G13" s="80"/>
      <c r="H13" s="81">
        <f t="shared" si="0"/>
        <v>0</v>
      </c>
      <c r="I13" s="82"/>
      <c r="J13" s="77"/>
      <c r="K13" s="111">
        <v>1</v>
      </c>
      <c r="L13" s="112">
        <v>0.6</v>
      </c>
      <c r="M13" s="85">
        <f t="shared" si="1"/>
        <v>0.6</v>
      </c>
      <c r="N13" s="113" t="s">
        <v>1198</v>
      </c>
      <c r="O13" s="77"/>
      <c r="P13" s="111">
        <v>1</v>
      </c>
      <c r="Q13" s="112">
        <v>1</v>
      </c>
      <c r="R13" s="85">
        <f t="shared" si="2"/>
        <v>1</v>
      </c>
      <c r="S13" s="114"/>
      <c r="T13" s="77"/>
      <c r="U13" s="79"/>
      <c r="V13" s="80"/>
      <c r="W13" s="81">
        <f t="shared" si="3"/>
        <v>0</v>
      </c>
      <c r="X13" s="82"/>
      <c r="Y13" s="77"/>
      <c r="Z13" s="79"/>
      <c r="AA13" s="80"/>
      <c r="AB13" s="81">
        <f t="shared" si="4"/>
        <v>0</v>
      </c>
      <c r="AC13" s="82"/>
      <c r="AD13" s="77"/>
      <c r="AE13" s="79"/>
      <c r="AF13" s="80"/>
      <c r="AG13" s="81">
        <f t="shared" si="5"/>
        <v>0</v>
      </c>
      <c r="AH13" s="82"/>
      <c r="AI13" s="77"/>
      <c r="AJ13" s="111">
        <v>1</v>
      </c>
      <c r="AK13" s="119">
        <v>0.15</v>
      </c>
      <c r="AL13" s="85">
        <f t="shared" si="6"/>
        <v>0.15</v>
      </c>
      <c r="AM13" s="113" t="s">
        <v>1246</v>
      </c>
      <c r="AN13" s="77"/>
      <c r="AO13" s="111">
        <v>1</v>
      </c>
      <c r="AP13" s="119">
        <v>0.3</v>
      </c>
      <c r="AQ13" s="85">
        <f t="shared" si="7"/>
        <v>0.3</v>
      </c>
      <c r="AR13" s="113" t="s">
        <v>1251</v>
      </c>
    </row>
    <row r="14" spans="1:44" ht="63" x14ac:dyDescent="0.25">
      <c r="A14" s="77">
        <v>11</v>
      </c>
      <c r="B14" s="78" t="s">
        <v>3</v>
      </c>
      <c r="C14" s="78" t="s">
        <v>31</v>
      </c>
      <c r="D14" s="78" t="s">
        <v>39</v>
      </c>
      <c r="E14" s="77"/>
      <c r="F14" s="79"/>
      <c r="G14" s="80"/>
      <c r="H14" s="81">
        <f t="shared" si="0"/>
        <v>0</v>
      </c>
      <c r="I14" s="82"/>
      <c r="J14" s="77"/>
      <c r="K14" s="83">
        <v>1</v>
      </c>
      <c r="L14" s="84">
        <v>0.85</v>
      </c>
      <c r="M14" s="85">
        <f t="shared" si="1"/>
        <v>0.85</v>
      </c>
      <c r="N14" s="86" t="s">
        <v>1199</v>
      </c>
      <c r="O14" s="77"/>
      <c r="P14" s="83">
        <v>1</v>
      </c>
      <c r="Q14" s="84">
        <v>1</v>
      </c>
      <c r="R14" s="85">
        <f t="shared" si="2"/>
        <v>1</v>
      </c>
      <c r="S14" s="115"/>
      <c r="T14" s="77"/>
      <c r="U14" s="79"/>
      <c r="V14" s="80"/>
      <c r="W14" s="81">
        <f t="shared" si="3"/>
        <v>0</v>
      </c>
      <c r="X14" s="82"/>
      <c r="Y14" s="77"/>
      <c r="Z14" s="79"/>
      <c r="AA14" s="80"/>
      <c r="AB14" s="81">
        <f t="shared" si="4"/>
        <v>0</v>
      </c>
      <c r="AC14" s="82"/>
      <c r="AD14" s="77"/>
      <c r="AE14" s="79"/>
      <c r="AF14" s="80"/>
      <c r="AG14" s="81">
        <f t="shared" si="5"/>
        <v>0</v>
      </c>
      <c r="AH14" s="82"/>
      <c r="AI14" s="77"/>
      <c r="AJ14" s="83">
        <v>1</v>
      </c>
      <c r="AK14" s="118">
        <v>0.3</v>
      </c>
      <c r="AL14" s="85">
        <f t="shared" si="6"/>
        <v>0.3</v>
      </c>
      <c r="AM14" s="87" t="s">
        <v>1247</v>
      </c>
      <c r="AN14" s="77"/>
      <c r="AO14" s="83">
        <v>1</v>
      </c>
      <c r="AP14" s="118">
        <v>0.15</v>
      </c>
      <c r="AQ14" s="85">
        <f t="shared" si="7"/>
        <v>0.15</v>
      </c>
      <c r="AR14" s="86" t="s">
        <v>1195</v>
      </c>
    </row>
    <row r="15" spans="1:44" ht="165.75" customHeight="1" x14ac:dyDescent="0.25">
      <c r="A15" s="77">
        <v>12</v>
      </c>
      <c r="B15" s="78" t="s">
        <v>3</v>
      </c>
      <c r="C15" s="78" t="s">
        <v>31</v>
      </c>
      <c r="D15" s="78" t="s">
        <v>40</v>
      </c>
      <c r="E15" s="77"/>
      <c r="F15" s="79"/>
      <c r="G15" s="80"/>
      <c r="H15" s="81">
        <f t="shared" si="0"/>
        <v>0</v>
      </c>
      <c r="I15" s="82"/>
      <c r="J15" s="77"/>
      <c r="K15" s="111">
        <v>1</v>
      </c>
      <c r="L15" s="112">
        <v>1</v>
      </c>
      <c r="M15" s="85">
        <f t="shared" si="1"/>
        <v>1</v>
      </c>
      <c r="N15" s="113"/>
      <c r="O15" s="77"/>
      <c r="P15" s="111">
        <v>1</v>
      </c>
      <c r="Q15" s="112">
        <v>0.95</v>
      </c>
      <c r="R15" s="85">
        <f t="shared" si="2"/>
        <v>0.95</v>
      </c>
      <c r="S15" s="114" t="s">
        <v>1187</v>
      </c>
      <c r="T15" s="77"/>
      <c r="U15" s="79"/>
      <c r="V15" s="80"/>
      <c r="W15" s="81">
        <f t="shared" si="3"/>
        <v>0</v>
      </c>
      <c r="X15" s="82"/>
      <c r="Y15" s="77"/>
      <c r="Z15" s="79"/>
      <c r="AA15" s="80"/>
      <c r="AB15" s="81">
        <f t="shared" si="4"/>
        <v>0</v>
      </c>
      <c r="AC15" s="82"/>
      <c r="AD15" s="77"/>
      <c r="AE15" s="79"/>
      <c r="AF15" s="80"/>
      <c r="AG15" s="81">
        <f t="shared" si="5"/>
        <v>0</v>
      </c>
      <c r="AH15" s="82"/>
      <c r="AI15" s="77"/>
      <c r="AJ15" s="111">
        <v>1</v>
      </c>
      <c r="AK15" s="119">
        <v>0.3</v>
      </c>
      <c r="AL15" s="85">
        <f t="shared" si="6"/>
        <v>0.3</v>
      </c>
      <c r="AM15" s="113" t="s">
        <v>1248</v>
      </c>
      <c r="AN15" s="77"/>
      <c r="AO15" s="111">
        <v>1</v>
      </c>
      <c r="AP15" s="119">
        <v>0.5</v>
      </c>
      <c r="AQ15" s="85">
        <f t="shared" si="7"/>
        <v>0.5</v>
      </c>
      <c r="AR15" s="113" t="s">
        <v>1252</v>
      </c>
    </row>
    <row r="16" spans="1:44" ht="220.5" x14ac:dyDescent="0.25">
      <c r="A16" s="77">
        <v>13</v>
      </c>
      <c r="B16" s="78" t="s">
        <v>6</v>
      </c>
      <c r="C16" s="78" t="s">
        <v>7</v>
      </c>
      <c r="D16" s="78" t="s">
        <v>41</v>
      </c>
      <c r="E16" s="77"/>
      <c r="F16" s="79"/>
      <c r="G16" s="80"/>
      <c r="H16" s="81">
        <f t="shared" si="0"/>
        <v>0</v>
      </c>
      <c r="I16" s="82"/>
      <c r="J16" s="77"/>
      <c r="K16" s="100">
        <v>1</v>
      </c>
      <c r="L16" s="101">
        <v>1</v>
      </c>
      <c r="M16" s="85">
        <f t="shared" si="1"/>
        <v>1</v>
      </c>
      <c r="N16" s="102" t="s">
        <v>734</v>
      </c>
      <c r="O16" s="77"/>
      <c r="P16" s="100">
        <v>1</v>
      </c>
      <c r="Q16" s="101">
        <v>0.8</v>
      </c>
      <c r="R16" s="85">
        <f t="shared" si="2"/>
        <v>0.8</v>
      </c>
      <c r="S16" s="102" t="s">
        <v>1574</v>
      </c>
      <c r="T16" s="77"/>
      <c r="U16" s="79"/>
      <c r="V16" s="80"/>
      <c r="W16" s="81">
        <f t="shared" si="3"/>
        <v>0</v>
      </c>
      <c r="X16" s="82"/>
      <c r="Y16" s="77"/>
      <c r="Z16" s="79"/>
      <c r="AA16" s="80"/>
      <c r="AB16" s="81">
        <f t="shared" si="4"/>
        <v>0</v>
      </c>
      <c r="AC16" s="82"/>
      <c r="AD16" s="77"/>
      <c r="AE16" s="79"/>
      <c r="AF16" s="80"/>
      <c r="AG16" s="81">
        <f t="shared" si="5"/>
        <v>0</v>
      </c>
      <c r="AH16" s="82"/>
      <c r="AI16" s="77"/>
      <c r="AJ16" s="100">
        <v>1</v>
      </c>
      <c r="AK16" s="101">
        <v>0.6</v>
      </c>
      <c r="AL16" s="85">
        <f t="shared" si="6"/>
        <v>0.6</v>
      </c>
      <c r="AM16" s="102" t="s">
        <v>752</v>
      </c>
      <c r="AN16" s="77"/>
      <c r="AO16" s="100">
        <v>1</v>
      </c>
      <c r="AP16" s="101">
        <v>1</v>
      </c>
      <c r="AQ16" s="85">
        <f t="shared" si="7"/>
        <v>1</v>
      </c>
      <c r="AR16" s="102" t="s">
        <v>762</v>
      </c>
    </row>
    <row r="17" spans="1:44" ht="110.25" x14ac:dyDescent="0.25">
      <c r="A17" s="77">
        <v>14</v>
      </c>
      <c r="B17" s="78" t="s">
        <v>6</v>
      </c>
      <c r="C17" s="78" t="s">
        <v>7</v>
      </c>
      <c r="D17" s="78" t="s">
        <v>130</v>
      </c>
      <c r="E17" s="77"/>
      <c r="F17" s="79"/>
      <c r="G17" s="80"/>
      <c r="H17" s="81">
        <f t="shared" si="0"/>
        <v>0</v>
      </c>
      <c r="I17" s="82"/>
      <c r="J17" s="77"/>
      <c r="K17" s="100">
        <v>1</v>
      </c>
      <c r="L17" s="101">
        <v>1</v>
      </c>
      <c r="M17" s="85">
        <f t="shared" si="1"/>
        <v>1</v>
      </c>
      <c r="N17" s="102" t="s">
        <v>634</v>
      </c>
      <c r="O17" s="77"/>
      <c r="P17" s="100">
        <v>1</v>
      </c>
      <c r="Q17" s="107">
        <v>0.85</v>
      </c>
      <c r="R17" s="107">
        <f t="shared" si="2"/>
        <v>0.85</v>
      </c>
      <c r="S17" s="102" t="s">
        <v>747</v>
      </c>
      <c r="T17" s="77"/>
      <c r="U17" s="79"/>
      <c r="V17" s="80"/>
      <c r="W17" s="81">
        <f t="shared" si="3"/>
        <v>0</v>
      </c>
      <c r="X17" s="82"/>
      <c r="Y17" s="77"/>
      <c r="Z17" s="79"/>
      <c r="AA17" s="80"/>
      <c r="AB17" s="81">
        <f t="shared" si="4"/>
        <v>0</v>
      </c>
      <c r="AC17" s="82"/>
      <c r="AD17" s="77"/>
      <c r="AE17" s="79"/>
      <c r="AF17" s="80"/>
      <c r="AG17" s="81">
        <f t="shared" si="5"/>
        <v>0</v>
      </c>
      <c r="AH17" s="82"/>
      <c r="AI17" s="77"/>
      <c r="AJ17" s="100">
        <v>1</v>
      </c>
      <c r="AK17" s="101">
        <v>0.15</v>
      </c>
      <c r="AL17" s="85">
        <f t="shared" si="6"/>
        <v>0.15</v>
      </c>
      <c r="AM17" s="102" t="s">
        <v>664</v>
      </c>
      <c r="AN17" s="77"/>
      <c r="AO17" s="100">
        <v>1</v>
      </c>
      <c r="AP17" s="101">
        <v>0.65</v>
      </c>
      <c r="AQ17" s="85">
        <f t="shared" si="7"/>
        <v>0.65</v>
      </c>
      <c r="AR17" s="102" t="s">
        <v>763</v>
      </c>
    </row>
    <row r="18" spans="1:44" ht="126" x14ac:dyDescent="0.25">
      <c r="A18" s="77">
        <v>15</v>
      </c>
      <c r="B18" s="78" t="s">
        <v>6</v>
      </c>
      <c r="C18" s="78" t="s">
        <v>7</v>
      </c>
      <c r="D18" s="78" t="s">
        <v>131</v>
      </c>
      <c r="E18" s="77"/>
      <c r="F18" s="79"/>
      <c r="G18" s="80"/>
      <c r="H18" s="81">
        <f t="shared" si="0"/>
        <v>0</v>
      </c>
      <c r="I18" s="82"/>
      <c r="J18" s="77"/>
      <c r="K18" s="100">
        <v>1</v>
      </c>
      <c r="L18" s="101">
        <v>1</v>
      </c>
      <c r="M18" s="85">
        <f t="shared" si="1"/>
        <v>1</v>
      </c>
      <c r="N18" s="78" t="s">
        <v>735</v>
      </c>
      <c r="O18" s="77"/>
      <c r="P18" s="100">
        <v>1</v>
      </c>
      <c r="Q18" s="101">
        <v>0.95</v>
      </c>
      <c r="R18" s="85">
        <f t="shared" si="2"/>
        <v>0.95</v>
      </c>
      <c r="S18" s="78" t="s">
        <v>705</v>
      </c>
      <c r="T18" s="77"/>
      <c r="U18" s="79"/>
      <c r="V18" s="80"/>
      <c r="W18" s="81">
        <f t="shared" si="3"/>
        <v>0</v>
      </c>
      <c r="X18" s="82"/>
      <c r="Y18" s="77"/>
      <c r="Z18" s="79"/>
      <c r="AA18" s="80"/>
      <c r="AB18" s="81">
        <f t="shared" si="4"/>
        <v>0</v>
      </c>
      <c r="AC18" s="82"/>
      <c r="AD18" s="77"/>
      <c r="AE18" s="79"/>
      <c r="AF18" s="80"/>
      <c r="AG18" s="81">
        <f t="shared" si="5"/>
        <v>0</v>
      </c>
      <c r="AH18" s="82"/>
      <c r="AI18" s="77"/>
      <c r="AJ18" s="100">
        <v>1</v>
      </c>
      <c r="AK18" s="101">
        <v>0.85</v>
      </c>
      <c r="AL18" s="85">
        <f t="shared" si="6"/>
        <v>0.85</v>
      </c>
      <c r="AM18" s="78" t="s">
        <v>753</v>
      </c>
      <c r="AN18" s="77"/>
      <c r="AO18" s="100">
        <v>1</v>
      </c>
      <c r="AP18" s="101">
        <v>0.95</v>
      </c>
      <c r="AQ18" s="85">
        <f t="shared" si="7"/>
        <v>0.95</v>
      </c>
      <c r="AR18" s="78" t="s">
        <v>764</v>
      </c>
    </row>
    <row r="19" spans="1:44" ht="63" x14ac:dyDescent="0.25">
      <c r="A19" s="77">
        <v>16</v>
      </c>
      <c r="B19" s="78" t="s">
        <v>6</v>
      </c>
      <c r="C19" s="78" t="s">
        <v>7</v>
      </c>
      <c r="D19" s="78" t="s">
        <v>42</v>
      </c>
      <c r="E19" s="77"/>
      <c r="F19" s="79"/>
      <c r="G19" s="80"/>
      <c r="H19" s="81">
        <f t="shared" si="0"/>
        <v>0</v>
      </c>
      <c r="I19" s="82"/>
      <c r="J19" s="77"/>
      <c r="K19" s="100">
        <v>1</v>
      </c>
      <c r="L19" s="101">
        <v>1</v>
      </c>
      <c r="M19" s="85">
        <f t="shared" si="1"/>
        <v>1</v>
      </c>
      <c r="N19" s="78" t="s">
        <v>736</v>
      </c>
      <c r="O19" s="77"/>
      <c r="P19" s="100">
        <v>1</v>
      </c>
      <c r="Q19" s="101">
        <v>0.95</v>
      </c>
      <c r="R19" s="85">
        <f t="shared" si="2"/>
        <v>0.95</v>
      </c>
      <c r="S19" s="78" t="s">
        <v>706</v>
      </c>
      <c r="T19" s="77"/>
      <c r="U19" s="79"/>
      <c r="V19" s="80"/>
      <c r="W19" s="81">
        <f t="shared" si="3"/>
        <v>0</v>
      </c>
      <c r="X19" s="82"/>
      <c r="Y19" s="77"/>
      <c r="Z19" s="79"/>
      <c r="AA19" s="80"/>
      <c r="AB19" s="81">
        <f t="shared" si="4"/>
        <v>0</v>
      </c>
      <c r="AC19" s="82"/>
      <c r="AD19" s="77"/>
      <c r="AE19" s="79"/>
      <c r="AF19" s="80"/>
      <c r="AG19" s="81">
        <f t="shared" si="5"/>
        <v>0</v>
      </c>
      <c r="AH19" s="82"/>
      <c r="AI19" s="77"/>
      <c r="AJ19" s="100">
        <v>1</v>
      </c>
      <c r="AK19" s="101">
        <v>1</v>
      </c>
      <c r="AL19" s="85">
        <f t="shared" si="6"/>
        <v>1</v>
      </c>
      <c r="AM19" s="78" t="s">
        <v>754</v>
      </c>
      <c r="AN19" s="77"/>
      <c r="AO19" s="100">
        <v>1</v>
      </c>
      <c r="AP19" s="101">
        <v>0.96</v>
      </c>
      <c r="AQ19" s="85">
        <f t="shared" si="7"/>
        <v>0.96</v>
      </c>
      <c r="AR19" s="78" t="s">
        <v>765</v>
      </c>
    </row>
    <row r="20" spans="1:44" ht="315" x14ac:dyDescent="0.25">
      <c r="A20" s="77">
        <v>17</v>
      </c>
      <c r="B20" s="78" t="s">
        <v>6</v>
      </c>
      <c r="C20" s="78" t="s">
        <v>7</v>
      </c>
      <c r="D20" s="78" t="s">
        <v>43</v>
      </c>
      <c r="E20" s="77"/>
      <c r="F20" s="79"/>
      <c r="G20" s="80"/>
      <c r="H20" s="81">
        <f t="shared" si="0"/>
        <v>0</v>
      </c>
      <c r="I20" s="82"/>
      <c r="J20" s="77"/>
      <c r="K20" s="100">
        <v>1</v>
      </c>
      <c r="L20" s="101">
        <v>0.65</v>
      </c>
      <c r="M20" s="85">
        <f t="shared" si="1"/>
        <v>0.65</v>
      </c>
      <c r="N20" s="102" t="s">
        <v>737</v>
      </c>
      <c r="O20" s="77"/>
      <c r="P20" s="100">
        <v>1</v>
      </c>
      <c r="Q20" s="101">
        <v>0.9</v>
      </c>
      <c r="R20" s="85">
        <f t="shared" si="2"/>
        <v>0.9</v>
      </c>
      <c r="S20" s="102" t="s">
        <v>652</v>
      </c>
      <c r="T20" s="77"/>
      <c r="U20" s="79"/>
      <c r="V20" s="80"/>
      <c r="W20" s="81">
        <f t="shared" si="3"/>
        <v>0</v>
      </c>
      <c r="X20" s="82"/>
      <c r="Y20" s="77"/>
      <c r="Z20" s="79"/>
      <c r="AA20" s="80"/>
      <c r="AB20" s="81">
        <f t="shared" si="4"/>
        <v>0</v>
      </c>
      <c r="AC20" s="82"/>
      <c r="AD20" s="77"/>
      <c r="AE20" s="79"/>
      <c r="AF20" s="80"/>
      <c r="AG20" s="81">
        <f t="shared" si="5"/>
        <v>0</v>
      </c>
      <c r="AH20" s="82"/>
      <c r="AI20" s="77"/>
      <c r="AJ20" s="100">
        <v>1</v>
      </c>
      <c r="AK20" s="101">
        <v>0.45</v>
      </c>
      <c r="AL20" s="85">
        <f t="shared" si="6"/>
        <v>0.45</v>
      </c>
      <c r="AM20" s="102" t="s">
        <v>717</v>
      </c>
      <c r="AN20" s="77"/>
      <c r="AO20" s="100">
        <v>1</v>
      </c>
      <c r="AP20" s="101">
        <v>0.5</v>
      </c>
      <c r="AQ20" s="85">
        <f t="shared" si="7"/>
        <v>0.5</v>
      </c>
      <c r="AR20" s="102" t="s">
        <v>766</v>
      </c>
    </row>
    <row r="21" spans="1:44" ht="141.75" x14ac:dyDescent="0.25">
      <c r="A21" s="77">
        <v>18</v>
      </c>
      <c r="B21" s="78" t="s">
        <v>6</v>
      </c>
      <c r="C21" s="78" t="s">
        <v>7</v>
      </c>
      <c r="D21" s="78" t="s">
        <v>44</v>
      </c>
      <c r="E21" s="77"/>
      <c r="F21" s="79"/>
      <c r="G21" s="80"/>
      <c r="H21" s="81">
        <f t="shared" si="0"/>
        <v>0</v>
      </c>
      <c r="I21" s="82"/>
      <c r="J21" s="77"/>
      <c r="K21" s="100">
        <v>1</v>
      </c>
      <c r="L21" s="101">
        <v>0.75</v>
      </c>
      <c r="M21" s="85">
        <f>K21*L21</f>
        <v>0.75</v>
      </c>
      <c r="N21" s="102" t="s">
        <v>738</v>
      </c>
      <c r="O21" s="77"/>
      <c r="P21" s="100">
        <v>1</v>
      </c>
      <c r="Q21" s="101">
        <v>0.75</v>
      </c>
      <c r="R21" s="85">
        <f>P21*Q21</f>
        <v>0.75</v>
      </c>
      <c r="S21" s="102" t="s">
        <v>1369</v>
      </c>
      <c r="T21" s="77"/>
      <c r="U21" s="79"/>
      <c r="V21" s="80"/>
      <c r="W21" s="81">
        <f t="shared" si="3"/>
        <v>0</v>
      </c>
      <c r="X21" s="82"/>
      <c r="Y21" s="77"/>
      <c r="Z21" s="79"/>
      <c r="AA21" s="80"/>
      <c r="AB21" s="81">
        <f t="shared" si="4"/>
        <v>0</v>
      </c>
      <c r="AC21" s="82"/>
      <c r="AD21" s="77"/>
      <c r="AE21" s="79"/>
      <c r="AF21" s="80"/>
      <c r="AG21" s="81">
        <f t="shared" si="5"/>
        <v>0</v>
      </c>
      <c r="AH21" s="82"/>
      <c r="AI21" s="77"/>
      <c r="AJ21" s="100">
        <v>1</v>
      </c>
      <c r="AK21" s="101">
        <v>0.2</v>
      </c>
      <c r="AL21" s="85">
        <f t="shared" si="6"/>
        <v>0.2</v>
      </c>
      <c r="AM21" s="102" t="s">
        <v>755</v>
      </c>
      <c r="AN21" s="77"/>
      <c r="AO21" s="100">
        <v>1</v>
      </c>
      <c r="AP21" s="101">
        <v>0.72</v>
      </c>
      <c r="AQ21" s="85">
        <f t="shared" si="7"/>
        <v>0.72</v>
      </c>
      <c r="AR21" s="102" t="s">
        <v>767</v>
      </c>
    </row>
    <row r="22" spans="1:44" ht="126" x14ac:dyDescent="0.25">
      <c r="A22" s="77">
        <v>19</v>
      </c>
      <c r="B22" s="78" t="s">
        <v>6</v>
      </c>
      <c r="C22" s="78" t="s">
        <v>7</v>
      </c>
      <c r="D22" s="78" t="s">
        <v>45</v>
      </c>
      <c r="E22" s="77"/>
      <c r="F22" s="79"/>
      <c r="G22" s="80"/>
      <c r="H22" s="81">
        <f t="shared" si="0"/>
        <v>0</v>
      </c>
      <c r="I22" s="82"/>
      <c r="J22" s="77"/>
      <c r="K22" s="100">
        <v>1</v>
      </c>
      <c r="L22" s="101">
        <v>0.85</v>
      </c>
      <c r="M22" s="85">
        <f t="shared" ref="M22:M23" si="8">K22*L22</f>
        <v>0.85</v>
      </c>
      <c r="N22" s="102" t="s">
        <v>739</v>
      </c>
      <c r="O22" s="77"/>
      <c r="P22" s="100">
        <v>1</v>
      </c>
      <c r="Q22" s="101">
        <v>0.7</v>
      </c>
      <c r="R22" s="85">
        <f t="shared" ref="R22:R23" si="9">P22*Q22</f>
        <v>0.7</v>
      </c>
      <c r="S22" s="102" t="s">
        <v>748</v>
      </c>
      <c r="T22" s="77"/>
      <c r="U22" s="79"/>
      <c r="V22" s="80"/>
      <c r="W22" s="81">
        <f t="shared" si="3"/>
        <v>0</v>
      </c>
      <c r="X22" s="82"/>
      <c r="Y22" s="77"/>
      <c r="Z22" s="79"/>
      <c r="AA22" s="80"/>
      <c r="AB22" s="81">
        <f t="shared" si="4"/>
        <v>0</v>
      </c>
      <c r="AC22" s="82"/>
      <c r="AD22" s="77"/>
      <c r="AE22" s="79"/>
      <c r="AF22" s="80"/>
      <c r="AG22" s="81">
        <f t="shared" si="5"/>
        <v>0</v>
      </c>
      <c r="AH22" s="82"/>
      <c r="AI22" s="77"/>
      <c r="AJ22" s="100">
        <v>1</v>
      </c>
      <c r="AK22" s="101">
        <v>0.5</v>
      </c>
      <c r="AL22" s="85">
        <f t="shared" si="6"/>
        <v>0.5</v>
      </c>
      <c r="AM22" s="102" t="s">
        <v>756</v>
      </c>
      <c r="AN22" s="77"/>
      <c r="AO22" s="100">
        <v>1</v>
      </c>
      <c r="AP22" s="101">
        <v>0.3</v>
      </c>
      <c r="AQ22" s="85">
        <f t="shared" si="7"/>
        <v>0.3</v>
      </c>
      <c r="AR22" s="102" t="s">
        <v>815</v>
      </c>
    </row>
    <row r="23" spans="1:44" ht="110.25" x14ac:dyDescent="0.25">
      <c r="A23" s="77">
        <v>20</v>
      </c>
      <c r="B23" s="78" t="s">
        <v>6</v>
      </c>
      <c r="C23" s="78" t="s">
        <v>7</v>
      </c>
      <c r="D23" s="78" t="s">
        <v>46</v>
      </c>
      <c r="E23" s="77"/>
      <c r="F23" s="79"/>
      <c r="G23" s="80"/>
      <c r="H23" s="81">
        <f t="shared" si="0"/>
        <v>0</v>
      </c>
      <c r="I23" s="82"/>
      <c r="J23" s="77"/>
      <c r="K23" s="100">
        <v>1</v>
      </c>
      <c r="L23" s="101">
        <v>0.9</v>
      </c>
      <c r="M23" s="85">
        <f t="shared" si="8"/>
        <v>0.9</v>
      </c>
      <c r="N23" s="102" t="s">
        <v>740</v>
      </c>
      <c r="O23" s="77"/>
      <c r="P23" s="100">
        <v>1</v>
      </c>
      <c r="Q23" s="101">
        <v>0.6</v>
      </c>
      <c r="R23" s="85">
        <f t="shared" si="9"/>
        <v>0.6</v>
      </c>
      <c r="S23" s="102" t="s">
        <v>654</v>
      </c>
      <c r="T23" s="77"/>
      <c r="U23" s="79"/>
      <c r="V23" s="80"/>
      <c r="W23" s="81">
        <f t="shared" si="3"/>
        <v>0</v>
      </c>
      <c r="X23" s="82"/>
      <c r="Y23" s="77"/>
      <c r="Z23" s="79"/>
      <c r="AA23" s="80"/>
      <c r="AB23" s="81">
        <f t="shared" si="4"/>
        <v>0</v>
      </c>
      <c r="AC23" s="82"/>
      <c r="AD23" s="77"/>
      <c r="AE23" s="79"/>
      <c r="AF23" s="80"/>
      <c r="AG23" s="81">
        <f t="shared" si="5"/>
        <v>0</v>
      </c>
      <c r="AH23" s="82"/>
      <c r="AI23" s="77"/>
      <c r="AJ23" s="100">
        <v>1</v>
      </c>
      <c r="AK23" s="101">
        <v>0.5</v>
      </c>
      <c r="AL23" s="85">
        <f t="shared" si="6"/>
        <v>0.5</v>
      </c>
      <c r="AM23" s="102" t="s">
        <v>720</v>
      </c>
      <c r="AN23" s="77"/>
      <c r="AO23" s="100">
        <v>1</v>
      </c>
      <c r="AP23" s="101">
        <v>0.3</v>
      </c>
      <c r="AQ23" s="85">
        <f t="shared" si="7"/>
        <v>0.3</v>
      </c>
      <c r="AR23" s="102" t="s">
        <v>768</v>
      </c>
    </row>
    <row r="24" spans="1:44" ht="126" x14ac:dyDescent="0.25">
      <c r="A24" s="77">
        <v>21</v>
      </c>
      <c r="B24" s="78" t="s">
        <v>6</v>
      </c>
      <c r="C24" s="78" t="s">
        <v>7</v>
      </c>
      <c r="D24" s="78" t="s">
        <v>47</v>
      </c>
      <c r="E24" s="77"/>
      <c r="F24" s="79"/>
      <c r="G24" s="80"/>
      <c r="H24" s="81">
        <f t="shared" si="0"/>
        <v>0</v>
      </c>
      <c r="I24" s="82"/>
      <c r="J24" s="77" t="s">
        <v>30</v>
      </c>
      <c r="K24" s="100">
        <v>1</v>
      </c>
      <c r="L24" s="101">
        <v>0.98</v>
      </c>
      <c r="M24" s="85">
        <f t="shared" si="1"/>
        <v>0.98</v>
      </c>
      <c r="N24" s="102" t="s">
        <v>358</v>
      </c>
      <c r="O24" s="77"/>
      <c r="P24" s="100">
        <v>1</v>
      </c>
      <c r="Q24" s="101">
        <v>0.9</v>
      </c>
      <c r="R24" s="85">
        <f>P24*Q24</f>
        <v>0.9</v>
      </c>
      <c r="S24" s="102" t="s">
        <v>655</v>
      </c>
      <c r="T24" s="77"/>
      <c r="U24" s="79"/>
      <c r="V24" s="80"/>
      <c r="W24" s="81">
        <f t="shared" si="3"/>
        <v>0</v>
      </c>
      <c r="X24" s="82"/>
      <c r="Y24" s="77"/>
      <c r="Z24" s="79"/>
      <c r="AA24" s="80"/>
      <c r="AB24" s="81">
        <f t="shared" si="4"/>
        <v>0</v>
      </c>
      <c r="AC24" s="82"/>
      <c r="AD24" s="77"/>
      <c r="AE24" s="79"/>
      <c r="AF24" s="80"/>
      <c r="AG24" s="81">
        <f t="shared" si="5"/>
        <v>0</v>
      </c>
      <c r="AH24" s="82"/>
      <c r="AI24" s="77"/>
      <c r="AJ24" s="100">
        <v>1</v>
      </c>
      <c r="AK24" s="101">
        <v>0.98</v>
      </c>
      <c r="AL24" s="85">
        <f t="shared" si="6"/>
        <v>0.98</v>
      </c>
      <c r="AM24" s="102" t="s">
        <v>757</v>
      </c>
      <c r="AN24" s="77"/>
      <c r="AO24" s="100">
        <v>1</v>
      </c>
      <c r="AP24" s="101">
        <v>0.95</v>
      </c>
      <c r="AQ24" s="85">
        <f t="shared" si="7"/>
        <v>0.95</v>
      </c>
      <c r="AR24" s="102" t="s">
        <v>185</v>
      </c>
    </row>
    <row r="25" spans="1:44" s="73" customFormat="1" ht="157.5" x14ac:dyDescent="0.25">
      <c r="A25" s="77">
        <v>22</v>
      </c>
      <c r="B25" s="78" t="s">
        <v>6</v>
      </c>
      <c r="C25" s="78" t="s">
        <v>8</v>
      </c>
      <c r="D25" s="78" t="s">
        <v>48</v>
      </c>
      <c r="E25" s="77"/>
      <c r="F25" s="79"/>
      <c r="G25" s="80"/>
      <c r="H25" s="81">
        <f t="shared" si="0"/>
        <v>0</v>
      </c>
      <c r="I25" s="82"/>
      <c r="J25" s="77"/>
      <c r="K25" s="100">
        <v>1</v>
      </c>
      <c r="L25" s="101">
        <v>1</v>
      </c>
      <c r="M25" s="85">
        <f t="shared" si="1"/>
        <v>1</v>
      </c>
      <c r="N25" s="102" t="s">
        <v>741</v>
      </c>
      <c r="O25" s="77"/>
      <c r="P25" s="100">
        <v>1</v>
      </c>
      <c r="Q25" s="101">
        <v>1</v>
      </c>
      <c r="R25" s="85">
        <f t="shared" ref="R25:R29" si="10">P25*Q25</f>
        <v>1</v>
      </c>
      <c r="S25" s="102" t="s">
        <v>656</v>
      </c>
      <c r="T25" s="77"/>
      <c r="U25" s="79"/>
      <c r="V25" s="80"/>
      <c r="W25" s="81">
        <f t="shared" si="3"/>
        <v>0</v>
      </c>
      <c r="X25" s="82"/>
      <c r="Y25" s="77"/>
      <c r="Z25" s="79"/>
      <c r="AA25" s="80"/>
      <c r="AB25" s="81">
        <f t="shared" si="4"/>
        <v>0</v>
      </c>
      <c r="AC25" s="82"/>
      <c r="AD25" s="77"/>
      <c r="AE25" s="79"/>
      <c r="AF25" s="80"/>
      <c r="AG25" s="81">
        <f t="shared" si="5"/>
        <v>0</v>
      </c>
      <c r="AH25" s="82"/>
      <c r="AI25" s="77"/>
      <c r="AJ25" s="100">
        <v>1</v>
      </c>
      <c r="AK25" s="101">
        <v>0.55000000000000004</v>
      </c>
      <c r="AL25" s="85">
        <f t="shared" si="6"/>
        <v>0.55000000000000004</v>
      </c>
      <c r="AM25" s="102" t="s">
        <v>758</v>
      </c>
      <c r="AN25" s="77"/>
      <c r="AO25" s="100">
        <v>1</v>
      </c>
      <c r="AP25" s="101">
        <v>0.5</v>
      </c>
      <c r="AQ25" s="85">
        <f t="shared" si="7"/>
        <v>0.5</v>
      </c>
      <c r="AR25" s="78" t="s">
        <v>769</v>
      </c>
    </row>
    <row r="26" spans="1:44" ht="94.5" x14ac:dyDescent="0.25">
      <c r="A26" s="77">
        <v>23</v>
      </c>
      <c r="B26" s="78" t="s">
        <v>6</v>
      </c>
      <c r="C26" s="78" t="s">
        <v>8</v>
      </c>
      <c r="D26" s="78" t="s">
        <v>49</v>
      </c>
      <c r="E26" s="77"/>
      <c r="F26" s="79"/>
      <c r="G26" s="80"/>
      <c r="H26" s="81">
        <f t="shared" si="0"/>
        <v>0</v>
      </c>
      <c r="I26" s="82"/>
      <c r="J26" s="77"/>
      <c r="K26" s="100">
        <v>1</v>
      </c>
      <c r="L26" s="101">
        <v>1</v>
      </c>
      <c r="M26" s="85">
        <f t="shared" si="1"/>
        <v>1</v>
      </c>
      <c r="N26" s="102" t="s">
        <v>742</v>
      </c>
      <c r="O26" s="77"/>
      <c r="P26" s="100">
        <v>1</v>
      </c>
      <c r="Q26" s="101">
        <v>1</v>
      </c>
      <c r="R26" s="85">
        <f t="shared" si="10"/>
        <v>1</v>
      </c>
      <c r="S26" s="102" t="s">
        <v>749</v>
      </c>
      <c r="T26" s="77"/>
      <c r="U26" s="79"/>
      <c r="V26" s="80"/>
      <c r="W26" s="81">
        <f t="shared" si="3"/>
        <v>0</v>
      </c>
      <c r="X26" s="82"/>
      <c r="Y26" s="77"/>
      <c r="Z26" s="79"/>
      <c r="AA26" s="80"/>
      <c r="AB26" s="81">
        <f t="shared" si="4"/>
        <v>0</v>
      </c>
      <c r="AC26" s="82"/>
      <c r="AD26" s="77"/>
      <c r="AE26" s="79"/>
      <c r="AF26" s="80"/>
      <c r="AG26" s="81">
        <f t="shared" si="5"/>
        <v>0</v>
      </c>
      <c r="AH26" s="82"/>
      <c r="AI26" s="77"/>
      <c r="AJ26" s="100">
        <v>1</v>
      </c>
      <c r="AK26" s="101">
        <v>0.7</v>
      </c>
      <c r="AL26" s="85">
        <f t="shared" si="6"/>
        <v>0.7</v>
      </c>
      <c r="AM26" s="102" t="s">
        <v>671</v>
      </c>
      <c r="AN26" s="77"/>
      <c r="AO26" s="100">
        <v>1</v>
      </c>
      <c r="AP26" s="101">
        <v>0.7</v>
      </c>
      <c r="AQ26" s="85">
        <f t="shared" si="7"/>
        <v>0.7</v>
      </c>
      <c r="AR26" s="78" t="s">
        <v>682</v>
      </c>
    </row>
    <row r="27" spans="1:44" ht="78.75" x14ac:dyDescent="0.25">
      <c r="A27" s="77">
        <v>24</v>
      </c>
      <c r="B27" s="78" t="s">
        <v>6</v>
      </c>
      <c r="C27" s="78" t="s">
        <v>8</v>
      </c>
      <c r="D27" s="78" t="s">
        <v>50</v>
      </c>
      <c r="E27" s="77"/>
      <c r="F27" s="79"/>
      <c r="G27" s="80"/>
      <c r="H27" s="81">
        <f t="shared" si="0"/>
        <v>0</v>
      </c>
      <c r="I27" s="82"/>
      <c r="J27" s="77"/>
      <c r="K27" s="100">
        <v>1</v>
      </c>
      <c r="L27" s="101">
        <v>0.99</v>
      </c>
      <c r="M27" s="85">
        <f t="shared" si="1"/>
        <v>0.99</v>
      </c>
      <c r="N27" s="102" t="s">
        <v>569</v>
      </c>
      <c r="O27" s="77"/>
      <c r="P27" s="100">
        <v>1</v>
      </c>
      <c r="Q27" s="101">
        <v>1</v>
      </c>
      <c r="R27" s="85">
        <f t="shared" si="10"/>
        <v>1</v>
      </c>
      <c r="S27" s="102" t="s">
        <v>279</v>
      </c>
      <c r="T27" s="77"/>
      <c r="U27" s="79"/>
      <c r="V27" s="80"/>
      <c r="W27" s="81">
        <f t="shared" si="3"/>
        <v>0</v>
      </c>
      <c r="X27" s="82"/>
      <c r="Y27" s="77"/>
      <c r="Z27" s="79"/>
      <c r="AA27" s="80"/>
      <c r="AB27" s="81">
        <f t="shared" si="4"/>
        <v>0</v>
      </c>
      <c r="AC27" s="82"/>
      <c r="AD27" s="77"/>
      <c r="AE27" s="79"/>
      <c r="AF27" s="80"/>
      <c r="AG27" s="81">
        <f t="shared" si="5"/>
        <v>0</v>
      </c>
      <c r="AH27" s="82"/>
      <c r="AI27" s="77"/>
      <c r="AJ27" s="100">
        <v>1</v>
      </c>
      <c r="AK27" s="101">
        <v>0.2</v>
      </c>
      <c r="AL27" s="85">
        <f t="shared" si="6"/>
        <v>0.2</v>
      </c>
      <c r="AM27" s="102" t="s">
        <v>722</v>
      </c>
      <c r="AN27" s="77"/>
      <c r="AO27" s="100">
        <v>1</v>
      </c>
      <c r="AP27" s="101">
        <v>0.7</v>
      </c>
      <c r="AQ27" s="85">
        <f t="shared" si="7"/>
        <v>0.7</v>
      </c>
      <c r="AR27" s="78" t="s">
        <v>770</v>
      </c>
    </row>
    <row r="28" spans="1:44" ht="299.25" x14ac:dyDescent="0.25">
      <c r="A28" s="77">
        <v>25</v>
      </c>
      <c r="B28" s="78" t="s">
        <v>6</v>
      </c>
      <c r="C28" s="78" t="s">
        <v>8</v>
      </c>
      <c r="D28" s="78" t="s">
        <v>51</v>
      </c>
      <c r="E28" s="77"/>
      <c r="F28" s="79"/>
      <c r="G28" s="80"/>
      <c r="H28" s="81">
        <f t="shared" si="0"/>
        <v>0</v>
      </c>
      <c r="I28" s="82"/>
      <c r="J28" s="77"/>
      <c r="K28" s="100">
        <v>1</v>
      </c>
      <c r="L28" s="101">
        <v>0.85</v>
      </c>
      <c r="M28" s="85">
        <f t="shared" si="1"/>
        <v>0.85</v>
      </c>
      <c r="N28" s="102" t="s">
        <v>1460</v>
      </c>
      <c r="O28" s="77"/>
      <c r="P28" s="100">
        <v>1</v>
      </c>
      <c r="Q28" s="101">
        <v>0.75</v>
      </c>
      <c r="R28" s="85">
        <f t="shared" si="10"/>
        <v>0.75</v>
      </c>
      <c r="S28" s="102" t="s">
        <v>1461</v>
      </c>
      <c r="T28" s="77"/>
      <c r="U28" s="79"/>
      <c r="V28" s="80"/>
      <c r="W28" s="81">
        <f t="shared" si="3"/>
        <v>0</v>
      </c>
      <c r="X28" s="82"/>
      <c r="Y28" s="77"/>
      <c r="Z28" s="79"/>
      <c r="AA28" s="80"/>
      <c r="AB28" s="81">
        <f t="shared" si="4"/>
        <v>0</v>
      </c>
      <c r="AC28" s="82"/>
      <c r="AD28" s="77"/>
      <c r="AE28" s="79"/>
      <c r="AF28" s="80"/>
      <c r="AG28" s="81">
        <f t="shared" si="5"/>
        <v>0</v>
      </c>
      <c r="AH28" s="82"/>
      <c r="AI28" s="77"/>
      <c r="AJ28" s="100">
        <v>1</v>
      </c>
      <c r="AK28" s="101">
        <v>0.1</v>
      </c>
      <c r="AL28" s="85">
        <f t="shared" si="6"/>
        <v>0.1</v>
      </c>
      <c r="AM28" s="102" t="s">
        <v>604</v>
      </c>
      <c r="AN28" s="77"/>
      <c r="AO28" s="100">
        <v>1</v>
      </c>
      <c r="AP28" s="101">
        <v>0.6</v>
      </c>
      <c r="AQ28" s="85">
        <f t="shared" si="7"/>
        <v>0.6</v>
      </c>
      <c r="AR28" s="102" t="s">
        <v>771</v>
      </c>
    </row>
    <row r="29" spans="1:44" ht="94.5" x14ac:dyDescent="0.25">
      <c r="A29" s="77">
        <v>26</v>
      </c>
      <c r="B29" s="78" t="s">
        <v>6</v>
      </c>
      <c r="C29" s="78" t="s">
        <v>8</v>
      </c>
      <c r="D29" s="78" t="s">
        <v>52</v>
      </c>
      <c r="E29" s="77"/>
      <c r="F29" s="79"/>
      <c r="G29" s="80"/>
      <c r="H29" s="81">
        <f t="shared" si="0"/>
        <v>0</v>
      </c>
      <c r="I29" s="82"/>
      <c r="J29" s="77"/>
      <c r="K29" s="100">
        <v>1</v>
      </c>
      <c r="L29" s="101">
        <v>1</v>
      </c>
      <c r="M29" s="85">
        <f t="shared" si="1"/>
        <v>1</v>
      </c>
      <c r="N29" s="102" t="s">
        <v>147</v>
      </c>
      <c r="O29" s="77"/>
      <c r="P29" s="100">
        <v>1</v>
      </c>
      <c r="Q29" s="101">
        <v>0.85</v>
      </c>
      <c r="R29" s="85">
        <f t="shared" si="10"/>
        <v>0.85</v>
      </c>
      <c r="S29" s="102" t="s">
        <v>750</v>
      </c>
      <c r="T29" s="77"/>
      <c r="U29" s="79"/>
      <c r="V29" s="80"/>
      <c r="W29" s="81">
        <f t="shared" si="3"/>
        <v>0</v>
      </c>
      <c r="X29" s="78"/>
      <c r="Y29" s="77"/>
      <c r="Z29" s="79"/>
      <c r="AA29" s="80"/>
      <c r="AB29" s="81">
        <f t="shared" si="4"/>
        <v>0</v>
      </c>
      <c r="AC29" s="78"/>
      <c r="AD29" s="77"/>
      <c r="AE29" s="79"/>
      <c r="AF29" s="80"/>
      <c r="AG29" s="81">
        <f t="shared" si="5"/>
        <v>0</v>
      </c>
      <c r="AH29" s="78"/>
      <c r="AI29" s="77"/>
      <c r="AJ29" s="100">
        <v>1</v>
      </c>
      <c r="AK29" s="101">
        <v>0.1</v>
      </c>
      <c r="AL29" s="85">
        <f t="shared" si="6"/>
        <v>0.1</v>
      </c>
      <c r="AM29" s="102" t="s">
        <v>605</v>
      </c>
      <c r="AN29" s="77"/>
      <c r="AO29" s="100">
        <v>1</v>
      </c>
      <c r="AP29" s="101">
        <v>0.75</v>
      </c>
      <c r="AQ29" s="85">
        <f t="shared" si="7"/>
        <v>0.75</v>
      </c>
      <c r="AR29" s="102" t="s">
        <v>731</v>
      </c>
    </row>
    <row r="30" spans="1:44" ht="315" x14ac:dyDescent="0.25">
      <c r="A30" s="77">
        <v>27</v>
      </c>
      <c r="B30" s="78" t="s">
        <v>6</v>
      </c>
      <c r="C30" s="78" t="s">
        <v>8</v>
      </c>
      <c r="D30" s="78" t="s">
        <v>53</v>
      </c>
      <c r="E30" s="77"/>
      <c r="F30" s="79"/>
      <c r="G30" s="80"/>
      <c r="H30" s="81">
        <f t="shared" si="0"/>
        <v>0</v>
      </c>
      <c r="I30" s="82"/>
      <c r="J30" s="77"/>
      <c r="K30" s="100">
        <v>1</v>
      </c>
      <c r="L30" s="101">
        <v>1</v>
      </c>
      <c r="M30" s="85">
        <f t="shared" si="1"/>
        <v>1</v>
      </c>
      <c r="N30" s="102"/>
      <c r="O30" s="77"/>
      <c r="P30" s="100">
        <v>1</v>
      </c>
      <c r="Q30" s="101">
        <v>0.6</v>
      </c>
      <c r="R30" s="85">
        <f t="shared" si="2"/>
        <v>0.6</v>
      </c>
      <c r="S30" s="102" t="s">
        <v>464</v>
      </c>
      <c r="T30" s="77"/>
      <c r="U30" s="79"/>
      <c r="V30" s="80"/>
      <c r="W30" s="81">
        <f t="shared" si="3"/>
        <v>0</v>
      </c>
      <c r="X30" s="82"/>
      <c r="Y30" s="77"/>
      <c r="Z30" s="79"/>
      <c r="AA30" s="80"/>
      <c r="AB30" s="81">
        <f t="shared" si="4"/>
        <v>0</v>
      </c>
      <c r="AC30" s="82"/>
      <c r="AD30" s="77"/>
      <c r="AE30" s="79"/>
      <c r="AF30" s="80"/>
      <c r="AG30" s="81">
        <f t="shared" si="5"/>
        <v>0</v>
      </c>
      <c r="AH30" s="82"/>
      <c r="AI30" s="77"/>
      <c r="AJ30" s="100">
        <v>1</v>
      </c>
      <c r="AK30" s="101">
        <v>0.85</v>
      </c>
      <c r="AL30" s="85">
        <f t="shared" si="6"/>
        <v>0.85</v>
      </c>
      <c r="AM30" s="102" t="s">
        <v>606</v>
      </c>
      <c r="AN30" s="77"/>
      <c r="AO30" s="100">
        <v>1</v>
      </c>
      <c r="AP30" s="101">
        <v>1</v>
      </c>
      <c r="AQ30" s="85">
        <f t="shared" si="7"/>
        <v>1</v>
      </c>
      <c r="AR30" s="102"/>
    </row>
    <row r="31" spans="1:44" ht="78.75" x14ac:dyDescent="0.25">
      <c r="A31" s="77">
        <v>28</v>
      </c>
      <c r="B31" s="78" t="s">
        <v>6</v>
      </c>
      <c r="C31" s="78" t="s">
        <v>8</v>
      </c>
      <c r="D31" s="78" t="s">
        <v>54</v>
      </c>
      <c r="E31" s="77"/>
      <c r="F31" s="79"/>
      <c r="G31" s="80"/>
      <c r="H31" s="81">
        <f t="shared" si="0"/>
        <v>0</v>
      </c>
      <c r="I31" s="82"/>
      <c r="J31" s="77"/>
      <c r="K31" s="100">
        <v>1</v>
      </c>
      <c r="L31" s="101">
        <v>1</v>
      </c>
      <c r="M31" s="85">
        <f t="shared" si="1"/>
        <v>1</v>
      </c>
      <c r="N31" s="102" t="s">
        <v>743</v>
      </c>
      <c r="O31" s="77"/>
      <c r="P31" s="100">
        <v>1</v>
      </c>
      <c r="Q31" s="101">
        <v>1</v>
      </c>
      <c r="R31" s="85">
        <f t="shared" si="2"/>
        <v>1</v>
      </c>
      <c r="S31" s="102" t="s">
        <v>751</v>
      </c>
      <c r="T31" s="77"/>
      <c r="U31" s="79"/>
      <c r="V31" s="80"/>
      <c r="W31" s="81">
        <f t="shared" si="3"/>
        <v>0</v>
      </c>
      <c r="X31" s="82"/>
      <c r="Y31" s="77"/>
      <c r="Z31" s="79"/>
      <c r="AA31" s="80"/>
      <c r="AB31" s="81">
        <f t="shared" si="4"/>
        <v>0</v>
      </c>
      <c r="AC31" s="82"/>
      <c r="AD31" s="77"/>
      <c r="AE31" s="79"/>
      <c r="AF31" s="80"/>
      <c r="AG31" s="81">
        <f t="shared" si="5"/>
        <v>0</v>
      </c>
      <c r="AH31" s="82"/>
      <c r="AI31" s="77"/>
      <c r="AJ31" s="100">
        <v>1</v>
      </c>
      <c r="AK31" s="101">
        <v>1</v>
      </c>
      <c r="AL31" s="85">
        <f t="shared" si="6"/>
        <v>1</v>
      </c>
      <c r="AM31" s="102" t="s">
        <v>672</v>
      </c>
      <c r="AN31" s="77"/>
      <c r="AO31" s="100">
        <v>1</v>
      </c>
      <c r="AP31" s="101">
        <v>1</v>
      </c>
      <c r="AQ31" s="85">
        <f t="shared" si="7"/>
        <v>1</v>
      </c>
      <c r="AR31" s="102" t="s">
        <v>686</v>
      </c>
    </row>
    <row r="32" spans="1:44" ht="78.75" x14ac:dyDescent="0.25">
      <c r="A32" s="77">
        <v>29</v>
      </c>
      <c r="B32" s="78" t="s">
        <v>6</v>
      </c>
      <c r="C32" s="78" t="s">
        <v>8</v>
      </c>
      <c r="D32" s="78" t="s">
        <v>55</v>
      </c>
      <c r="E32" s="77"/>
      <c r="F32" s="79"/>
      <c r="G32" s="80"/>
      <c r="H32" s="81">
        <f t="shared" si="0"/>
        <v>0</v>
      </c>
      <c r="I32" s="82"/>
      <c r="J32" s="77"/>
      <c r="K32" s="100">
        <v>1</v>
      </c>
      <c r="L32" s="101">
        <v>1</v>
      </c>
      <c r="M32" s="85">
        <f t="shared" si="1"/>
        <v>1</v>
      </c>
      <c r="N32" s="102" t="s">
        <v>406</v>
      </c>
      <c r="O32" s="77"/>
      <c r="P32" s="100">
        <v>1</v>
      </c>
      <c r="Q32" s="101">
        <v>1</v>
      </c>
      <c r="R32" s="85">
        <f t="shared" si="2"/>
        <v>1</v>
      </c>
      <c r="S32" s="102" t="s">
        <v>423</v>
      </c>
      <c r="T32" s="77"/>
      <c r="U32" s="79"/>
      <c r="V32" s="80"/>
      <c r="W32" s="81">
        <f t="shared" si="3"/>
        <v>0</v>
      </c>
      <c r="X32" s="82"/>
      <c r="Y32" s="77"/>
      <c r="Z32" s="79"/>
      <c r="AA32" s="80"/>
      <c r="AB32" s="81">
        <f t="shared" si="4"/>
        <v>0</v>
      </c>
      <c r="AC32" s="82"/>
      <c r="AD32" s="77"/>
      <c r="AE32" s="79"/>
      <c r="AF32" s="80"/>
      <c r="AG32" s="81">
        <f t="shared" si="5"/>
        <v>0</v>
      </c>
      <c r="AH32" s="82"/>
      <c r="AI32" s="77"/>
      <c r="AJ32" s="100">
        <v>1</v>
      </c>
      <c r="AK32" s="101">
        <v>1</v>
      </c>
      <c r="AL32" s="85">
        <f t="shared" si="6"/>
        <v>1</v>
      </c>
      <c r="AM32" s="102" t="s">
        <v>673</v>
      </c>
      <c r="AN32" s="77"/>
      <c r="AO32" s="100">
        <v>1</v>
      </c>
      <c r="AP32" s="101">
        <v>1</v>
      </c>
      <c r="AQ32" s="85">
        <f t="shared" si="7"/>
        <v>1</v>
      </c>
      <c r="AR32" s="102" t="s">
        <v>732</v>
      </c>
    </row>
    <row r="33" spans="1:44" ht="110.25" x14ac:dyDescent="0.25">
      <c r="A33" s="77">
        <v>30</v>
      </c>
      <c r="B33" s="78" t="s">
        <v>6</v>
      </c>
      <c r="C33" s="78" t="s">
        <v>8</v>
      </c>
      <c r="D33" s="78" t="s">
        <v>56</v>
      </c>
      <c r="E33" s="77"/>
      <c r="F33" s="79"/>
      <c r="G33" s="80"/>
      <c r="H33" s="81">
        <f t="shared" si="0"/>
        <v>0</v>
      </c>
      <c r="I33" s="82"/>
      <c r="J33" s="77"/>
      <c r="K33" s="100">
        <v>1</v>
      </c>
      <c r="L33" s="101">
        <v>1</v>
      </c>
      <c r="M33" s="85">
        <f t="shared" si="1"/>
        <v>1</v>
      </c>
      <c r="N33" s="102" t="s">
        <v>744</v>
      </c>
      <c r="O33" s="77"/>
      <c r="P33" s="100">
        <v>1</v>
      </c>
      <c r="Q33" s="101">
        <v>0.5</v>
      </c>
      <c r="R33" s="85">
        <f t="shared" si="2"/>
        <v>0.5</v>
      </c>
      <c r="S33" s="102" t="s">
        <v>465</v>
      </c>
      <c r="T33" s="77"/>
      <c r="U33" s="79"/>
      <c r="V33" s="80"/>
      <c r="W33" s="81">
        <f t="shared" si="3"/>
        <v>0</v>
      </c>
      <c r="X33" s="82"/>
      <c r="Y33" s="77"/>
      <c r="Z33" s="79"/>
      <c r="AA33" s="80"/>
      <c r="AB33" s="81">
        <f t="shared" si="4"/>
        <v>0</v>
      </c>
      <c r="AC33" s="82"/>
      <c r="AD33" s="77"/>
      <c r="AE33" s="79"/>
      <c r="AF33" s="80"/>
      <c r="AG33" s="81">
        <f t="shared" si="5"/>
        <v>0</v>
      </c>
      <c r="AH33" s="82"/>
      <c r="AI33" s="77"/>
      <c r="AJ33" s="100">
        <v>1</v>
      </c>
      <c r="AK33" s="101">
        <v>0.2</v>
      </c>
      <c r="AL33" s="85">
        <f t="shared" si="6"/>
        <v>0.2</v>
      </c>
      <c r="AM33" s="102" t="s">
        <v>759</v>
      </c>
      <c r="AN33" s="77"/>
      <c r="AO33" s="100">
        <v>1</v>
      </c>
      <c r="AP33" s="101">
        <v>0.5</v>
      </c>
      <c r="AQ33" s="85">
        <f t="shared" si="7"/>
        <v>0.5</v>
      </c>
      <c r="AR33" s="102" t="s">
        <v>772</v>
      </c>
    </row>
    <row r="34" spans="1:44" ht="264" customHeight="1" x14ac:dyDescent="0.25">
      <c r="A34" s="77">
        <v>31</v>
      </c>
      <c r="B34" s="78" t="s">
        <v>6</v>
      </c>
      <c r="C34" s="78" t="s">
        <v>9</v>
      </c>
      <c r="D34" s="102" t="s">
        <v>57</v>
      </c>
      <c r="E34" s="77"/>
      <c r="F34" s="79"/>
      <c r="G34" s="80"/>
      <c r="H34" s="81">
        <f t="shared" si="0"/>
        <v>0</v>
      </c>
      <c r="I34" s="82"/>
      <c r="J34" s="77"/>
      <c r="K34" s="100">
        <v>1</v>
      </c>
      <c r="L34" s="101">
        <v>0.62</v>
      </c>
      <c r="M34" s="85">
        <f t="shared" si="1"/>
        <v>0.62</v>
      </c>
      <c r="N34" s="102" t="s">
        <v>745</v>
      </c>
      <c r="O34" s="77"/>
      <c r="P34" s="100">
        <v>1</v>
      </c>
      <c r="Q34" s="101">
        <v>0.3</v>
      </c>
      <c r="R34" s="85">
        <f t="shared" si="2"/>
        <v>0.3</v>
      </c>
      <c r="S34" s="102" t="s">
        <v>173</v>
      </c>
      <c r="T34" s="77"/>
      <c r="U34" s="79"/>
      <c r="V34" s="80"/>
      <c r="W34" s="81">
        <f t="shared" si="3"/>
        <v>0</v>
      </c>
      <c r="X34" s="82"/>
      <c r="Y34" s="77"/>
      <c r="Z34" s="79"/>
      <c r="AA34" s="80"/>
      <c r="AB34" s="81">
        <f t="shared" si="4"/>
        <v>0</v>
      </c>
      <c r="AC34" s="82"/>
      <c r="AD34" s="77"/>
      <c r="AE34" s="79"/>
      <c r="AF34" s="80"/>
      <c r="AG34" s="81">
        <f t="shared" si="5"/>
        <v>0</v>
      </c>
      <c r="AH34" s="82"/>
      <c r="AI34" s="77"/>
      <c r="AJ34" s="100">
        <v>1</v>
      </c>
      <c r="AK34" s="101">
        <v>0.3</v>
      </c>
      <c r="AL34" s="85">
        <f t="shared" si="6"/>
        <v>0.3</v>
      </c>
      <c r="AM34" s="102" t="s">
        <v>610</v>
      </c>
      <c r="AN34" s="77"/>
      <c r="AO34" s="100">
        <v>1</v>
      </c>
      <c r="AP34" s="101">
        <v>0.5</v>
      </c>
      <c r="AQ34" s="85">
        <f t="shared" si="7"/>
        <v>0.5</v>
      </c>
      <c r="AR34" s="102" t="s">
        <v>194</v>
      </c>
    </row>
    <row r="35" spans="1:44" ht="189" x14ac:dyDescent="0.25">
      <c r="A35" s="77">
        <v>32</v>
      </c>
      <c r="B35" s="78" t="s">
        <v>6</v>
      </c>
      <c r="C35" s="78" t="s">
        <v>9</v>
      </c>
      <c r="D35" s="102" t="s">
        <v>58</v>
      </c>
      <c r="E35" s="77"/>
      <c r="F35" s="79"/>
      <c r="G35" s="80"/>
      <c r="H35" s="81">
        <f t="shared" si="0"/>
        <v>0</v>
      </c>
      <c r="I35" s="78"/>
      <c r="J35" s="77"/>
      <c r="K35" s="100">
        <v>1</v>
      </c>
      <c r="L35" s="101">
        <v>0.9</v>
      </c>
      <c r="M35" s="85">
        <f t="shared" si="1"/>
        <v>0.9</v>
      </c>
      <c r="N35" s="102" t="s">
        <v>152</v>
      </c>
      <c r="O35" s="77"/>
      <c r="P35" s="100">
        <v>1</v>
      </c>
      <c r="Q35" s="101">
        <v>0.7</v>
      </c>
      <c r="R35" s="85">
        <f t="shared" si="2"/>
        <v>0.7</v>
      </c>
      <c r="S35" s="102" t="s">
        <v>332</v>
      </c>
      <c r="T35" s="77"/>
      <c r="U35" s="79"/>
      <c r="V35" s="80"/>
      <c r="W35" s="81">
        <f t="shared" si="3"/>
        <v>0</v>
      </c>
      <c r="X35" s="82"/>
      <c r="Y35" s="77"/>
      <c r="Z35" s="79"/>
      <c r="AA35" s="80"/>
      <c r="AB35" s="81">
        <f t="shared" si="4"/>
        <v>0</v>
      </c>
      <c r="AC35" s="82"/>
      <c r="AD35" s="77"/>
      <c r="AE35" s="79"/>
      <c r="AF35" s="80"/>
      <c r="AG35" s="81">
        <f t="shared" si="5"/>
        <v>0</v>
      </c>
      <c r="AH35" s="82"/>
      <c r="AI35" s="77"/>
      <c r="AJ35" s="100">
        <v>1</v>
      </c>
      <c r="AK35" s="101">
        <v>0.1</v>
      </c>
      <c r="AL35" s="85">
        <f t="shared" si="6"/>
        <v>0.1</v>
      </c>
      <c r="AM35" s="102" t="s">
        <v>611</v>
      </c>
      <c r="AN35" s="77"/>
      <c r="AO35" s="100">
        <v>1</v>
      </c>
      <c r="AP35" s="101">
        <v>0.5</v>
      </c>
      <c r="AQ35" s="85">
        <f t="shared" si="7"/>
        <v>0.5</v>
      </c>
      <c r="AR35" s="102" t="s">
        <v>348</v>
      </c>
    </row>
    <row r="36" spans="1:44" ht="173.25" x14ac:dyDescent="0.25">
      <c r="A36" s="77">
        <v>33</v>
      </c>
      <c r="B36" s="78" t="s">
        <v>6</v>
      </c>
      <c r="C36" s="78" t="s">
        <v>9</v>
      </c>
      <c r="D36" s="78" t="s">
        <v>59</v>
      </c>
      <c r="E36" s="77"/>
      <c r="F36" s="79"/>
      <c r="G36" s="80"/>
      <c r="H36" s="81">
        <f t="shared" si="0"/>
        <v>0</v>
      </c>
      <c r="I36" s="82"/>
      <c r="J36" s="77"/>
      <c r="K36" s="100">
        <v>1</v>
      </c>
      <c r="L36" s="101">
        <v>1</v>
      </c>
      <c r="M36" s="85">
        <f t="shared" si="1"/>
        <v>1</v>
      </c>
      <c r="N36" s="102"/>
      <c r="O36" s="77"/>
      <c r="P36" s="100">
        <v>1</v>
      </c>
      <c r="Q36" s="101">
        <v>0.5</v>
      </c>
      <c r="R36" s="85">
        <f t="shared" si="2"/>
        <v>0.5</v>
      </c>
      <c r="S36" s="102" t="s">
        <v>712</v>
      </c>
      <c r="T36" s="77"/>
      <c r="U36" s="79"/>
      <c r="V36" s="80"/>
      <c r="W36" s="81">
        <f t="shared" si="3"/>
        <v>0</v>
      </c>
      <c r="X36" s="82"/>
      <c r="Y36" s="77"/>
      <c r="Z36" s="79"/>
      <c r="AA36" s="80"/>
      <c r="AB36" s="81">
        <f t="shared" si="4"/>
        <v>0</v>
      </c>
      <c r="AC36" s="82"/>
      <c r="AD36" s="77"/>
      <c r="AE36" s="79"/>
      <c r="AF36" s="80"/>
      <c r="AG36" s="81">
        <f t="shared" si="5"/>
        <v>0</v>
      </c>
      <c r="AH36" s="82"/>
      <c r="AI36" s="77"/>
      <c r="AJ36" s="100">
        <v>1</v>
      </c>
      <c r="AK36" s="101">
        <v>0.5</v>
      </c>
      <c r="AL36" s="85">
        <f t="shared" si="6"/>
        <v>0.5</v>
      </c>
      <c r="AM36" s="102" t="s">
        <v>612</v>
      </c>
      <c r="AN36" s="77"/>
      <c r="AO36" s="100">
        <v>1</v>
      </c>
      <c r="AP36" s="101">
        <v>0.8</v>
      </c>
      <c r="AQ36" s="85">
        <f t="shared" si="7"/>
        <v>0.8</v>
      </c>
      <c r="AR36" s="102" t="s">
        <v>196</v>
      </c>
    </row>
    <row r="37" spans="1:44" ht="78.75" x14ac:dyDescent="0.25">
      <c r="A37" s="77">
        <v>34</v>
      </c>
      <c r="B37" s="78" t="s">
        <v>6</v>
      </c>
      <c r="C37" s="78" t="s">
        <v>9</v>
      </c>
      <c r="D37" s="78" t="s">
        <v>60</v>
      </c>
      <c r="E37" s="77"/>
      <c r="F37" s="79"/>
      <c r="G37" s="80"/>
      <c r="H37" s="81">
        <f t="shared" si="0"/>
        <v>0</v>
      </c>
      <c r="I37" s="82"/>
      <c r="J37" s="77"/>
      <c r="K37" s="100">
        <v>1</v>
      </c>
      <c r="L37" s="101">
        <v>1</v>
      </c>
      <c r="M37" s="85">
        <f t="shared" si="1"/>
        <v>1</v>
      </c>
      <c r="N37" s="102" t="s">
        <v>701</v>
      </c>
      <c r="O37" s="77"/>
      <c r="P37" s="100">
        <v>1</v>
      </c>
      <c r="Q37" s="101">
        <v>1</v>
      </c>
      <c r="R37" s="85">
        <f t="shared" si="2"/>
        <v>1</v>
      </c>
      <c r="S37" s="102" t="s">
        <v>176</v>
      </c>
      <c r="T37" s="77"/>
      <c r="U37" s="79"/>
      <c r="V37" s="80"/>
      <c r="W37" s="81">
        <f t="shared" si="3"/>
        <v>0</v>
      </c>
      <c r="X37" s="82"/>
      <c r="Y37" s="77"/>
      <c r="Z37" s="79"/>
      <c r="AA37" s="80"/>
      <c r="AB37" s="81">
        <f t="shared" si="4"/>
        <v>0</v>
      </c>
      <c r="AC37" s="82"/>
      <c r="AD37" s="77"/>
      <c r="AE37" s="79"/>
      <c r="AF37" s="80"/>
      <c r="AG37" s="81">
        <f t="shared" si="5"/>
        <v>0</v>
      </c>
      <c r="AH37" s="82"/>
      <c r="AI37" s="77"/>
      <c r="AJ37" s="100">
        <v>1</v>
      </c>
      <c r="AK37" s="101">
        <v>1</v>
      </c>
      <c r="AL37" s="85">
        <f t="shared" si="6"/>
        <v>1</v>
      </c>
      <c r="AM37" s="102" t="s">
        <v>613</v>
      </c>
      <c r="AN37" s="77"/>
      <c r="AO37" s="100">
        <v>0</v>
      </c>
      <c r="AP37" s="101"/>
      <c r="AQ37" s="85">
        <f t="shared" si="7"/>
        <v>0</v>
      </c>
      <c r="AR37" s="102" t="s">
        <v>297</v>
      </c>
    </row>
    <row r="38" spans="1:44" ht="236.25" x14ac:dyDescent="0.25">
      <c r="A38" s="77">
        <v>35</v>
      </c>
      <c r="B38" s="78" t="s">
        <v>6</v>
      </c>
      <c r="C38" s="78" t="s">
        <v>9</v>
      </c>
      <c r="D38" s="78" t="s">
        <v>61</v>
      </c>
      <c r="E38" s="77"/>
      <c r="F38" s="79"/>
      <c r="G38" s="80"/>
      <c r="H38" s="81">
        <f t="shared" si="0"/>
        <v>0</v>
      </c>
      <c r="I38" s="82"/>
      <c r="J38" s="77"/>
      <c r="K38" s="100">
        <v>1</v>
      </c>
      <c r="L38" s="101">
        <v>0.9</v>
      </c>
      <c r="M38" s="85">
        <f t="shared" si="1"/>
        <v>0.9</v>
      </c>
      <c r="N38" s="102" t="s">
        <v>452</v>
      </c>
      <c r="O38" s="77"/>
      <c r="P38" s="100">
        <v>1</v>
      </c>
      <c r="Q38" s="101">
        <v>0.98</v>
      </c>
      <c r="R38" s="85">
        <f t="shared" si="2"/>
        <v>0.98</v>
      </c>
      <c r="S38" s="102" t="s">
        <v>234</v>
      </c>
      <c r="T38" s="77"/>
      <c r="U38" s="79"/>
      <c r="V38" s="80"/>
      <c r="W38" s="81">
        <f t="shared" si="3"/>
        <v>0</v>
      </c>
      <c r="X38" s="82"/>
      <c r="Y38" s="77"/>
      <c r="Z38" s="79"/>
      <c r="AA38" s="80"/>
      <c r="AB38" s="81">
        <f t="shared" si="4"/>
        <v>0</v>
      </c>
      <c r="AC38" s="82"/>
      <c r="AD38" s="77"/>
      <c r="AE38" s="79"/>
      <c r="AF38" s="80"/>
      <c r="AG38" s="81">
        <f t="shared" si="5"/>
        <v>0</v>
      </c>
      <c r="AH38" s="82"/>
      <c r="AI38" s="77"/>
      <c r="AJ38" s="100">
        <v>1</v>
      </c>
      <c r="AK38" s="101">
        <v>0.1</v>
      </c>
      <c r="AL38" s="85">
        <f t="shared" si="6"/>
        <v>0.1</v>
      </c>
      <c r="AM38" s="102" t="s">
        <v>760</v>
      </c>
      <c r="AN38" s="77"/>
      <c r="AO38" s="100">
        <v>1</v>
      </c>
      <c r="AP38" s="101">
        <v>0.65</v>
      </c>
      <c r="AQ38" s="85">
        <f t="shared" si="7"/>
        <v>0.65</v>
      </c>
      <c r="AR38" s="102" t="s">
        <v>773</v>
      </c>
    </row>
    <row r="39" spans="1:44" ht="299.25" x14ac:dyDescent="0.25">
      <c r="A39" s="77">
        <v>36</v>
      </c>
      <c r="B39" s="78" t="s">
        <v>6</v>
      </c>
      <c r="C39" s="78" t="s">
        <v>9</v>
      </c>
      <c r="D39" s="78" t="s">
        <v>62</v>
      </c>
      <c r="E39" s="77"/>
      <c r="F39" s="79"/>
      <c r="G39" s="80"/>
      <c r="H39" s="81">
        <f t="shared" si="0"/>
        <v>0</v>
      </c>
      <c r="I39" s="82"/>
      <c r="J39" s="77"/>
      <c r="K39" s="100">
        <v>1</v>
      </c>
      <c r="L39" s="101">
        <v>0.9</v>
      </c>
      <c r="M39" s="85">
        <f t="shared" si="1"/>
        <v>0.9</v>
      </c>
      <c r="N39" s="102" t="s">
        <v>578</v>
      </c>
      <c r="O39" s="77"/>
      <c r="P39" s="100">
        <v>1</v>
      </c>
      <c r="Q39" s="101">
        <v>0.96</v>
      </c>
      <c r="R39" s="85">
        <f t="shared" si="2"/>
        <v>0.96</v>
      </c>
      <c r="S39" s="102" t="s">
        <v>177</v>
      </c>
      <c r="T39" s="77"/>
      <c r="U39" s="79"/>
      <c r="V39" s="80"/>
      <c r="W39" s="81">
        <f t="shared" si="3"/>
        <v>0</v>
      </c>
      <c r="X39" s="82"/>
      <c r="Y39" s="77"/>
      <c r="Z39" s="79"/>
      <c r="AA39" s="80"/>
      <c r="AB39" s="81">
        <f t="shared" si="4"/>
        <v>0</v>
      </c>
      <c r="AC39" s="82"/>
      <c r="AD39" s="77"/>
      <c r="AE39" s="79"/>
      <c r="AF39" s="80"/>
      <c r="AG39" s="81">
        <f t="shared" si="5"/>
        <v>0</v>
      </c>
      <c r="AH39" s="82"/>
      <c r="AI39" s="77"/>
      <c r="AJ39" s="100">
        <v>1</v>
      </c>
      <c r="AK39" s="101">
        <v>0.4</v>
      </c>
      <c r="AL39" s="85">
        <f t="shared" si="6"/>
        <v>0.4</v>
      </c>
      <c r="AM39" s="102" t="s">
        <v>761</v>
      </c>
      <c r="AN39" s="77"/>
      <c r="AO39" s="100">
        <v>1</v>
      </c>
      <c r="AP39" s="101">
        <v>0.6</v>
      </c>
      <c r="AQ39" s="85">
        <f t="shared" si="7"/>
        <v>0.6</v>
      </c>
      <c r="AR39" s="102" t="s">
        <v>632</v>
      </c>
    </row>
    <row r="40" spans="1:44" ht="126" x14ac:dyDescent="0.25">
      <c r="A40" s="77">
        <v>37</v>
      </c>
      <c r="B40" s="78" t="s">
        <v>6</v>
      </c>
      <c r="C40" s="78" t="s">
        <v>9</v>
      </c>
      <c r="D40" s="78" t="s">
        <v>63</v>
      </c>
      <c r="E40" s="77"/>
      <c r="F40" s="79"/>
      <c r="G40" s="80"/>
      <c r="H40" s="81">
        <f t="shared" si="0"/>
        <v>0</v>
      </c>
      <c r="I40" s="82"/>
      <c r="J40" s="77"/>
      <c r="K40" s="100">
        <v>1</v>
      </c>
      <c r="L40" s="101">
        <v>0.65</v>
      </c>
      <c r="M40" s="85">
        <f t="shared" si="1"/>
        <v>0.65</v>
      </c>
      <c r="N40" s="102" t="s">
        <v>746</v>
      </c>
      <c r="O40" s="77"/>
      <c r="P40" s="100">
        <v>1</v>
      </c>
      <c r="Q40" s="101">
        <v>0.98</v>
      </c>
      <c r="R40" s="85">
        <f t="shared" si="2"/>
        <v>0.98</v>
      </c>
      <c r="S40" s="102" t="s">
        <v>466</v>
      </c>
      <c r="T40" s="77"/>
      <c r="U40" s="79"/>
      <c r="V40" s="80"/>
      <c r="W40" s="81">
        <f t="shared" si="3"/>
        <v>0</v>
      </c>
      <c r="X40" s="82"/>
      <c r="Y40" s="77"/>
      <c r="Z40" s="79"/>
      <c r="AA40" s="80"/>
      <c r="AB40" s="81">
        <f t="shared" si="4"/>
        <v>0</v>
      </c>
      <c r="AC40" s="82"/>
      <c r="AD40" s="77"/>
      <c r="AE40" s="79"/>
      <c r="AF40" s="80"/>
      <c r="AG40" s="81">
        <f t="shared" si="5"/>
        <v>0</v>
      </c>
      <c r="AH40" s="82"/>
      <c r="AI40" s="77"/>
      <c r="AJ40" s="100">
        <v>1</v>
      </c>
      <c r="AK40" s="101">
        <v>0.99</v>
      </c>
      <c r="AL40" s="85">
        <f t="shared" si="6"/>
        <v>0.99</v>
      </c>
      <c r="AM40" s="102" t="s">
        <v>616</v>
      </c>
      <c r="AN40" s="77"/>
      <c r="AO40" s="100">
        <v>1</v>
      </c>
      <c r="AP40" s="101">
        <v>0.6</v>
      </c>
      <c r="AQ40" s="85">
        <f t="shared" si="7"/>
        <v>0.6</v>
      </c>
      <c r="AR40" s="102" t="s">
        <v>199</v>
      </c>
    </row>
    <row r="41" spans="1:44" ht="157.5" x14ac:dyDescent="0.25">
      <c r="A41" s="77">
        <v>38</v>
      </c>
      <c r="B41" s="78" t="s">
        <v>10</v>
      </c>
      <c r="C41" s="78" t="s">
        <v>11</v>
      </c>
      <c r="D41" s="78" t="s">
        <v>65</v>
      </c>
      <c r="E41" s="77"/>
      <c r="F41" s="79"/>
      <c r="G41" s="80"/>
      <c r="H41" s="81">
        <f t="shared" si="0"/>
        <v>0</v>
      </c>
      <c r="I41" s="82"/>
      <c r="J41" s="77"/>
      <c r="K41" s="100">
        <v>1</v>
      </c>
      <c r="L41" s="101">
        <v>0.93</v>
      </c>
      <c r="M41" s="85">
        <f t="shared" si="1"/>
        <v>0.93</v>
      </c>
      <c r="N41" s="78" t="s">
        <v>1462</v>
      </c>
      <c r="O41" s="77"/>
      <c r="P41" s="100">
        <v>1</v>
      </c>
      <c r="Q41" s="101">
        <v>0.85</v>
      </c>
      <c r="R41" s="85">
        <f t="shared" si="2"/>
        <v>0.85</v>
      </c>
      <c r="S41" s="78" t="s">
        <v>1463</v>
      </c>
      <c r="T41" s="77"/>
      <c r="U41" s="79"/>
      <c r="V41" s="80"/>
      <c r="W41" s="81">
        <f t="shared" si="3"/>
        <v>0</v>
      </c>
      <c r="X41" s="82"/>
      <c r="Y41" s="77"/>
      <c r="Z41" s="79"/>
      <c r="AA41" s="80"/>
      <c r="AB41" s="81">
        <f t="shared" si="4"/>
        <v>0</v>
      </c>
      <c r="AC41" s="82"/>
      <c r="AD41" s="77"/>
      <c r="AE41" s="79"/>
      <c r="AF41" s="80"/>
      <c r="AG41" s="81">
        <f t="shared" si="5"/>
        <v>0</v>
      </c>
      <c r="AH41" s="82"/>
      <c r="AI41" s="77"/>
      <c r="AJ41" s="100">
        <v>1</v>
      </c>
      <c r="AK41" s="101">
        <v>0.73</v>
      </c>
      <c r="AL41" s="85">
        <f t="shared" si="6"/>
        <v>0.73</v>
      </c>
      <c r="AM41" s="78" t="s">
        <v>1464</v>
      </c>
      <c r="AN41" s="77"/>
      <c r="AO41" s="100">
        <v>1</v>
      </c>
      <c r="AP41" s="101">
        <v>0.9</v>
      </c>
      <c r="AQ41" s="85">
        <f t="shared" si="7"/>
        <v>0.9</v>
      </c>
      <c r="AR41" s="78" t="s">
        <v>1465</v>
      </c>
    </row>
    <row r="42" spans="1:44" ht="105.75" customHeight="1" x14ac:dyDescent="0.25">
      <c r="A42" s="77">
        <v>39</v>
      </c>
      <c r="B42" s="78" t="s">
        <v>10</v>
      </c>
      <c r="C42" s="78" t="s">
        <v>11</v>
      </c>
      <c r="D42" s="78" t="s">
        <v>66</v>
      </c>
      <c r="E42" s="77"/>
      <c r="F42" s="79"/>
      <c r="G42" s="80"/>
      <c r="H42" s="81">
        <f t="shared" si="0"/>
        <v>0</v>
      </c>
      <c r="I42" s="82"/>
      <c r="J42" s="77"/>
      <c r="K42" s="100">
        <v>1</v>
      </c>
      <c r="L42" s="101">
        <v>1</v>
      </c>
      <c r="M42" s="85">
        <f t="shared" si="1"/>
        <v>1</v>
      </c>
      <c r="N42" s="78" t="s">
        <v>1058</v>
      </c>
      <c r="O42" s="77"/>
      <c r="P42" s="120">
        <v>1</v>
      </c>
      <c r="Q42" s="101">
        <v>1</v>
      </c>
      <c r="R42" s="85">
        <f t="shared" si="2"/>
        <v>1</v>
      </c>
      <c r="S42" s="78" t="s">
        <v>1075</v>
      </c>
      <c r="T42" s="77"/>
      <c r="U42" s="79"/>
      <c r="V42" s="80"/>
      <c r="W42" s="81">
        <f t="shared" si="3"/>
        <v>0</v>
      </c>
      <c r="X42" s="82"/>
      <c r="Y42" s="77"/>
      <c r="Z42" s="79"/>
      <c r="AA42" s="80"/>
      <c r="AB42" s="81">
        <f t="shared" si="4"/>
        <v>0</v>
      </c>
      <c r="AC42" s="82"/>
      <c r="AD42" s="77"/>
      <c r="AE42" s="79"/>
      <c r="AF42" s="80"/>
      <c r="AG42" s="81">
        <f t="shared" si="5"/>
        <v>0</v>
      </c>
      <c r="AH42" s="82"/>
      <c r="AI42" s="77"/>
      <c r="AJ42" s="100">
        <v>1</v>
      </c>
      <c r="AK42" s="101">
        <v>1</v>
      </c>
      <c r="AL42" s="85">
        <f t="shared" si="6"/>
        <v>1</v>
      </c>
      <c r="AM42" s="78" t="s">
        <v>1071</v>
      </c>
      <c r="AN42" s="77"/>
      <c r="AO42" s="100">
        <v>1</v>
      </c>
      <c r="AP42" s="101">
        <v>1</v>
      </c>
      <c r="AQ42" s="85">
        <f t="shared" si="7"/>
        <v>1</v>
      </c>
      <c r="AR42" s="78" t="s">
        <v>1066</v>
      </c>
    </row>
    <row r="43" spans="1:44" ht="122.25" customHeight="1" x14ac:dyDescent="0.25">
      <c r="A43" s="77">
        <v>40</v>
      </c>
      <c r="B43" s="78" t="s">
        <v>10</v>
      </c>
      <c r="C43" s="78" t="s">
        <v>11</v>
      </c>
      <c r="D43" s="78" t="s">
        <v>67</v>
      </c>
      <c r="E43" s="77"/>
      <c r="F43" s="79"/>
      <c r="G43" s="80"/>
      <c r="H43" s="81">
        <f t="shared" si="0"/>
        <v>0</v>
      </c>
      <c r="I43" s="82"/>
      <c r="J43" s="77"/>
      <c r="K43" s="100">
        <v>1</v>
      </c>
      <c r="L43" s="101">
        <v>0.8</v>
      </c>
      <c r="M43" s="85">
        <f t="shared" si="1"/>
        <v>0.8</v>
      </c>
      <c r="N43" s="78" t="s">
        <v>1466</v>
      </c>
      <c r="O43" s="77"/>
      <c r="P43" s="100">
        <v>1</v>
      </c>
      <c r="Q43" s="101">
        <v>0.9</v>
      </c>
      <c r="R43" s="85">
        <f t="shared" si="2"/>
        <v>0.9</v>
      </c>
      <c r="S43" s="78" t="s">
        <v>1467</v>
      </c>
      <c r="T43" s="77"/>
      <c r="U43" s="79"/>
      <c r="V43" s="80"/>
      <c r="W43" s="81">
        <f t="shared" si="3"/>
        <v>0</v>
      </c>
      <c r="X43" s="82"/>
      <c r="Y43" s="77"/>
      <c r="Z43" s="79"/>
      <c r="AA43" s="80"/>
      <c r="AB43" s="81">
        <f t="shared" si="4"/>
        <v>0</v>
      </c>
      <c r="AC43" s="82"/>
      <c r="AD43" s="77"/>
      <c r="AE43" s="79"/>
      <c r="AF43" s="80"/>
      <c r="AG43" s="81">
        <f t="shared" si="5"/>
        <v>0</v>
      </c>
      <c r="AH43" s="82"/>
      <c r="AI43" s="77"/>
      <c r="AJ43" s="100">
        <v>1</v>
      </c>
      <c r="AK43" s="101">
        <v>0.5</v>
      </c>
      <c r="AL43" s="85">
        <f t="shared" si="6"/>
        <v>0.5</v>
      </c>
      <c r="AM43" s="78" t="s">
        <v>1468</v>
      </c>
      <c r="AN43" s="77"/>
      <c r="AO43" s="100">
        <v>1</v>
      </c>
      <c r="AP43" s="101">
        <v>0.5</v>
      </c>
      <c r="AQ43" s="85">
        <f t="shared" si="7"/>
        <v>0.5</v>
      </c>
      <c r="AR43" s="78" t="s">
        <v>1469</v>
      </c>
    </row>
    <row r="44" spans="1:44" ht="94.5" x14ac:dyDescent="0.25">
      <c r="A44" s="77">
        <v>41</v>
      </c>
      <c r="B44" s="78" t="s">
        <v>10</v>
      </c>
      <c r="C44" s="78" t="s">
        <v>11</v>
      </c>
      <c r="D44" s="78" t="s">
        <v>68</v>
      </c>
      <c r="E44" s="77"/>
      <c r="F44" s="79"/>
      <c r="G44" s="80"/>
      <c r="H44" s="81">
        <f t="shared" si="0"/>
        <v>0</v>
      </c>
      <c r="I44" s="82"/>
      <c r="J44" s="77"/>
      <c r="K44" s="100">
        <v>1</v>
      </c>
      <c r="L44" s="101">
        <v>1</v>
      </c>
      <c r="M44" s="85">
        <f t="shared" si="1"/>
        <v>1</v>
      </c>
      <c r="N44" s="78" t="s">
        <v>1059</v>
      </c>
      <c r="O44" s="77"/>
      <c r="P44" s="100">
        <v>1</v>
      </c>
      <c r="Q44" s="101">
        <v>0.87</v>
      </c>
      <c r="R44" s="85">
        <f t="shared" si="2"/>
        <v>0.87</v>
      </c>
      <c r="S44" s="78" t="s">
        <v>1346</v>
      </c>
      <c r="T44" s="77"/>
      <c r="U44" s="79"/>
      <c r="V44" s="80"/>
      <c r="W44" s="81">
        <f t="shared" si="3"/>
        <v>0</v>
      </c>
      <c r="X44" s="82"/>
      <c r="Y44" s="77"/>
      <c r="Z44" s="79"/>
      <c r="AA44" s="80"/>
      <c r="AB44" s="81">
        <f t="shared" si="4"/>
        <v>0</v>
      </c>
      <c r="AC44" s="82"/>
      <c r="AD44" s="77"/>
      <c r="AE44" s="79"/>
      <c r="AF44" s="80"/>
      <c r="AG44" s="81">
        <f t="shared" si="5"/>
        <v>0</v>
      </c>
      <c r="AH44" s="82"/>
      <c r="AI44" s="77"/>
      <c r="AJ44" s="100">
        <v>1</v>
      </c>
      <c r="AK44" s="101">
        <v>0.83</v>
      </c>
      <c r="AL44" s="85">
        <f t="shared" si="6"/>
        <v>0.83</v>
      </c>
      <c r="AM44" s="78" t="s">
        <v>1408</v>
      </c>
      <c r="AN44" s="77"/>
      <c r="AO44" s="100">
        <v>1</v>
      </c>
      <c r="AP44" s="101">
        <v>0.87</v>
      </c>
      <c r="AQ44" s="85">
        <f t="shared" si="7"/>
        <v>0.87</v>
      </c>
      <c r="AR44" s="78" t="s">
        <v>1382</v>
      </c>
    </row>
    <row r="45" spans="1:44" ht="47.25" x14ac:dyDescent="0.25">
      <c r="A45" s="77">
        <v>42</v>
      </c>
      <c r="B45" s="78" t="s">
        <v>10</v>
      </c>
      <c r="C45" s="78" t="s">
        <v>11</v>
      </c>
      <c r="D45" s="78" t="s">
        <v>69</v>
      </c>
      <c r="E45" s="77"/>
      <c r="F45" s="79"/>
      <c r="G45" s="80"/>
      <c r="H45" s="81">
        <f t="shared" si="0"/>
        <v>0</v>
      </c>
      <c r="I45" s="82"/>
      <c r="J45" s="77"/>
      <c r="K45" s="100">
        <v>1</v>
      </c>
      <c r="L45" s="101">
        <v>1</v>
      </c>
      <c r="M45" s="85">
        <f t="shared" si="1"/>
        <v>1</v>
      </c>
      <c r="N45" s="78" t="s">
        <v>1069</v>
      </c>
      <c r="O45" s="77"/>
      <c r="P45" s="100">
        <v>1</v>
      </c>
      <c r="Q45" s="101">
        <v>0.7</v>
      </c>
      <c r="R45" s="85">
        <f t="shared" si="2"/>
        <v>0.7</v>
      </c>
      <c r="S45" s="78" t="s">
        <v>1276</v>
      </c>
      <c r="T45" s="77"/>
      <c r="U45" s="79"/>
      <c r="V45" s="80"/>
      <c r="W45" s="81">
        <f t="shared" si="3"/>
        <v>0</v>
      </c>
      <c r="X45" s="82"/>
      <c r="Y45" s="77"/>
      <c r="Z45" s="79"/>
      <c r="AA45" s="80"/>
      <c r="AB45" s="81">
        <f t="shared" si="4"/>
        <v>0</v>
      </c>
      <c r="AC45" s="82"/>
      <c r="AD45" s="77"/>
      <c r="AE45" s="79"/>
      <c r="AF45" s="80"/>
      <c r="AG45" s="81">
        <f t="shared" si="5"/>
        <v>0</v>
      </c>
      <c r="AH45" s="82"/>
      <c r="AI45" s="77"/>
      <c r="AJ45" s="100">
        <v>1</v>
      </c>
      <c r="AK45" s="101">
        <v>0.7</v>
      </c>
      <c r="AL45" s="85">
        <f t="shared" si="6"/>
        <v>0.7</v>
      </c>
      <c r="AM45" s="78" t="s">
        <v>1409</v>
      </c>
      <c r="AN45" s="77"/>
      <c r="AO45" s="100">
        <v>1</v>
      </c>
      <c r="AP45" s="101">
        <v>0.95</v>
      </c>
      <c r="AQ45" s="85">
        <f t="shared" si="7"/>
        <v>0.95</v>
      </c>
      <c r="AR45" s="78" t="s">
        <v>1277</v>
      </c>
    </row>
    <row r="46" spans="1:44" ht="218.25" customHeight="1" x14ac:dyDescent="0.25">
      <c r="A46" s="77">
        <v>43</v>
      </c>
      <c r="B46" s="78" t="s">
        <v>10</v>
      </c>
      <c r="C46" s="78" t="s">
        <v>11</v>
      </c>
      <c r="D46" s="78" t="s">
        <v>70</v>
      </c>
      <c r="E46" s="77"/>
      <c r="F46" s="79"/>
      <c r="G46" s="80"/>
      <c r="H46" s="81">
        <f t="shared" si="0"/>
        <v>0</v>
      </c>
      <c r="I46" s="82"/>
      <c r="J46" s="77"/>
      <c r="K46" s="100">
        <v>1</v>
      </c>
      <c r="L46" s="101">
        <v>1</v>
      </c>
      <c r="M46" s="85">
        <f t="shared" si="1"/>
        <v>1</v>
      </c>
      <c r="N46" s="78" t="s">
        <v>1074</v>
      </c>
      <c r="O46" s="77"/>
      <c r="P46" s="100">
        <v>1</v>
      </c>
      <c r="Q46" s="101">
        <v>0.85</v>
      </c>
      <c r="R46" s="85">
        <f t="shared" si="2"/>
        <v>0.85</v>
      </c>
      <c r="S46" s="78" t="s">
        <v>1411</v>
      </c>
      <c r="T46" s="77"/>
      <c r="U46" s="79"/>
      <c r="V46" s="80"/>
      <c r="W46" s="81">
        <f t="shared" si="3"/>
        <v>0</v>
      </c>
      <c r="X46" s="82"/>
      <c r="Y46" s="77"/>
      <c r="Z46" s="79"/>
      <c r="AA46" s="80"/>
      <c r="AB46" s="81">
        <f t="shared" si="4"/>
        <v>0</v>
      </c>
      <c r="AC46" s="82"/>
      <c r="AD46" s="77"/>
      <c r="AE46" s="79"/>
      <c r="AF46" s="80"/>
      <c r="AG46" s="81">
        <f t="shared" si="5"/>
        <v>0</v>
      </c>
      <c r="AH46" s="82"/>
      <c r="AI46" s="77"/>
      <c r="AJ46" s="100">
        <v>1</v>
      </c>
      <c r="AK46" s="101">
        <v>0.68</v>
      </c>
      <c r="AL46" s="85">
        <f t="shared" si="6"/>
        <v>0.68</v>
      </c>
      <c r="AM46" s="78" t="s">
        <v>1470</v>
      </c>
      <c r="AN46" s="77"/>
      <c r="AO46" s="100">
        <v>1</v>
      </c>
      <c r="AP46" s="101">
        <v>0.95</v>
      </c>
      <c r="AQ46" s="85">
        <f t="shared" si="7"/>
        <v>0.95</v>
      </c>
      <c r="AR46" s="78" t="s">
        <v>1413</v>
      </c>
    </row>
    <row r="47" spans="1:44" ht="218.25" customHeight="1" x14ac:dyDescent="0.25">
      <c r="A47" s="77">
        <v>44</v>
      </c>
      <c r="B47" s="78" t="s">
        <v>10</v>
      </c>
      <c r="C47" s="78" t="s">
        <v>11</v>
      </c>
      <c r="D47" s="78" t="s">
        <v>12</v>
      </c>
      <c r="E47" s="77"/>
      <c r="F47" s="79"/>
      <c r="G47" s="80"/>
      <c r="H47" s="81">
        <f t="shared" si="0"/>
        <v>0</v>
      </c>
      <c r="I47" s="82"/>
      <c r="J47" s="77"/>
      <c r="K47" s="100">
        <v>1</v>
      </c>
      <c r="L47" s="101">
        <v>1</v>
      </c>
      <c r="M47" s="85">
        <f t="shared" si="1"/>
        <v>1</v>
      </c>
      <c r="N47" s="78" t="s">
        <v>1062</v>
      </c>
      <c r="O47" s="77"/>
      <c r="P47" s="100">
        <v>1</v>
      </c>
      <c r="Q47" s="101">
        <v>1</v>
      </c>
      <c r="R47" s="85">
        <f t="shared" si="2"/>
        <v>1</v>
      </c>
      <c r="S47" s="116" t="s">
        <v>1065</v>
      </c>
      <c r="T47" s="77"/>
      <c r="U47" s="79"/>
      <c r="V47" s="80"/>
      <c r="W47" s="81">
        <f t="shared" si="3"/>
        <v>0</v>
      </c>
      <c r="X47" s="82"/>
      <c r="Y47" s="77"/>
      <c r="Z47" s="79"/>
      <c r="AA47" s="80"/>
      <c r="AB47" s="81">
        <f t="shared" si="4"/>
        <v>0</v>
      </c>
      <c r="AC47" s="82"/>
      <c r="AD47" s="77"/>
      <c r="AE47" s="79"/>
      <c r="AF47" s="80"/>
      <c r="AG47" s="81">
        <f t="shared" si="5"/>
        <v>0</v>
      </c>
      <c r="AH47" s="82"/>
      <c r="AI47" s="77"/>
      <c r="AJ47" s="100">
        <v>1</v>
      </c>
      <c r="AK47" s="101">
        <v>0.5</v>
      </c>
      <c r="AL47" s="85">
        <f t="shared" si="6"/>
        <v>0.5</v>
      </c>
      <c r="AM47" s="78" t="s">
        <v>1414</v>
      </c>
      <c r="AN47" s="77"/>
      <c r="AO47" s="100">
        <v>1</v>
      </c>
      <c r="AP47" s="101">
        <v>1</v>
      </c>
      <c r="AQ47" s="85">
        <f t="shared" si="7"/>
        <v>1</v>
      </c>
      <c r="AR47" s="78" t="s">
        <v>1058</v>
      </c>
    </row>
    <row r="48" spans="1:44" ht="94.5" x14ac:dyDescent="0.25">
      <c r="A48" s="77">
        <v>45</v>
      </c>
      <c r="B48" s="78" t="s">
        <v>10</v>
      </c>
      <c r="C48" s="78" t="s">
        <v>71</v>
      </c>
      <c r="D48" s="78" t="s">
        <v>72</v>
      </c>
      <c r="E48" s="77"/>
      <c r="F48" s="79"/>
      <c r="G48" s="80"/>
      <c r="H48" s="81">
        <f t="shared" si="0"/>
        <v>0</v>
      </c>
      <c r="I48" s="82"/>
      <c r="J48" s="77"/>
      <c r="K48" s="100">
        <v>1</v>
      </c>
      <c r="L48" s="101">
        <v>0.95</v>
      </c>
      <c r="M48" s="85">
        <f t="shared" si="1"/>
        <v>0.95</v>
      </c>
      <c r="N48" s="78" t="s">
        <v>1280</v>
      </c>
      <c r="O48" s="77"/>
      <c r="P48" s="100">
        <v>1</v>
      </c>
      <c r="Q48" s="101">
        <v>0.85</v>
      </c>
      <c r="R48" s="85">
        <f t="shared" si="2"/>
        <v>0.85</v>
      </c>
      <c r="S48" s="78" t="s">
        <v>1281</v>
      </c>
      <c r="T48" s="77"/>
      <c r="U48" s="79"/>
      <c r="V48" s="80"/>
      <c r="W48" s="81">
        <f t="shared" si="3"/>
        <v>0</v>
      </c>
      <c r="X48" s="82"/>
      <c r="Y48" s="77"/>
      <c r="Z48" s="79"/>
      <c r="AA48" s="80"/>
      <c r="AB48" s="81">
        <f t="shared" si="4"/>
        <v>0</v>
      </c>
      <c r="AC48" s="82"/>
      <c r="AD48" s="77"/>
      <c r="AE48" s="79"/>
      <c r="AF48" s="80"/>
      <c r="AG48" s="81">
        <f t="shared" si="5"/>
        <v>0</v>
      </c>
      <c r="AH48" s="82"/>
      <c r="AI48" s="77"/>
      <c r="AJ48" s="100">
        <v>1</v>
      </c>
      <c r="AK48" s="101">
        <v>0.7</v>
      </c>
      <c r="AL48" s="85">
        <f t="shared" si="6"/>
        <v>0.7</v>
      </c>
      <c r="AM48" s="78" t="s">
        <v>1415</v>
      </c>
      <c r="AN48" s="77"/>
      <c r="AO48" s="100">
        <v>1</v>
      </c>
      <c r="AP48" s="101">
        <v>0.8</v>
      </c>
      <c r="AQ48" s="85">
        <f t="shared" si="7"/>
        <v>0.8</v>
      </c>
      <c r="AR48" s="78" t="s">
        <v>1459</v>
      </c>
    </row>
    <row r="49" spans="1:44" ht="47.25" x14ac:dyDescent="0.25">
      <c r="A49" s="77">
        <v>46</v>
      </c>
      <c r="B49" s="78" t="s">
        <v>10</v>
      </c>
      <c r="C49" s="78" t="s">
        <v>11</v>
      </c>
      <c r="D49" s="78" t="s">
        <v>13</v>
      </c>
      <c r="E49" s="77"/>
      <c r="F49" s="79"/>
      <c r="G49" s="80"/>
      <c r="H49" s="81">
        <f t="shared" si="0"/>
        <v>0</v>
      </c>
      <c r="I49" s="82"/>
      <c r="J49" s="77"/>
      <c r="K49" s="100">
        <v>1</v>
      </c>
      <c r="L49" s="101">
        <v>1</v>
      </c>
      <c r="M49" s="85">
        <f t="shared" si="1"/>
        <v>1</v>
      </c>
      <c r="N49" s="78" t="s">
        <v>1060</v>
      </c>
      <c r="O49" s="77"/>
      <c r="P49" s="100">
        <v>1</v>
      </c>
      <c r="Q49" s="101">
        <v>1</v>
      </c>
      <c r="R49" s="85">
        <f t="shared" si="2"/>
        <v>1</v>
      </c>
      <c r="S49" s="78" t="s">
        <v>1062</v>
      </c>
      <c r="T49" s="77"/>
      <c r="U49" s="79"/>
      <c r="V49" s="80"/>
      <c r="W49" s="81">
        <f t="shared" si="3"/>
        <v>0</v>
      </c>
      <c r="X49" s="82"/>
      <c r="Y49" s="77"/>
      <c r="Z49" s="79"/>
      <c r="AA49" s="80"/>
      <c r="AB49" s="81">
        <f t="shared" si="4"/>
        <v>0</v>
      </c>
      <c r="AC49" s="82"/>
      <c r="AD49" s="77"/>
      <c r="AE49" s="79"/>
      <c r="AF49" s="80"/>
      <c r="AG49" s="81">
        <f t="shared" si="5"/>
        <v>0</v>
      </c>
      <c r="AH49" s="82"/>
      <c r="AI49" s="77"/>
      <c r="AJ49" s="100">
        <v>1</v>
      </c>
      <c r="AK49" s="101">
        <v>1</v>
      </c>
      <c r="AL49" s="85">
        <f t="shared" si="6"/>
        <v>1</v>
      </c>
      <c r="AM49" s="78" t="s">
        <v>1072</v>
      </c>
      <c r="AN49" s="77"/>
      <c r="AO49" s="100">
        <v>1</v>
      </c>
      <c r="AP49" s="101">
        <v>1</v>
      </c>
      <c r="AQ49" s="85">
        <f t="shared" si="7"/>
        <v>1</v>
      </c>
      <c r="AR49" s="78" t="s">
        <v>1395</v>
      </c>
    </row>
    <row r="50" spans="1:44" ht="63" x14ac:dyDescent="0.25">
      <c r="A50" s="77">
        <v>47</v>
      </c>
      <c r="B50" s="78" t="s">
        <v>14</v>
      </c>
      <c r="C50" s="78" t="s">
        <v>14</v>
      </c>
      <c r="D50" s="78" t="s">
        <v>15</v>
      </c>
      <c r="E50" s="77"/>
      <c r="F50" s="79"/>
      <c r="G50" s="80"/>
      <c r="H50" s="81">
        <f t="shared" si="0"/>
        <v>0</v>
      </c>
      <c r="I50" s="82"/>
      <c r="J50" s="77"/>
      <c r="K50" s="100">
        <v>1</v>
      </c>
      <c r="L50" s="101">
        <v>1</v>
      </c>
      <c r="M50" s="85">
        <f t="shared" si="1"/>
        <v>1</v>
      </c>
      <c r="N50" s="78" t="s">
        <v>1087</v>
      </c>
      <c r="O50" s="77"/>
      <c r="P50" s="100">
        <v>1</v>
      </c>
      <c r="Q50" s="101">
        <v>1</v>
      </c>
      <c r="R50" s="85">
        <f t="shared" si="2"/>
        <v>1</v>
      </c>
      <c r="S50" s="78" t="s">
        <v>1087</v>
      </c>
      <c r="T50" s="77"/>
      <c r="U50" s="79"/>
      <c r="V50" s="80"/>
      <c r="W50" s="81">
        <f t="shared" si="3"/>
        <v>0</v>
      </c>
      <c r="X50" s="82"/>
      <c r="Y50" s="77"/>
      <c r="Z50" s="79"/>
      <c r="AA50" s="80"/>
      <c r="AB50" s="81">
        <f t="shared" si="4"/>
        <v>0</v>
      </c>
      <c r="AC50" s="82"/>
      <c r="AD50" s="77"/>
      <c r="AE50" s="79"/>
      <c r="AF50" s="80"/>
      <c r="AG50" s="81">
        <f t="shared" si="5"/>
        <v>0</v>
      </c>
      <c r="AH50" s="82"/>
      <c r="AI50" s="77"/>
      <c r="AJ50" s="100">
        <v>1</v>
      </c>
      <c r="AK50" s="101">
        <v>0.9</v>
      </c>
      <c r="AL50" s="85">
        <f t="shared" si="6"/>
        <v>0.9</v>
      </c>
      <c r="AM50" s="78" t="s">
        <v>1133</v>
      </c>
      <c r="AN50" s="77"/>
      <c r="AO50" s="100">
        <v>1</v>
      </c>
      <c r="AP50" s="101">
        <v>1</v>
      </c>
      <c r="AQ50" s="85">
        <f t="shared" si="7"/>
        <v>1</v>
      </c>
      <c r="AR50" s="78" t="s">
        <v>1087</v>
      </c>
    </row>
    <row r="51" spans="1:44" ht="191.25" customHeight="1" x14ac:dyDescent="0.25">
      <c r="A51" s="77">
        <v>48</v>
      </c>
      <c r="B51" s="78" t="s">
        <v>14</v>
      </c>
      <c r="C51" s="78" t="s">
        <v>14</v>
      </c>
      <c r="D51" s="78" t="s">
        <v>73</v>
      </c>
      <c r="E51" s="77"/>
      <c r="F51" s="79"/>
      <c r="G51" s="80"/>
      <c r="H51" s="81">
        <f t="shared" si="0"/>
        <v>0</v>
      </c>
      <c r="I51" s="82"/>
      <c r="J51" s="77"/>
      <c r="K51" s="100">
        <v>1</v>
      </c>
      <c r="L51" s="101">
        <v>0.85</v>
      </c>
      <c r="M51" s="85">
        <f t="shared" si="1"/>
        <v>0.85</v>
      </c>
      <c r="N51" s="78" t="s">
        <v>1143</v>
      </c>
      <c r="O51" s="77"/>
      <c r="P51" s="100">
        <v>1</v>
      </c>
      <c r="Q51" s="101">
        <v>0.95</v>
      </c>
      <c r="R51" s="85">
        <f t="shared" si="2"/>
        <v>0.95</v>
      </c>
      <c r="S51" s="78" t="s">
        <v>1100</v>
      </c>
      <c r="T51" s="77"/>
      <c r="U51" s="79"/>
      <c r="V51" s="80"/>
      <c r="W51" s="81">
        <f t="shared" si="3"/>
        <v>0</v>
      </c>
      <c r="X51" s="82"/>
      <c r="Y51" s="77"/>
      <c r="Z51" s="79"/>
      <c r="AA51" s="80"/>
      <c r="AB51" s="81">
        <f t="shared" si="4"/>
        <v>0</v>
      </c>
      <c r="AC51" s="82"/>
      <c r="AD51" s="77"/>
      <c r="AE51" s="79"/>
      <c r="AF51" s="80"/>
      <c r="AG51" s="81">
        <f t="shared" si="5"/>
        <v>0</v>
      </c>
      <c r="AH51" s="82"/>
      <c r="AI51" s="77"/>
      <c r="AJ51" s="100">
        <v>1</v>
      </c>
      <c r="AK51" s="101">
        <v>0.2</v>
      </c>
      <c r="AL51" s="85">
        <f t="shared" si="6"/>
        <v>0.2</v>
      </c>
      <c r="AM51" s="78" t="s">
        <v>1134</v>
      </c>
      <c r="AN51" s="77"/>
      <c r="AO51" s="100">
        <v>1</v>
      </c>
      <c r="AP51" s="101">
        <v>0.4</v>
      </c>
      <c r="AQ51" s="85">
        <f t="shared" si="7"/>
        <v>0.4</v>
      </c>
      <c r="AR51" s="78" t="s">
        <v>1138</v>
      </c>
    </row>
    <row r="52" spans="1:44" ht="124.5" customHeight="1" x14ac:dyDescent="0.25">
      <c r="A52" s="77">
        <v>49</v>
      </c>
      <c r="B52" s="78" t="s">
        <v>14</v>
      </c>
      <c r="C52" s="78" t="s">
        <v>14</v>
      </c>
      <c r="D52" s="78" t="s">
        <v>74</v>
      </c>
      <c r="E52" s="77"/>
      <c r="F52" s="79"/>
      <c r="G52" s="80"/>
      <c r="H52" s="81">
        <f t="shared" si="0"/>
        <v>0</v>
      </c>
      <c r="I52" s="82"/>
      <c r="J52" s="77"/>
      <c r="K52" s="100">
        <v>1</v>
      </c>
      <c r="L52" s="101">
        <v>0.9</v>
      </c>
      <c r="M52" s="85">
        <f t="shared" si="1"/>
        <v>0.9</v>
      </c>
      <c r="N52" s="78" t="s">
        <v>1144</v>
      </c>
      <c r="O52" s="77"/>
      <c r="P52" s="100">
        <v>1</v>
      </c>
      <c r="Q52" s="101">
        <v>0.7</v>
      </c>
      <c r="R52" s="85">
        <f t="shared" si="2"/>
        <v>0.7</v>
      </c>
      <c r="S52" s="78" t="s">
        <v>1121</v>
      </c>
      <c r="T52" s="77"/>
      <c r="U52" s="79"/>
      <c r="V52" s="80"/>
      <c r="W52" s="81">
        <f t="shared" si="3"/>
        <v>0</v>
      </c>
      <c r="X52" s="82"/>
      <c r="Y52" s="77"/>
      <c r="Z52" s="79"/>
      <c r="AA52" s="80"/>
      <c r="AB52" s="81">
        <f t="shared" si="4"/>
        <v>0</v>
      </c>
      <c r="AC52" s="82"/>
      <c r="AD52" s="77"/>
      <c r="AE52" s="79"/>
      <c r="AF52" s="80"/>
      <c r="AG52" s="81">
        <f t="shared" si="5"/>
        <v>0</v>
      </c>
      <c r="AH52" s="82"/>
      <c r="AI52" s="77"/>
      <c r="AJ52" s="100">
        <v>1</v>
      </c>
      <c r="AK52" s="101">
        <v>0.2</v>
      </c>
      <c r="AL52" s="85">
        <f t="shared" si="6"/>
        <v>0.2</v>
      </c>
      <c r="AM52" s="78" t="s">
        <v>1135</v>
      </c>
      <c r="AN52" s="77"/>
      <c r="AO52" s="100">
        <v>1</v>
      </c>
      <c r="AP52" s="101">
        <v>0.7</v>
      </c>
      <c r="AQ52" s="85">
        <f t="shared" si="7"/>
        <v>0.7</v>
      </c>
      <c r="AR52" s="78" t="s">
        <v>1146</v>
      </c>
    </row>
    <row r="53" spans="1:44" ht="138" customHeight="1" x14ac:dyDescent="0.25">
      <c r="A53" s="77">
        <v>50</v>
      </c>
      <c r="B53" s="78" t="s">
        <v>14</v>
      </c>
      <c r="C53" s="78" t="s">
        <v>14</v>
      </c>
      <c r="D53" s="78" t="s">
        <v>75</v>
      </c>
      <c r="E53" s="77"/>
      <c r="F53" s="79"/>
      <c r="G53" s="80"/>
      <c r="H53" s="81">
        <f t="shared" si="0"/>
        <v>0</v>
      </c>
      <c r="I53" s="82"/>
      <c r="J53" s="77"/>
      <c r="K53" s="100">
        <v>1</v>
      </c>
      <c r="L53" s="101">
        <v>1</v>
      </c>
      <c r="M53" s="85">
        <f t="shared" si="1"/>
        <v>1</v>
      </c>
      <c r="N53" s="78" t="s">
        <v>1087</v>
      </c>
      <c r="O53" s="77"/>
      <c r="P53" s="100">
        <v>1</v>
      </c>
      <c r="Q53" s="101">
        <v>1</v>
      </c>
      <c r="R53" s="85">
        <f t="shared" si="2"/>
        <v>1</v>
      </c>
      <c r="S53" s="78" t="s">
        <v>1087</v>
      </c>
      <c r="T53" s="77"/>
      <c r="U53" s="79"/>
      <c r="V53" s="80"/>
      <c r="W53" s="81">
        <f t="shared" si="3"/>
        <v>0</v>
      </c>
      <c r="X53" s="82"/>
      <c r="Y53" s="77"/>
      <c r="Z53" s="79"/>
      <c r="AA53" s="80"/>
      <c r="AB53" s="81">
        <f t="shared" si="4"/>
        <v>0</v>
      </c>
      <c r="AC53" s="82"/>
      <c r="AD53" s="77"/>
      <c r="AE53" s="79"/>
      <c r="AF53" s="80"/>
      <c r="AG53" s="81">
        <f t="shared" si="5"/>
        <v>0</v>
      </c>
      <c r="AH53" s="82"/>
      <c r="AI53" s="77"/>
      <c r="AJ53" s="100">
        <v>1</v>
      </c>
      <c r="AK53" s="101">
        <v>0.85</v>
      </c>
      <c r="AL53" s="85">
        <f t="shared" si="6"/>
        <v>0.85</v>
      </c>
      <c r="AM53" s="78" t="s">
        <v>1136</v>
      </c>
      <c r="AN53" s="77"/>
      <c r="AO53" s="100">
        <v>1</v>
      </c>
      <c r="AP53" s="101">
        <v>1</v>
      </c>
      <c r="AQ53" s="85">
        <f t="shared" si="7"/>
        <v>1</v>
      </c>
      <c r="AR53" s="78" t="s">
        <v>1087</v>
      </c>
    </row>
    <row r="54" spans="1:44" ht="109.5" customHeight="1" x14ac:dyDescent="0.25">
      <c r="A54" s="77">
        <v>51</v>
      </c>
      <c r="B54" s="78" t="s">
        <v>14</v>
      </c>
      <c r="C54" s="78" t="s">
        <v>14</v>
      </c>
      <c r="D54" s="78" t="s">
        <v>76</v>
      </c>
      <c r="E54" s="77"/>
      <c r="F54" s="79"/>
      <c r="G54" s="80"/>
      <c r="H54" s="81">
        <f t="shared" si="0"/>
        <v>0</v>
      </c>
      <c r="I54" s="82"/>
      <c r="J54" s="77"/>
      <c r="K54" s="100">
        <v>1</v>
      </c>
      <c r="L54" s="101">
        <v>1</v>
      </c>
      <c r="M54" s="85">
        <f t="shared" si="1"/>
        <v>1</v>
      </c>
      <c r="N54" s="78" t="s">
        <v>1087</v>
      </c>
      <c r="O54" s="77"/>
      <c r="P54" s="100">
        <v>1</v>
      </c>
      <c r="Q54" s="101">
        <v>1</v>
      </c>
      <c r="R54" s="85">
        <f t="shared" si="2"/>
        <v>1</v>
      </c>
      <c r="S54" s="78" t="s">
        <v>1087</v>
      </c>
      <c r="T54" s="77"/>
      <c r="U54" s="79"/>
      <c r="V54" s="80"/>
      <c r="W54" s="81">
        <f t="shared" si="3"/>
        <v>0</v>
      </c>
      <c r="X54" s="82"/>
      <c r="Y54" s="77"/>
      <c r="Z54" s="79"/>
      <c r="AA54" s="80"/>
      <c r="AB54" s="81">
        <f t="shared" si="4"/>
        <v>0</v>
      </c>
      <c r="AC54" s="82"/>
      <c r="AD54" s="77"/>
      <c r="AE54" s="79"/>
      <c r="AF54" s="80"/>
      <c r="AG54" s="81">
        <f t="shared" si="5"/>
        <v>0</v>
      </c>
      <c r="AH54" s="82"/>
      <c r="AI54" s="77"/>
      <c r="AJ54" s="100">
        <v>1</v>
      </c>
      <c r="AK54" s="101">
        <v>1</v>
      </c>
      <c r="AL54" s="85">
        <f t="shared" si="6"/>
        <v>1</v>
      </c>
      <c r="AM54" s="78" t="s">
        <v>1087</v>
      </c>
      <c r="AN54" s="77"/>
      <c r="AO54" s="100">
        <v>1</v>
      </c>
      <c r="AP54" s="101">
        <v>1</v>
      </c>
      <c r="AQ54" s="85">
        <f t="shared" si="7"/>
        <v>1</v>
      </c>
      <c r="AR54" s="78" t="s">
        <v>1087</v>
      </c>
    </row>
    <row r="55" spans="1:44" ht="315" x14ac:dyDescent="0.25">
      <c r="A55" s="77">
        <v>52</v>
      </c>
      <c r="B55" s="78" t="s">
        <v>14</v>
      </c>
      <c r="C55" s="78" t="s">
        <v>14</v>
      </c>
      <c r="D55" s="78" t="s">
        <v>77</v>
      </c>
      <c r="E55" s="77"/>
      <c r="F55" s="79"/>
      <c r="G55" s="80"/>
      <c r="H55" s="81">
        <f t="shared" si="0"/>
        <v>0</v>
      </c>
      <c r="I55" s="82"/>
      <c r="J55" s="77"/>
      <c r="K55" s="100">
        <v>1</v>
      </c>
      <c r="L55" s="101">
        <v>0.95</v>
      </c>
      <c r="M55" s="85">
        <f t="shared" si="1"/>
        <v>0.95</v>
      </c>
      <c r="N55" s="78" t="s">
        <v>1145</v>
      </c>
      <c r="O55" s="77"/>
      <c r="P55" s="100">
        <v>1</v>
      </c>
      <c r="Q55" s="101">
        <v>0.8</v>
      </c>
      <c r="R55" s="85">
        <f t="shared" si="2"/>
        <v>0.8</v>
      </c>
      <c r="S55" s="78" t="s">
        <v>1126</v>
      </c>
      <c r="T55" s="77"/>
      <c r="U55" s="79"/>
      <c r="V55" s="80"/>
      <c r="W55" s="81">
        <f t="shared" si="3"/>
        <v>0</v>
      </c>
      <c r="X55" s="82"/>
      <c r="Y55" s="77"/>
      <c r="Z55" s="79"/>
      <c r="AA55" s="80"/>
      <c r="AB55" s="81">
        <f t="shared" si="4"/>
        <v>0</v>
      </c>
      <c r="AC55" s="82"/>
      <c r="AD55" s="77"/>
      <c r="AE55" s="79"/>
      <c r="AF55" s="80"/>
      <c r="AG55" s="81">
        <f t="shared" si="5"/>
        <v>0</v>
      </c>
      <c r="AH55" s="82"/>
      <c r="AI55" s="77"/>
      <c r="AJ55" s="100">
        <v>1</v>
      </c>
      <c r="AK55" s="101">
        <v>0.1</v>
      </c>
      <c r="AL55" s="85">
        <f t="shared" si="6"/>
        <v>0.1</v>
      </c>
      <c r="AM55" s="78" t="s">
        <v>1137</v>
      </c>
      <c r="AN55" s="77"/>
      <c r="AO55" s="100">
        <v>1</v>
      </c>
      <c r="AP55" s="101">
        <v>0.75</v>
      </c>
      <c r="AQ55" s="85">
        <f t="shared" si="7"/>
        <v>0.75</v>
      </c>
      <c r="AR55" s="78" t="s">
        <v>1110</v>
      </c>
    </row>
    <row r="56" spans="1:44" ht="79.5" customHeight="1" x14ac:dyDescent="0.25">
      <c r="A56" s="77">
        <v>53</v>
      </c>
      <c r="B56" s="78" t="s">
        <v>14</v>
      </c>
      <c r="C56" s="78" t="s">
        <v>14</v>
      </c>
      <c r="D56" s="78" t="s">
        <v>78</v>
      </c>
      <c r="E56" s="77"/>
      <c r="F56" s="79">
        <v>1</v>
      </c>
      <c r="G56" s="80"/>
      <c r="H56" s="81">
        <f t="shared" si="0"/>
        <v>0</v>
      </c>
      <c r="I56" s="82"/>
      <c r="J56" s="77"/>
      <c r="K56" s="100">
        <v>1</v>
      </c>
      <c r="L56" s="101">
        <v>1</v>
      </c>
      <c r="M56" s="85">
        <f t="shared" si="1"/>
        <v>1</v>
      </c>
      <c r="N56" s="78" t="s">
        <v>1087</v>
      </c>
      <c r="O56" s="77"/>
      <c r="P56" s="100">
        <v>1</v>
      </c>
      <c r="Q56" s="101">
        <v>0.9</v>
      </c>
      <c r="R56" s="85">
        <f t="shared" si="2"/>
        <v>0.9</v>
      </c>
      <c r="S56" s="78" t="s">
        <v>1097</v>
      </c>
      <c r="T56" s="77"/>
      <c r="U56" s="79"/>
      <c r="V56" s="80"/>
      <c r="W56" s="81">
        <f t="shared" si="3"/>
        <v>0</v>
      </c>
      <c r="X56" s="77"/>
      <c r="Y56" s="77"/>
      <c r="Z56" s="79"/>
      <c r="AA56" s="80"/>
      <c r="AB56" s="81">
        <f t="shared" si="4"/>
        <v>0</v>
      </c>
      <c r="AC56" s="77"/>
      <c r="AD56" s="77"/>
      <c r="AE56" s="79"/>
      <c r="AF56" s="80"/>
      <c r="AG56" s="81">
        <f t="shared" si="5"/>
        <v>0</v>
      </c>
      <c r="AH56" s="77"/>
      <c r="AI56" s="77"/>
      <c r="AJ56" s="100">
        <v>1</v>
      </c>
      <c r="AK56" s="101">
        <v>1</v>
      </c>
      <c r="AL56" s="85">
        <f t="shared" si="6"/>
        <v>1</v>
      </c>
      <c r="AM56" s="78" t="s">
        <v>1087</v>
      </c>
      <c r="AN56" s="77"/>
      <c r="AO56" s="100">
        <v>1</v>
      </c>
      <c r="AP56" s="101">
        <v>1</v>
      </c>
      <c r="AQ56" s="85">
        <f t="shared" si="7"/>
        <v>1</v>
      </c>
      <c r="AR56" s="117" t="s">
        <v>1087</v>
      </c>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36AEDF09-B8E9-49D4-A251-2D2040479B37}">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AFE47BE7-1C6C-4E1C-8960-3CDFA647303E}">
          <x14:formula1>
            <xm:f>'C:\Users\michele.cerqueira\AppData\Local\Microsoft\Windows\INetCache\Content.Outlook\CUTOBPMD\[ESTUDOS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R56"/>
  <sheetViews>
    <sheetView zoomScale="70" zoomScaleNormal="70" workbookViewId="0">
      <pane xSplit="4" ySplit="3" topLeftCell="N9" activePane="bottomRight" state="frozen"/>
      <selection pane="topRight" activeCell="E1" sqref="E1"/>
      <selection pane="bottomLeft" activeCell="A4" sqref="A4"/>
      <selection pane="bottomRight" activeCell="S10" sqref="S10"/>
    </sheetView>
  </sheetViews>
  <sheetFormatPr defaultRowHeight="15" x14ac:dyDescent="0.25"/>
  <cols>
    <col min="1" max="1" width="4.7109375" style="73" bestFit="1" customWidth="1"/>
    <col min="2" max="2" width="16.5703125" style="74" bestFit="1" customWidth="1"/>
    <col min="3" max="3" width="20.7109375" style="74" customWidth="1"/>
    <col min="4" max="4" width="45.42578125" style="74" customWidth="1"/>
    <col min="5" max="5" width="2.42578125" style="74" customWidth="1"/>
    <col min="6" max="6" width="20.140625" style="74" hidden="1" customWidth="1"/>
    <col min="7" max="7" width="14.28515625" style="74" hidden="1" customWidth="1"/>
    <col min="8" max="8" width="0" style="74" hidden="1" customWidth="1"/>
    <col min="9" max="9" width="52.85546875" style="110" hidden="1" customWidth="1"/>
    <col min="10" max="10" width="1.85546875" style="74" hidden="1" customWidth="1"/>
    <col min="11" max="11" width="20.28515625" style="75" bestFit="1" customWidth="1"/>
    <col min="12" max="12" width="14.42578125" style="75" bestFit="1" customWidth="1"/>
    <col min="13" max="13" width="9.28515625" style="75" bestFit="1" customWidth="1"/>
    <col min="14" max="14" width="89.5703125" style="74" customWidth="1"/>
    <col min="15" max="15" width="1.5703125" style="74" customWidth="1"/>
    <col min="16" max="16" width="20.28515625" style="75" bestFit="1" customWidth="1"/>
    <col min="17" max="17" width="14.42578125" style="75" bestFit="1" customWidth="1"/>
    <col min="18" max="18" width="9.28515625" style="75" bestFit="1" customWidth="1"/>
    <col min="19" max="19" width="88" style="74" customWidth="1"/>
    <col min="20" max="20" width="3.7109375" style="74" customWidth="1"/>
    <col min="21" max="21" width="18.5703125" style="74" hidden="1" customWidth="1"/>
    <col min="22" max="22" width="12.5703125" style="74" hidden="1" customWidth="1"/>
    <col min="23" max="23" width="0" style="74" hidden="1" customWidth="1"/>
    <col min="24" max="24" width="85" style="74" hidden="1" customWidth="1"/>
    <col min="25" max="25" width="0" style="74" hidden="1" customWidth="1"/>
    <col min="26" max="26" width="19.140625" style="74" hidden="1" customWidth="1"/>
    <col min="27" max="27" width="13.5703125" style="74" hidden="1" customWidth="1"/>
    <col min="28" max="28" width="0" style="74" hidden="1" customWidth="1"/>
    <col min="29" max="29" width="89.5703125" style="74" hidden="1" customWidth="1"/>
    <col min="30" max="30" width="0" style="74" hidden="1" customWidth="1"/>
    <col min="31" max="31" width="18.42578125" style="74" hidden="1" customWidth="1"/>
    <col min="32" max="32" width="13.28515625" style="74" hidden="1" customWidth="1"/>
    <col min="33" max="33" width="0" style="74" hidden="1" customWidth="1"/>
    <col min="34" max="34" width="65" style="74" hidden="1" customWidth="1"/>
    <col min="35" max="35" width="0" style="74" hidden="1" customWidth="1"/>
    <col min="36" max="36" width="18.5703125" style="75" customWidth="1"/>
    <col min="37" max="37" width="12.7109375" style="75" customWidth="1"/>
    <col min="38" max="38" width="9.28515625" style="75" bestFit="1" customWidth="1"/>
    <col min="39" max="39" width="108" style="74" customWidth="1"/>
    <col min="40" max="40" width="5.140625" style="74" customWidth="1"/>
    <col min="41" max="41" width="18.5703125" style="75" customWidth="1"/>
    <col min="42" max="42" width="13.28515625" style="75" customWidth="1"/>
    <col min="43" max="43" width="9.28515625" style="75" bestFit="1" customWidth="1"/>
    <col min="44" max="44" width="128.7109375" style="74" customWidth="1"/>
    <col min="45" max="16384" width="9.140625" style="74"/>
  </cols>
  <sheetData>
    <row r="1" spans="1:44" x14ac:dyDescent="0.25">
      <c r="I1" s="74"/>
    </row>
    <row r="2" spans="1:44" ht="39.75" customHeight="1" x14ac:dyDescent="0.25">
      <c r="B2" s="233" t="s">
        <v>16</v>
      </c>
      <c r="C2" s="233"/>
      <c r="D2" s="233"/>
      <c r="F2" s="232" t="s">
        <v>121</v>
      </c>
      <c r="G2" s="232"/>
      <c r="H2" s="232"/>
      <c r="I2" s="232"/>
      <c r="K2" s="234" t="s">
        <v>119</v>
      </c>
      <c r="L2" s="235"/>
      <c r="M2" s="235"/>
      <c r="N2" s="236"/>
      <c r="P2" s="233" t="s">
        <v>120</v>
      </c>
      <c r="Q2" s="233"/>
      <c r="R2" s="233"/>
      <c r="S2" s="233"/>
      <c r="U2" s="232" t="s">
        <v>122</v>
      </c>
      <c r="V2" s="232"/>
      <c r="W2" s="232"/>
      <c r="X2" s="232"/>
      <c r="Z2" s="232" t="s">
        <v>123</v>
      </c>
      <c r="AA2" s="232"/>
      <c r="AB2" s="232"/>
      <c r="AC2" s="232"/>
      <c r="AE2" s="232" t="s">
        <v>124</v>
      </c>
      <c r="AF2" s="232"/>
      <c r="AG2" s="232"/>
      <c r="AH2" s="232"/>
      <c r="AJ2" s="233" t="s">
        <v>125</v>
      </c>
      <c r="AK2" s="233"/>
      <c r="AL2" s="233"/>
      <c r="AM2" s="233"/>
      <c r="AO2" s="233" t="s">
        <v>1318</v>
      </c>
      <c r="AP2" s="233"/>
      <c r="AQ2" s="233"/>
      <c r="AR2" s="233"/>
    </row>
    <row r="3" spans="1:44" ht="55.5" customHeight="1" x14ac:dyDescent="0.25">
      <c r="B3" s="66" t="s">
        <v>0</v>
      </c>
      <c r="C3" s="66" t="s">
        <v>1</v>
      </c>
      <c r="D3" s="66" t="s">
        <v>2</v>
      </c>
      <c r="F3" s="67" t="s">
        <v>17</v>
      </c>
      <c r="G3" s="67" t="s">
        <v>18</v>
      </c>
      <c r="H3" s="67" t="s">
        <v>21</v>
      </c>
      <c r="I3" s="67" t="s">
        <v>19</v>
      </c>
      <c r="K3" s="70" t="s">
        <v>17</v>
      </c>
      <c r="L3" s="70" t="s">
        <v>18</v>
      </c>
      <c r="M3" s="70" t="s">
        <v>21</v>
      </c>
      <c r="N3" s="67" t="s">
        <v>19</v>
      </c>
      <c r="P3" s="70" t="s">
        <v>17</v>
      </c>
      <c r="Q3" s="70" t="s">
        <v>18</v>
      </c>
      <c r="R3" s="70" t="s">
        <v>21</v>
      </c>
      <c r="S3" s="67" t="s">
        <v>19</v>
      </c>
      <c r="U3" s="67" t="s">
        <v>17</v>
      </c>
      <c r="V3" s="67" t="s">
        <v>18</v>
      </c>
      <c r="W3" s="67" t="s">
        <v>21</v>
      </c>
      <c r="X3" s="67" t="s">
        <v>19</v>
      </c>
      <c r="Z3" s="67" t="s">
        <v>17</v>
      </c>
      <c r="AA3" s="67" t="s">
        <v>18</v>
      </c>
      <c r="AB3" s="67" t="s">
        <v>21</v>
      </c>
      <c r="AC3" s="67" t="s">
        <v>19</v>
      </c>
      <c r="AE3" s="67" t="s">
        <v>17</v>
      </c>
      <c r="AF3" s="67" t="s">
        <v>18</v>
      </c>
      <c r="AG3" s="67" t="s">
        <v>21</v>
      </c>
      <c r="AH3" s="67" t="s">
        <v>19</v>
      </c>
      <c r="AJ3" s="70" t="s">
        <v>17</v>
      </c>
      <c r="AK3" s="70" t="s">
        <v>18</v>
      </c>
      <c r="AL3" s="70" t="s">
        <v>21</v>
      </c>
      <c r="AM3" s="67" t="s">
        <v>19</v>
      </c>
      <c r="AO3" s="70" t="s">
        <v>17</v>
      </c>
      <c r="AP3" s="70" t="s">
        <v>18</v>
      </c>
      <c r="AQ3" s="70" t="s">
        <v>21</v>
      </c>
      <c r="AR3" s="67" t="s">
        <v>19</v>
      </c>
    </row>
    <row r="4" spans="1:44" ht="173.25" x14ac:dyDescent="0.25">
      <c r="A4" s="77">
        <v>1</v>
      </c>
      <c r="B4" s="78" t="s">
        <v>3</v>
      </c>
      <c r="C4" s="78" t="s">
        <v>4</v>
      </c>
      <c r="D4" s="78" t="s">
        <v>127</v>
      </c>
      <c r="E4" s="77"/>
      <c r="F4" s="79"/>
      <c r="G4" s="80"/>
      <c r="H4" s="81">
        <f>F4*G4</f>
        <v>0</v>
      </c>
      <c r="I4" s="82"/>
      <c r="J4" s="77"/>
      <c r="K4" s="83">
        <v>1</v>
      </c>
      <c r="L4" s="84">
        <v>0.99</v>
      </c>
      <c r="M4" s="85">
        <f>K4*L4</f>
        <v>0.99</v>
      </c>
      <c r="N4" s="87" t="s">
        <v>1197</v>
      </c>
      <c r="O4" s="77"/>
      <c r="P4" s="83">
        <v>1</v>
      </c>
      <c r="Q4" s="118">
        <v>0.8</v>
      </c>
      <c r="R4" s="85">
        <f>P4*Q4</f>
        <v>0.8</v>
      </c>
      <c r="S4" s="86" t="s">
        <v>1417</v>
      </c>
      <c r="T4" s="77"/>
      <c r="U4" s="79"/>
      <c r="V4" s="80"/>
      <c r="W4" s="81">
        <f>U4*V4</f>
        <v>0</v>
      </c>
      <c r="X4" s="82"/>
      <c r="Y4" s="77"/>
      <c r="Z4" s="79"/>
      <c r="AA4" s="80"/>
      <c r="AB4" s="81">
        <f>Z4*AA4</f>
        <v>0</v>
      </c>
      <c r="AC4" s="82"/>
      <c r="AD4" s="77"/>
      <c r="AE4" s="79"/>
      <c r="AF4" s="80"/>
      <c r="AG4" s="81">
        <f>AE4*AF4</f>
        <v>0</v>
      </c>
      <c r="AH4" s="82"/>
      <c r="AI4" s="77"/>
      <c r="AJ4" s="83">
        <v>1</v>
      </c>
      <c r="AK4" s="118">
        <v>0.4</v>
      </c>
      <c r="AL4" s="85">
        <f>AJ4*AK4</f>
        <v>0.4</v>
      </c>
      <c r="AM4" s="87" t="s">
        <v>1443</v>
      </c>
      <c r="AN4" s="77"/>
      <c r="AO4" s="83">
        <v>1</v>
      </c>
      <c r="AP4" s="118">
        <v>0.4</v>
      </c>
      <c r="AQ4" s="85">
        <f>AO4*AP4</f>
        <v>0.4</v>
      </c>
      <c r="AR4" s="86" t="s">
        <v>1188</v>
      </c>
    </row>
    <row r="5" spans="1:44" ht="212.25" customHeight="1" x14ac:dyDescent="0.25">
      <c r="A5" s="77">
        <v>2</v>
      </c>
      <c r="B5" s="78" t="s">
        <v>3</v>
      </c>
      <c r="C5" s="78" t="s">
        <v>4</v>
      </c>
      <c r="D5" s="78" t="s">
        <v>33</v>
      </c>
      <c r="E5" s="77"/>
      <c r="F5" s="79"/>
      <c r="G5" s="80"/>
      <c r="H5" s="81">
        <f t="shared" ref="H5:H56" si="0">F5*G5</f>
        <v>0</v>
      </c>
      <c r="I5" s="82"/>
      <c r="J5" s="77"/>
      <c r="K5" s="111">
        <v>1</v>
      </c>
      <c r="L5" s="112">
        <v>1</v>
      </c>
      <c r="M5" s="85">
        <f t="shared" ref="M5:M56" si="1">K5*L5</f>
        <v>1</v>
      </c>
      <c r="N5" s="113"/>
      <c r="O5" s="77"/>
      <c r="P5" s="111">
        <v>1</v>
      </c>
      <c r="Q5" s="119">
        <v>0.75</v>
      </c>
      <c r="R5" s="85">
        <f t="shared" ref="R5:R56" si="2">P5*Q5</f>
        <v>0.75</v>
      </c>
      <c r="S5" s="114" t="s">
        <v>1419</v>
      </c>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111">
        <v>1</v>
      </c>
      <c r="AK5" s="119">
        <v>0.6</v>
      </c>
      <c r="AL5" s="85">
        <f t="shared" ref="AL5:AL56" si="6">AJ5*AK5</f>
        <v>0.6</v>
      </c>
      <c r="AM5" s="113" t="s">
        <v>1420</v>
      </c>
      <c r="AN5" s="77"/>
      <c r="AO5" s="111">
        <v>1</v>
      </c>
      <c r="AP5" s="119">
        <v>0.1</v>
      </c>
      <c r="AQ5" s="85">
        <f t="shared" ref="AQ5:AQ56" si="7">AO5*AP5</f>
        <v>0.1</v>
      </c>
      <c r="AR5" s="113" t="s">
        <v>1262</v>
      </c>
    </row>
    <row r="6" spans="1:44" ht="267.75" customHeight="1" x14ac:dyDescent="0.25">
      <c r="A6" s="77">
        <v>3</v>
      </c>
      <c r="B6" s="78" t="s">
        <v>3</v>
      </c>
      <c r="C6" s="78" t="s">
        <v>4</v>
      </c>
      <c r="D6" s="78" t="s">
        <v>128</v>
      </c>
      <c r="E6" s="77"/>
      <c r="F6" s="79"/>
      <c r="G6" s="80"/>
      <c r="H6" s="81">
        <f t="shared" si="0"/>
        <v>0</v>
      </c>
      <c r="I6" s="82"/>
      <c r="J6" s="77"/>
      <c r="K6" s="83">
        <v>1</v>
      </c>
      <c r="L6" s="84">
        <v>1</v>
      </c>
      <c r="M6" s="85">
        <f t="shared" si="1"/>
        <v>1</v>
      </c>
      <c r="N6" s="87"/>
      <c r="O6" s="77"/>
      <c r="P6" s="83">
        <v>1</v>
      </c>
      <c r="Q6" s="118">
        <v>0.95</v>
      </c>
      <c r="R6" s="85">
        <f t="shared" si="2"/>
        <v>0.95</v>
      </c>
      <c r="S6" s="86" t="s">
        <v>1236</v>
      </c>
      <c r="T6" s="77"/>
      <c r="U6" s="79"/>
      <c r="V6" s="80"/>
      <c r="W6" s="81">
        <f t="shared" si="3"/>
        <v>0</v>
      </c>
      <c r="X6" s="82"/>
      <c r="Y6" s="77"/>
      <c r="Z6" s="79"/>
      <c r="AA6" s="80"/>
      <c r="AB6" s="81">
        <f t="shared" si="4"/>
        <v>0</v>
      </c>
      <c r="AC6" s="82"/>
      <c r="AD6" s="77"/>
      <c r="AE6" s="79"/>
      <c r="AF6" s="80"/>
      <c r="AG6" s="81">
        <f t="shared" si="5"/>
        <v>0</v>
      </c>
      <c r="AH6" s="82"/>
      <c r="AI6" s="77"/>
      <c r="AJ6" s="83">
        <v>1</v>
      </c>
      <c r="AK6" s="118">
        <v>0.85</v>
      </c>
      <c r="AL6" s="85">
        <f t="shared" si="6"/>
        <v>0.85</v>
      </c>
      <c r="AM6" s="87" t="s">
        <v>1240</v>
      </c>
      <c r="AN6" s="77"/>
      <c r="AO6" s="83">
        <v>1</v>
      </c>
      <c r="AP6" s="118">
        <v>0.3</v>
      </c>
      <c r="AQ6" s="85">
        <f t="shared" si="7"/>
        <v>0.3</v>
      </c>
      <c r="AR6" s="82" t="s">
        <v>1598</v>
      </c>
    </row>
    <row r="7" spans="1:44" ht="220.5" x14ac:dyDescent="0.25">
      <c r="A7" s="77">
        <v>4</v>
      </c>
      <c r="B7" s="78" t="s">
        <v>3</v>
      </c>
      <c r="C7" s="78" t="s">
        <v>4</v>
      </c>
      <c r="D7" s="78" t="s">
        <v>34</v>
      </c>
      <c r="E7" s="77"/>
      <c r="F7" s="79"/>
      <c r="G7" s="80"/>
      <c r="H7" s="81">
        <f t="shared" si="0"/>
        <v>0</v>
      </c>
      <c r="I7" s="82"/>
      <c r="J7" s="77"/>
      <c r="K7" s="111">
        <v>1</v>
      </c>
      <c r="L7" s="112">
        <v>0.89500000000000002</v>
      </c>
      <c r="M7" s="85">
        <f t="shared" si="1"/>
        <v>0.89500000000000002</v>
      </c>
      <c r="N7" s="113" t="s">
        <v>1481</v>
      </c>
      <c r="O7" s="77"/>
      <c r="P7" s="111">
        <v>1</v>
      </c>
      <c r="Q7" s="119">
        <v>0.98</v>
      </c>
      <c r="R7" s="85">
        <f t="shared" si="2"/>
        <v>0.98</v>
      </c>
      <c r="S7" s="114" t="s">
        <v>1253</v>
      </c>
      <c r="T7" s="77"/>
      <c r="U7" s="79"/>
      <c r="V7" s="80"/>
      <c r="W7" s="81">
        <f t="shared" si="3"/>
        <v>0</v>
      </c>
      <c r="X7" s="82"/>
      <c r="Y7" s="77"/>
      <c r="Z7" s="79"/>
      <c r="AA7" s="80"/>
      <c r="AB7" s="81">
        <f t="shared" si="4"/>
        <v>0</v>
      </c>
      <c r="AC7" s="82"/>
      <c r="AD7" s="77"/>
      <c r="AE7" s="79"/>
      <c r="AF7" s="80"/>
      <c r="AG7" s="81">
        <f t="shared" si="5"/>
        <v>0</v>
      </c>
      <c r="AH7" s="82"/>
      <c r="AI7" s="77"/>
      <c r="AJ7" s="111">
        <v>1</v>
      </c>
      <c r="AK7" s="119">
        <v>0.93</v>
      </c>
      <c r="AL7" s="85">
        <f t="shared" si="6"/>
        <v>0.93</v>
      </c>
      <c r="AM7" s="113" t="s">
        <v>1254</v>
      </c>
      <c r="AN7" s="77"/>
      <c r="AO7" s="111">
        <v>1</v>
      </c>
      <c r="AP7" s="119">
        <v>0.25</v>
      </c>
      <c r="AQ7" s="85">
        <f t="shared" si="7"/>
        <v>0.25</v>
      </c>
      <c r="AR7" s="113" t="s">
        <v>1604</v>
      </c>
    </row>
    <row r="8" spans="1:44" ht="110.25" x14ac:dyDescent="0.25">
      <c r="A8" s="77">
        <v>5</v>
      </c>
      <c r="B8" s="78" t="s">
        <v>3</v>
      </c>
      <c r="C8" s="78" t="s">
        <v>4</v>
      </c>
      <c r="D8" s="78" t="s">
        <v>35</v>
      </c>
      <c r="E8" s="77"/>
      <c r="F8" s="79"/>
      <c r="G8" s="80"/>
      <c r="H8" s="81">
        <f t="shared" si="0"/>
        <v>0</v>
      </c>
      <c r="I8" s="82"/>
      <c r="J8" s="77"/>
      <c r="K8" s="83">
        <v>1</v>
      </c>
      <c r="L8" s="84">
        <v>0.8</v>
      </c>
      <c r="M8" s="85">
        <f t="shared" si="1"/>
        <v>0.8</v>
      </c>
      <c r="N8" s="86" t="s">
        <v>1233</v>
      </c>
      <c r="O8" s="77"/>
      <c r="P8" s="83">
        <v>1</v>
      </c>
      <c r="Q8" s="118">
        <v>0.8</v>
      </c>
      <c r="R8" s="85">
        <f t="shared" si="2"/>
        <v>0.8</v>
      </c>
      <c r="S8" s="86" t="s">
        <v>1424</v>
      </c>
      <c r="T8" s="77"/>
      <c r="U8" s="79"/>
      <c r="V8" s="80"/>
      <c r="W8" s="81">
        <f t="shared" si="3"/>
        <v>0</v>
      </c>
      <c r="X8" s="78"/>
      <c r="Y8" s="77"/>
      <c r="Z8" s="79"/>
      <c r="AA8" s="80"/>
      <c r="AB8" s="81">
        <f t="shared" si="4"/>
        <v>0</v>
      </c>
      <c r="AC8" s="78"/>
      <c r="AD8" s="77"/>
      <c r="AE8" s="79"/>
      <c r="AF8" s="80"/>
      <c r="AG8" s="81">
        <f t="shared" si="5"/>
        <v>0</v>
      </c>
      <c r="AH8" s="78"/>
      <c r="AI8" s="77"/>
      <c r="AJ8" s="83">
        <v>1</v>
      </c>
      <c r="AK8" s="118">
        <v>0.95</v>
      </c>
      <c r="AL8" s="85">
        <f t="shared" si="6"/>
        <v>0.95</v>
      </c>
      <c r="AM8" s="87" t="s">
        <v>1241</v>
      </c>
      <c r="AN8" s="77"/>
      <c r="AO8" s="83">
        <v>1</v>
      </c>
      <c r="AP8" s="118">
        <v>0.3</v>
      </c>
      <c r="AQ8" s="85">
        <f t="shared" si="7"/>
        <v>0.3</v>
      </c>
      <c r="AR8" s="87" t="s">
        <v>1190</v>
      </c>
    </row>
    <row r="9" spans="1:44" ht="220.5" x14ac:dyDescent="0.25">
      <c r="A9" s="77">
        <v>6</v>
      </c>
      <c r="B9" s="78" t="s">
        <v>3</v>
      </c>
      <c r="C9" s="78" t="s">
        <v>4</v>
      </c>
      <c r="D9" s="78" t="s">
        <v>129</v>
      </c>
      <c r="E9" s="77"/>
      <c r="F9" s="79"/>
      <c r="G9" s="80"/>
      <c r="H9" s="81">
        <f t="shared" si="0"/>
        <v>0</v>
      </c>
      <c r="I9" s="78"/>
      <c r="J9" s="77"/>
      <c r="K9" s="111">
        <v>1</v>
      </c>
      <c r="L9" s="112">
        <v>0.79</v>
      </c>
      <c r="M9" s="85">
        <f t="shared" si="1"/>
        <v>0.79</v>
      </c>
      <c r="N9" s="113" t="s">
        <v>1623</v>
      </c>
      <c r="O9" s="77"/>
      <c r="P9" s="111">
        <v>1</v>
      </c>
      <c r="Q9" s="119">
        <v>0.95</v>
      </c>
      <c r="R9" s="85">
        <f t="shared" si="2"/>
        <v>0.95</v>
      </c>
      <c r="S9" s="113" t="s">
        <v>1633</v>
      </c>
      <c r="T9" s="77"/>
      <c r="U9" s="79"/>
      <c r="V9" s="80"/>
      <c r="W9" s="81">
        <f t="shared" si="3"/>
        <v>0</v>
      </c>
      <c r="X9" s="78"/>
      <c r="Y9" s="77"/>
      <c r="Z9" s="79"/>
      <c r="AA9" s="80"/>
      <c r="AB9" s="81">
        <f t="shared" si="4"/>
        <v>0</v>
      </c>
      <c r="AC9" s="78"/>
      <c r="AD9" s="77"/>
      <c r="AE9" s="79"/>
      <c r="AF9" s="80"/>
      <c r="AG9" s="81">
        <f t="shared" si="5"/>
        <v>0</v>
      </c>
      <c r="AH9" s="78"/>
      <c r="AI9" s="77"/>
      <c r="AJ9" s="111">
        <v>1</v>
      </c>
      <c r="AK9" s="119">
        <v>0.5</v>
      </c>
      <c r="AL9" s="85">
        <f t="shared" si="6"/>
        <v>0.5</v>
      </c>
      <c r="AM9" s="113" t="s">
        <v>1242</v>
      </c>
      <c r="AN9" s="77"/>
      <c r="AO9" s="111">
        <v>1</v>
      </c>
      <c r="AP9" s="119">
        <v>0.2</v>
      </c>
      <c r="AQ9" s="85">
        <f t="shared" si="7"/>
        <v>0.2</v>
      </c>
      <c r="AR9" s="113" t="s">
        <v>1618</v>
      </c>
    </row>
    <row r="10" spans="1:44" ht="157.5" x14ac:dyDescent="0.25">
      <c r="A10" s="77">
        <v>7</v>
      </c>
      <c r="B10" s="78" t="s">
        <v>3</v>
      </c>
      <c r="C10" s="78" t="s">
        <v>4</v>
      </c>
      <c r="D10" s="78" t="s">
        <v>36</v>
      </c>
      <c r="E10" s="77"/>
      <c r="F10" s="79"/>
      <c r="G10" s="80"/>
      <c r="H10" s="81">
        <f t="shared" si="0"/>
        <v>0</v>
      </c>
      <c r="I10" s="82"/>
      <c r="J10" s="77"/>
      <c r="K10" s="83">
        <v>1</v>
      </c>
      <c r="L10" s="84">
        <v>0.73</v>
      </c>
      <c r="M10" s="85">
        <f t="shared" si="1"/>
        <v>0.73</v>
      </c>
      <c r="N10" s="87" t="s">
        <v>1482</v>
      </c>
      <c r="O10" s="77"/>
      <c r="P10" s="83">
        <v>1</v>
      </c>
      <c r="Q10" s="118">
        <v>0.7</v>
      </c>
      <c r="R10" s="85">
        <f t="shared" si="2"/>
        <v>0.7</v>
      </c>
      <c r="S10" s="86" t="s">
        <v>1237</v>
      </c>
      <c r="T10" s="77"/>
      <c r="U10" s="79"/>
      <c r="V10" s="80"/>
      <c r="W10" s="81">
        <f t="shared" si="3"/>
        <v>0</v>
      </c>
      <c r="X10" s="82"/>
      <c r="Y10" s="77"/>
      <c r="Z10" s="79"/>
      <c r="AA10" s="80"/>
      <c r="AB10" s="81">
        <f t="shared" si="4"/>
        <v>0</v>
      </c>
      <c r="AC10" s="82"/>
      <c r="AD10" s="77"/>
      <c r="AE10" s="79"/>
      <c r="AF10" s="80"/>
      <c r="AG10" s="81">
        <f t="shared" si="5"/>
        <v>0</v>
      </c>
      <c r="AH10" s="82"/>
      <c r="AI10" s="77"/>
      <c r="AJ10" s="83">
        <v>1</v>
      </c>
      <c r="AK10" s="118">
        <v>0.4</v>
      </c>
      <c r="AL10" s="85">
        <f t="shared" si="6"/>
        <v>0.4</v>
      </c>
      <c r="AM10" s="87" t="s">
        <v>1243</v>
      </c>
      <c r="AN10" s="77"/>
      <c r="AO10" s="83">
        <v>1</v>
      </c>
      <c r="AP10" s="118">
        <v>0.2</v>
      </c>
      <c r="AQ10" s="85">
        <f t="shared" si="7"/>
        <v>0.2</v>
      </c>
      <c r="AR10" s="87" t="s">
        <v>1191</v>
      </c>
    </row>
    <row r="11" spans="1:44" ht="78.75" x14ac:dyDescent="0.25">
      <c r="A11" s="77">
        <v>8</v>
      </c>
      <c r="B11" s="78" t="s">
        <v>3</v>
      </c>
      <c r="C11" s="78" t="s">
        <v>4</v>
      </c>
      <c r="D11" s="78" t="s">
        <v>64</v>
      </c>
      <c r="E11" s="77"/>
      <c r="F11" s="79"/>
      <c r="G11" s="80"/>
      <c r="H11" s="81">
        <f t="shared" si="0"/>
        <v>0</v>
      </c>
      <c r="I11" s="78"/>
      <c r="J11" s="77"/>
      <c r="K11" s="111">
        <v>1</v>
      </c>
      <c r="L11" s="112">
        <v>1</v>
      </c>
      <c r="M11" s="85">
        <f t="shared" si="1"/>
        <v>1</v>
      </c>
      <c r="N11" s="113"/>
      <c r="O11" s="77"/>
      <c r="P11" s="111">
        <v>1</v>
      </c>
      <c r="Q11" s="119">
        <v>0.9</v>
      </c>
      <c r="R11" s="85">
        <f t="shared" si="2"/>
        <v>0.9</v>
      </c>
      <c r="S11" s="113" t="s">
        <v>1238</v>
      </c>
      <c r="T11" s="77"/>
      <c r="U11" s="79"/>
      <c r="V11" s="80"/>
      <c r="W11" s="81">
        <f t="shared" si="3"/>
        <v>0</v>
      </c>
      <c r="X11" s="82"/>
      <c r="Y11" s="77"/>
      <c r="Z11" s="79"/>
      <c r="AA11" s="80"/>
      <c r="AB11" s="81">
        <f t="shared" si="4"/>
        <v>0</v>
      </c>
      <c r="AC11" s="82"/>
      <c r="AD11" s="77"/>
      <c r="AE11" s="79"/>
      <c r="AF11" s="80"/>
      <c r="AG11" s="81">
        <f t="shared" si="5"/>
        <v>0</v>
      </c>
      <c r="AH11" s="82"/>
      <c r="AI11" s="77"/>
      <c r="AJ11" s="111">
        <v>1</v>
      </c>
      <c r="AK11" s="119">
        <v>0.5</v>
      </c>
      <c r="AL11" s="85">
        <f t="shared" si="6"/>
        <v>0.5</v>
      </c>
      <c r="AM11" s="113" t="s">
        <v>1244</v>
      </c>
      <c r="AN11" s="77"/>
      <c r="AO11" s="111">
        <v>1</v>
      </c>
      <c r="AP11" s="119">
        <v>0.15</v>
      </c>
      <c r="AQ11" s="85">
        <f t="shared" si="7"/>
        <v>0.15</v>
      </c>
      <c r="AR11" s="113" t="s">
        <v>1192</v>
      </c>
    </row>
    <row r="12" spans="1:44" ht="63" x14ac:dyDescent="0.25">
      <c r="A12" s="77">
        <v>9</v>
      </c>
      <c r="B12" s="78" t="s">
        <v>3</v>
      </c>
      <c r="C12" s="78" t="s">
        <v>5</v>
      </c>
      <c r="D12" s="78" t="s">
        <v>37</v>
      </c>
      <c r="E12" s="77"/>
      <c r="F12" s="79"/>
      <c r="G12" s="80"/>
      <c r="H12" s="81">
        <f t="shared" si="0"/>
        <v>0</v>
      </c>
      <c r="I12" s="82"/>
      <c r="J12" s="77"/>
      <c r="K12" s="83">
        <v>1</v>
      </c>
      <c r="L12" s="99">
        <v>0.6</v>
      </c>
      <c r="M12" s="85">
        <f t="shared" si="1"/>
        <v>0.6</v>
      </c>
      <c r="N12" s="86" t="s">
        <v>1235</v>
      </c>
      <c r="O12" s="77"/>
      <c r="P12" s="83">
        <v>1</v>
      </c>
      <c r="Q12" s="118">
        <v>1</v>
      </c>
      <c r="R12" s="85">
        <f t="shared" si="2"/>
        <v>1</v>
      </c>
      <c r="S12" s="115"/>
      <c r="T12" s="77"/>
      <c r="U12" s="79"/>
      <c r="V12" s="80"/>
      <c r="W12" s="81">
        <f t="shared" si="3"/>
        <v>0</v>
      </c>
      <c r="X12" s="82"/>
      <c r="Y12" s="77"/>
      <c r="Z12" s="79"/>
      <c r="AA12" s="80"/>
      <c r="AB12" s="81">
        <f t="shared" si="4"/>
        <v>0</v>
      </c>
      <c r="AC12" s="82"/>
      <c r="AD12" s="77"/>
      <c r="AE12" s="79"/>
      <c r="AF12" s="80"/>
      <c r="AG12" s="81">
        <f t="shared" si="5"/>
        <v>0</v>
      </c>
      <c r="AH12" s="82"/>
      <c r="AI12" s="77"/>
      <c r="AJ12" s="83">
        <v>1</v>
      </c>
      <c r="AK12" s="118">
        <v>0.15</v>
      </c>
      <c r="AL12" s="85">
        <f t="shared" si="6"/>
        <v>0.15</v>
      </c>
      <c r="AM12" s="87" t="s">
        <v>1245</v>
      </c>
      <c r="AN12" s="77"/>
      <c r="AO12" s="83">
        <v>1</v>
      </c>
      <c r="AP12" s="118">
        <v>0.2</v>
      </c>
      <c r="AQ12" s="85">
        <f t="shared" si="7"/>
        <v>0.2</v>
      </c>
      <c r="AR12" s="86" t="s">
        <v>1256</v>
      </c>
    </row>
    <row r="13" spans="1:44" ht="78.75" x14ac:dyDescent="0.25">
      <c r="A13" s="77">
        <v>10</v>
      </c>
      <c r="B13" s="78" t="s">
        <v>3</v>
      </c>
      <c r="C13" s="78" t="s">
        <v>5</v>
      </c>
      <c r="D13" s="78" t="s">
        <v>38</v>
      </c>
      <c r="E13" s="77"/>
      <c r="F13" s="79"/>
      <c r="G13" s="80"/>
      <c r="H13" s="81">
        <f t="shared" si="0"/>
        <v>0</v>
      </c>
      <c r="I13" s="82"/>
      <c r="J13" s="77"/>
      <c r="K13" s="111">
        <v>1</v>
      </c>
      <c r="L13" s="119">
        <v>0.5</v>
      </c>
      <c r="M13" s="85">
        <f t="shared" si="1"/>
        <v>0.5</v>
      </c>
      <c r="N13" s="113" t="s">
        <v>1483</v>
      </c>
      <c r="O13" s="77"/>
      <c r="P13" s="111">
        <v>1</v>
      </c>
      <c r="Q13" s="119">
        <v>1</v>
      </c>
      <c r="R13" s="85">
        <f t="shared" si="2"/>
        <v>1</v>
      </c>
      <c r="S13" s="114"/>
      <c r="T13" s="77"/>
      <c r="U13" s="79"/>
      <c r="V13" s="80"/>
      <c r="W13" s="81">
        <f t="shared" si="3"/>
        <v>0</v>
      </c>
      <c r="X13" s="82"/>
      <c r="Y13" s="77"/>
      <c r="Z13" s="79"/>
      <c r="AA13" s="80"/>
      <c r="AB13" s="81">
        <f t="shared" si="4"/>
        <v>0</v>
      </c>
      <c r="AC13" s="82"/>
      <c r="AD13" s="77"/>
      <c r="AE13" s="79"/>
      <c r="AF13" s="80"/>
      <c r="AG13" s="81">
        <f t="shared" si="5"/>
        <v>0</v>
      </c>
      <c r="AH13" s="82"/>
      <c r="AI13" s="77"/>
      <c r="AJ13" s="111">
        <v>1</v>
      </c>
      <c r="AK13" s="119">
        <v>0.15</v>
      </c>
      <c r="AL13" s="85">
        <f t="shared" si="6"/>
        <v>0.15</v>
      </c>
      <c r="AM13" s="113" t="s">
        <v>1246</v>
      </c>
      <c r="AN13" s="77"/>
      <c r="AO13" s="111">
        <v>1</v>
      </c>
      <c r="AP13" s="119">
        <v>0.3</v>
      </c>
      <c r="AQ13" s="85">
        <f t="shared" si="7"/>
        <v>0.3</v>
      </c>
      <c r="AR13" s="113" t="s">
        <v>1251</v>
      </c>
    </row>
    <row r="14" spans="1:44" ht="94.5" x14ac:dyDescent="0.25">
      <c r="A14" s="77">
        <v>11</v>
      </c>
      <c r="B14" s="78" t="s">
        <v>3</v>
      </c>
      <c r="C14" s="78" t="s">
        <v>31</v>
      </c>
      <c r="D14" s="78" t="s">
        <v>39</v>
      </c>
      <c r="E14" s="77"/>
      <c r="F14" s="79"/>
      <c r="G14" s="80"/>
      <c r="H14" s="81">
        <f t="shared" si="0"/>
        <v>0</v>
      </c>
      <c r="I14" s="82"/>
      <c r="J14" s="77"/>
      <c r="K14" s="83">
        <v>1</v>
      </c>
      <c r="L14" s="118">
        <v>0.85</v>
      </c>
      <c r="M14" s="85">
        <f t="shared" si="1"/>
        <v>0.85</v>
      </c>
      <c r="N14" s="86" t="s">
        <v>1199</v>
      </c>
      <c r="O14" s="77"/>
      <c r="P14" s="83">
        <v>1</v>
      </c>
      <c r="Q14" s="118">
        <v>1</v>
      </c>
      <c r="R14" s="85">
        <f t="shared" si="2"/>
        <v>1</v>
      </c>
      <c r="S14" s="115"/>
      <c r="T14" s="77"/>
      <c r="U14" s="79"/>
      <c r="V14" s="80"/>
      <c r="W14" s="81">
        <f t="shared" si="3"/>
        <v>0</v>
      </c>
      <c r="X14" s="82"/>
      <c r="Y14" s="77"/>
      <c r="Z14" s="79"/>
      <c r="AA14" s="80"/>
      <c r="AB14" s="81">
        <f t="shared" si="4"/>
        <v>0</v>
      </c>
      <c r="AC14" s="82"/>
      <c r="AD14" s="77"/>
      <c r="AE14" s="79"/>
      <c r="AF14" s="80"/>
      <c r="AG14" s="81">
        <f t="shared" si="5"/>
        <v>0</v>
      </c>
      <c r="AH14" s="82"/>
      <c r="AI14" s="77"/>
      <c r="AJ14" s="83">
        <v>1</v>
      </c>
      <c r="AK14" s="118">
        <v>0.3</v>
      </c>
      <c r="AL14" s="85">
        <f t="shared" si="6"/>
        <v>0.3</v>
      </c>
      <c r="AM14" s="87" t="s">
        <v>1247</v>
      </c>
      <c r="AN14" s="77"/>
      <c r="AO14" s="83">
        <v>1</v>
      </c>
      <c r="AP14" s="118">
        <v>0.15</v>
      </c>
      <c r="AQ14" s="85">
        <f t="shared" si="7"/>
        <v>0.15</v>
      </c>
      <c r="AR14" s="86" t="s">
        <v>1195</v>
      </c>
    </row>
    <row r="15" spans="1:44" ht="110.25" x14ac:dyDescent="0.25">
      <c r="A15" s="77">
        <v>12</v>
      </c>
      <c r="B15" s="78" t="s">
        <v>3</v>
      </c>
      <c r="C15" s="78" t="s">
        <v>31</v>
      </c>
      <c r="D15" s="78" t="s">
        <v>40</v>
      </c>
      <c r="E15" s="77"/>
      <c r="F15" s="79"/>
      <c r="G15" s="80"/>
      <c r="H15" s="81">
        <f t="shared" si="0"/>
        <v>0</v>
      </c>
      <c r="I15" s="82"/>
      <c r="J15" s="77"/>
      <c r="K15" s="111">
        <v>1</v>
      </c>
      <c r="L15" s="119">
        <v>1</v>
      </c>
      <c r="M15" s="85">
        <f t="shared" si="1"/>
        <v>1</v>
      </c>
      <c r="N15" s="113"/>
      <c r="O15" s="77"/>
      <c r="P15" s="111">
        <v>1</v>
      </c>
      <c r="Q15" s="119">
        <v>0.95</v>
      </c>
      <c r="R15" s="85">
        <f t="shared" si="2"/>
        <v>0.95</v>
      </c>
      <c r="S15" s="114" t="s">
        <v>1187</v>
      </c>
      <c r="T15" s="77"/>
      <c r="U15" s="79"/>
      <c r="V15" s="80"/>
      <c r="W15" s="81">
        <f t="shared" si="3"/>
        <v>0</v>
      </c>
      <c r="X15" s="82"/>
      <c r="Y15" s="77"/>
      <c r="Z15" s="79"/>
      <c r="AA15" s="80"/>
      <c r="AB15" s="81">
        <f t="shared" si="4"/>
        <v>0</v>
      </c>
      <c r="AC15" s="82"/>
      <c r="AD15" s="77"/>
      <c r="AE15" s="79"/>
      <c r="AF15" s="80"/>
      <c r="AG15" s="81">
        <f t="shared" si="5"/>
        <v>0</v>
      </c>
      <c r="AH15" s="82"/>
      <c r="AI15" s="77"/>
      <c r="AJ15" s="111">
        <v>1</v>
      </c>
      <c r="AK15" s="119">
        <v>0.3</v>
      </c>
      <c r="AL15" s="85">
        <f t="shared" si="6"/>
        <v>0.3</v>
      </c>
      <c r="AM15" s="113" t="s">
        <v>1248</v>
      </c>
      <c r="AN15" s="77"/>
      <c r="AO15" s="111">
        <v>1</v>
      </c>
      <c r="AP15" s="119">
        <v>0.5</v>
      </c>
      <c r="AQ15" s="85">
        <f t="shared" si="7"/>
        <v>0.5</v>
      </c>
      <c r="AR15" s="113" t="s">
        <v>1252</v>
      </c>
    </row>
    <row r="16" spans="1:44" ht="189" x14ac:dyDescent="0.25">
      <c r="A16" s="77">
        <v>13</v>
      </c>
      <c r="B16" s="78" t="s">
        <v>6</v>
      </c>
      <c r="C16" s="78" t="s">
        <v>7</v>
      </c>
      <c r="D16" s="78" t="s">
        <v>41</v>
      </c>
      <c r="E16" s="77"/>
      <c r="F16" s="79"/>
      <c r="G16" s="80"/>
      <c r="H16" s="81">
        <f t="shared" si="0"/>
        <v>0</v>
      </c>
      <c r="I16" s="82"/>
      <c r="J16" s="77"/>
      <c r="K16" s="100">
        <v>1</v>
      </c>
      <c r="L16" s="101">
        <v>1</v>
      </c>
      <c r="M16" s="85">
        <f t="shared" si="1"/>
        <v>1</v>
      </c>
      <c r="N16" s="102" t="s">
        <v>774</v>
      </c>
      <c r="O16" s="77"/>
      <c r="P16" s="100">
        <v>1</v>
      </c>
      <c r="Q16" s="101">
        <v>0.85</v>
      </c>
      <c r="R16" s="85">
        <f t="shared" si="2"/>
        <v>0.85</v>
      </c>
      <c r="S16" s="102" t="s">
        <v>791</v>
      </c>
      <c r="T16" s="77"/>
      <c r="U16" s="79"/>
      <c r="V16" s="80"/>
      <c r="W16" s="81">
        <f t="shared" si="3"/>
        <v>0</v>
      </c>
      <c r="X16" s="82"/>
      <c r="Y16" s="77"/>
      <c r="Z16" s="79"/>
      <c r="AA16" s="80"/>
      <c r="AB16" s="81">
        <f t="shared" si="4"/>
        <v>0</v>
      </c>
      <c r="AC16" s="82"/>
      <c r="AD16" s="77"/>
      <c r="AE16" s="79"/>
      <c r="AF16" s="80"/>
      <c r="AG16" s="81">
        <f t="shared" si="5"/>
        <v>0</v>
      </c>
      <c r="AH16" s="82"/>
      <c r="AI16" s="77"/>
      <c r="AJ16" s="100">
        <v>1</v>
      </c>
      <c r="AK16" s="101">
        <v>0.6</v>
      </c>
      <c r="AL16" s="85">
        <f t="shared" si="6"/>
        <v>0.6</v>
      </c>
      <c r="AM16" s="102" t="s">
        <v>1472</v>
      </c>
      <c r="AN16" s="77"/>
      <c r="AO16" s="100">
        <v>1</v>
      </c>
      <c r="AP16" s="101">
        <v>0.88</v>
      </c>
      <c r="AQ16" s="85">
        <f t="shared" si="7"/>
        <v>0.88</v>
      </c>
      <c r="AR16" s="102" t="s">
        <v>810</v>
      </c>
    </row>
    <row r="17" spans="1:44" ht="126" x14ac:dyDescent="0.25">
      <c r="A17" s="77">
        <v>14</v>
      </c>
      <c r="B17" s="78" t="s">
        <v>6</v>
      </c>
      <c r="C17" s="78" t="s">
        <v>7</v>
      </c>
      <c r="D17" s="78" t="s">
        <v>130</v>
      </c>
      <c r="E17" s="77"/>
      <c r="F17" s="79"/>
      <c r="G17" s="80"/>
      <c r="H17" s="81">
        <f t="shared" si="0"/>
        <v>0</v>
      </c>
      <c r="I17" s="82"/>
      <c r="J17" s="77"/>
      <c r="K17" s="100">
        <v>1</v>
      </c>
      <c r="L17" s="101">
        <v>1</v>
      </c>
      <c r="M17" s="85">
        <f t="shared" si="1"/>
        <v>1</v>
      </c>
      <c r="N17" s="102" t="s">
        <v>775</v>
      </c>
      <c r="O17" s="77"/>
      <c r="P17" s="100">
        <v>1</v>
      </c>
      <c r="Q17" s="101">
        <v>0.6</v>
      </c>
      <c r="R17" s="85">
        <f t="shared" si="2"/>
        <v>0.6</v>
      </c>
      <c r="S17" s="102" t="s">
        <v>792</v>
      </c>
      <c r="T17" s="77"/>
      <c r="U17" s="79"/>
      <c r="V17" s="80"/>
      <c r="W17" s="81">
        <f t="shared" si="3"/>
        <v>0</v>
      </c>
      <c r="X17" s="82"/>
      <c r="Y17" s="77"/>
      <c r="Z17" s="79"/>
      <c r="AA17" s="80"/>
      <c r="AB17" s="81">
        <f t="shared" si="4"/>
        <v>0</v>
      </c>
      <c r="AC17" s="82"/>
      <c r="AD17" s="77"/>
      <c r="AE17" s="79"/>
      <c r="AF17" s="80"/>
      <c r="AG17" s="81">
        <f t="shared" si="5"/>
        <v>0</v>
      </c>
      <c r="AH17" s="82"/>
      <c r="AI17" s="77"/>
      <c r="AJ17" s="100">
        <v>1</v>
      </c>
      <c r="AK17" s="101">
        <v>0.15</v>
      </c>
      <c r="AL17" s="85">
        <f t="shared" si="6"/>
        <v>0.15</v>
      </c>
      <c r="AM17" s="102" t="s">
        <v>803</v>
      </c>
      <c r="AN17" s="77"/>
      <c r="AO17" s="100">
        <v>1</v>
      </c>
      <c r="AP17" s="101">
        <v>0.75</v>
      </c>
      <c r="AQ17" s="85">
        <f t="shared" si="7"/>
        <v>0.75</v>
      </c>
      <c r="AR17" s="102" t="s">
        <v>811</v>
      </c>
    </row>
    <row r="18" spans="1:44" ht="141.75" x14ac:dyDescent="0.25">
      <c r="A18" s="77">
        <v>15</v>
      </c>
      <c r="B18" s="78" t="s">
        <v>6</v>
      </c>
      <c r="C18" s="78" t="s">
        <v>7</v>
      </c>
      <c r="D18" s="78" t="s">
        <v>131</v>
      </c>
      <c r="E18" s="77"/>
      <c r="F18" s="79"/>
      <c r="G18" s="80"/>
      <c r="H18" s="81">
        <f t="shared" si="0"/>
        <v>0</v>
      </c>
      <c r="I18" s="82"/>
      <c r="J18" s="77"/>
      <c r="K18" s="100">
        <v>1</v>
      </c>
      <c r="L18" s="101">
        <v>1</v>
      </c>
      <c r="M18" s="85">
        <f t="shared" si="1"/>
        <v>1</v>
      </c>
      <c r="N18" s="78" t="s">
        <v>776</v>
      </c>
      <c r="O18" s="77"/>
      <c r="P18" s="100">
        <v>1</v>
      </c>
      <c r="Q18" s="101">
        <v>0.95</v>
      </c>
      <c r="R18" s="85">
        <f t="shared" si="2"/>
        <v>0.95</v>
      </c>
      <c r="S18" s="78" t="s">
        <v>793</v>
      </c>
      <c r="T18" s="77"/>
      <c r="U18" s="79"/>
      <c r="V18" s="80"/>
      <c r="W18" s="81">
        <f t="shared" si="3"/>
        <v>0</v>
      </c>
      <c r="X18" s="82"/>
      <c r="Y18" s="77"/>
      <c r="Z18" s="79"/>
      <c r="AA18" s="80"/>
      <c r="AB18" s="81">
        <f t="shared" si="4"/>
        <v>0</v>
      </c>
      <c r="AC18" s="82"/>
      <c r="AD18" s="77"/>
      <c r="AE18" s="79"/>
      <c r="AF18" s="80"/>
      <c r="AG18" s="81">
        <f t="shared" si="5"/>
        <v>0</v>
      </c>
      <c r="AH18" s="82"/>
      <c r="AI18" s="77"/>
      <c r="AJ18" s="100">
        <v>1</v>
      </c>
      <c r="AK18" s="101">
        <v>0.85</v>
      </c>
      <c r="AL18" s="85">
        <f t="shared" si="6"/>
        <v>0.85</v>
      </c>
      <c r="AM18" s="78" t="s">
        <v>804</v>
      </c>
      <c r="AN18" s="77"/>
      <c r="AO18" s="100">
        <v>1</v>
      </c>
      <c r="AP18" s="101">
        <v>0.95</v>
      </c>
      <c r="AQ18" s="85">
        <f t="shared" si="7"/>
        <v>0.95</v>
      </c>
      <c r="AR18" s="78" t="s">
        <v>812</v>
      </c>
    </row>
    <row r="19" spans="1:44" ht="94.5" x14ac:dyDescent="0.25">
      <c r="A19" s="77">
        <v>16</v>
      </c>
      <c r="B19" s="78" t="s">
        <v>6</v>
      </c>
      <c r="C19" s="78" t="s">
        <v>7</v>
      </c>
      <c r="D19" s="78" t="s">
        <v>42</v>
      </c>
      <c r="E19" s="77"/>
      <c r="F19" s="79"/>
      <c r="G19" s="80"/>
      <c r="H19" s="81">
        <f t="shared" si="0"/>
        <v>0</v>
      </c>
      <c r="I19" s="82"/>
      <c r="J19" s="77"/>
      <c r="K19" s="100">
        <v>1</v>
      </c>
      <c r="L19" s="101">
        <v>1</v>
      </c>
      <c r="M19" s="85">
        <f t="shared" si="1"/>
        <v>1</v>
      </c>
      <c r="N19" s="78" t="s">
        <v>777</v>
      </c>
      <c r="O19" s="77"/>
      <c r="P19" s="100">
        <v>1</v>
      </c>
      <c r="Q19" s="101">
        <v>0.95</v>
      </c>
      <c r="R19" s="85">
        <f t="shared" si="2"/>
        <v>0.95</v>
      </c>
      <c r="S19" s="78" t="s">
        <v>706</v>
      </c>
      <c r="T19" s="77"/>
      <c r="U19" s="79"/>
      <c r="V19" s="80"/>
      <c r="W19" s="81">
        <f t="shared" si="3"/>
        <v>0</v>
      </c>
      <c r="X19" s="82"/>
      <c r="Y19" s="77"/>
      <c r="Z19" s="79"/>
      <c r="AA19" s="80"/>
      <c r="AB19" s="81">
        <f t="shared" si="4"/>
        <v>0</v>
      </c>
      <c r="AC19" s="82"/>
      <c r="AD19" s="77"/>
      <c r="AE19" s="79"/>
      <c r="AF19" s="80"/>
      <c r="AG19" s="81">
        <f t="shared" si="5"/>
        <v>0</v>
      </c>
      <c r="AH19" s="82"/>
      <c r="AI19" s="77"/>
      <c r="AJ19" s="100">
        <v>1</v>
      </c>
      <c r="AK19" s="101">
        <v>1</v>
      </c>
      <c r="AL19" s="85">
        <f t="shared" si="6"/>
        <v>1</v>
      </c>
      <c r="AM19" s="78" t="s">
        <v>805</v>
      </c>
      <c r="AN19" s="77"/>
      <c r="AO19" s="100">
        <v>1</v>
      </c>
      <c r="AP19" s="101">
        <v>0.96</v>
      </c>
      <c r="AQ19" s="85">
        <f t="shared" si="7"/>
        <v>0.96</v>
      </c>
      <c r="AR19" s="78" t="s">
        <v>765</v>
      </c>
    </row>
    <row r="20" spans="1:44" ht="315" x14ac:dyDescent="0.25">
      <c r="A20" s="77">
        <v>17</v>
      </c>
      <c r="B20" s="78" t="s">
        <v>6</v>
      </c>
      <c r="C20" s="78" t="s">
        <v>7</v>
      </c>
      <c r="D20" s="78" t="s">
        <v>43</v>
      </c>
      <c r="E20" s="77"/>
      <c r="F20" s="79"/>
      <c r="G20" s="80"/>
      <c r="H20" s="81">
        <f t="shared" si="0"/>
        <v>0</v>
      </c>
      <c r="I20" s="82"/>
      <c r="J20" s="77"/>
      <c r="K20" s="100">
        <v>1</v>
      </c>
      <c r="L20" s="101">
        <v>0.7</v>
      </c>
      <c r="M20" s="85">
        <f t="shared" si="1"/>
        <v>0.7</v>
      </c>
      <c r="N20" s="102" t="s">
        <v>778</v>
      </c>
      <c r="O20" s="77"/>
      <c r="P20" s="100">
        <v>1</v>
      </c>
      <c r="Q20" s="101">
        <v>0.9</v>
      </c>
      <c r="R20" s="85">
        <f t="shared" si="2"/>
        <v>0.9</v>
      </c>
      <c r="S20" s="102" t="s">
        <v>652</v>
      </c>
      <c r="T20" s="77"/>
      <c r="U20" s="79"/>
      <c r="V20" s="80"/>
      <c r="W20" s="81">
        <f t="shared" si="3"/>
        <v>0</v>
      </c>
      <c r="X20" s="82"/>
      <c r="Y20" s="77"/>
      <c r="Z20" s="79"/>
      <c r="AA20" s="80"/>
      <c r="AB20" s="81">
        <f t="shared" si="4"/>
        <v>0</v>
      </c>
      <c r="AC20" s="82"/>
      <c r="AD20" s="77"/>
      <c r="AE20" s="79"/>
      <c r="AF20" s="80"/>
      <c r="AG20" s="81">
        <f t="shared" si="5"/>
        <v>0</v>
      </c>
      <c r="AH20" s="82"/>
      <c r="AI20" s="77"/>
      <c r="AJ20" s="100">
        <v>1</v>
      </c>
      <c r="AK20" s="101">
        <v>0.45</v>
      </c>
      <c r="AL20" s="85">
        <f t="shared" si="6"/>
        <v>0.45</v>
      </c>
      <c r="AM20" s="102" t="s">
        <v>717</v>
      </c>
      <c r="AN20" s="77"/>
      <c r="AO20" s="100">
        <v>1</v>
      </c>
      <c r="AP20" s="101">
        <v>0.5</v>
      </c>
      <c r="AQ20" s="85">
        <f t="shared" si="7"/>
        <v>0.5</v>
      </c>
      <c r="AR20" s="102" t="s">
        <v>813</v>
      </c>
    </row>
    <row r="21" spans="1:44" ht="157.5" x14ac:dyDescent="0.25">
      <c r="A21" s="77">
        <v>18</v>
      </c>
      <c r="B21" s="78" t="s">
        <v>6</v>
      </c>
      <c r="C21" s="78" t="s">
        <v>7</v>
      </c>
      <c r="D21" s="78" t="s">
        <v>44</v>
      </c>
      <c r="E21" s="77"/>
      <c r="F21" s="79"/>
      <c r="G21" s="80"/>
      <c r="H21" s="81">
        <f t="shared" si="0"/>
        <v>0</v>
      </c>
      <c r="I21" s="82"/>
      <c r="J21" s="77"/>
      <c r="K21" s="100">
        <v>1</v>
      </c>
      <c r="L21" s="101">
        <v>0.75</v>
      </c>
      <c r="M21" s="85">
        <f>K21*L21</f>
        <v>0.75</v>
      </c>
      <c r="N21" s="102" t="s">
        <v>779</v>
      </c>
      <c r="O21" s="77"/>
      <c r="P21" s="100">
        <v>1</v>
      </c>
      <c r="Q21" s="101">
        <v>0.75</v>
      </c>
      <c r="R21" s="85">
        <f>P21*Q21</f>
        <v>0.75</v>
      </c>
      <c r="S21" s="102" t="s">
        <v>1473</v>
      </c>
      <c r="T21" s="77"/>
      <c r="U21" s="79"/>
      <c r="V21" s="80"/>
      <c r="W21" s="81">
        <f t="shared" si="3"/>
        <v>0</v>
      </c>
      <c r="X21" s="82"/>
      <c r="Y21" s="77"/>
      <c r="Z21" s="79"/>
      <c r="AA21" s="80"/>
      <c r="AB21" s="81">
        <f t="shared" si="4"/>
        <v>0</v>
      </c>
      <c r="AC21" s="82"/>
      <c r="AD21" s="77"/>
      <c r="AE21" s="79"/>
      <c r="AF21" s="80"/>
      <c r="AG21" s="81">
        <f t="shared" si="5"/>
        <v>0</v>
      </c>
      <c r="AH21" s="82"/>
      <c r="AI21" s="77"/>
      <c r="AJ21" s="100">
        <v>1</v>
      </c>
      <c r="AK21" s="101">
        <v>0.2</v>
      </c>
      <c r="AL21" s="85">
        <f t="shared" si="6"/>
        <v>0.2</v>
      </c>
      <c r="AM21" s="102" t="s">
        <v>755</v>
      </c>
      <c r="AN21" s="77"/>
      <c r="AO21" s="100">
        <v>1</v>
      </c>
      <c r="AP21" s="101">
        <v>0.72</v>
      </c>
      <c r="AQ21" s="85">
        <f t="shared" si="7"/>
        <v>0.72</v>
      </c>
      <c r="AR21" s="102" t="s">
        <v>814</v>
      </c>
    </row>
    <row r="22" spans="1:44" ht="126" x14ac:dyDescent="0.25">
      <c r="A22" s="77">
        <v>19</v>
      </c>
      <c r="B22" s="78" t="s">
        <v>6</v>
      </c>
      <c r="C22" s="78" t="s">
        <v>7</v>
      </c>
      <c r="D22" s="78" t="s">
        <v>45</v>
      </c>
      <c r="E22" s="77"/>
      <c r="F22" s="79"/>
      <c r="G22" s="80"/>
      <c r="H22" s="81">
        <f t="shared" si="0"/>
        <v>0</v>
      </c>
      <c r="I22" s="82"/>
      <c r="J22" s="77"/>
      <c r="K22" s="100">
        <v>1</v>
      </c>
      <c r="L22" s="101">
        <v>0.85</v>
      </c>
      <c r="M22" s="85">
        <f t="shared" ref="M22:M23" si="8">K22*L22</f>
        <v>0.85</v>
      </c>
      <c r="N22" s="102" t="s">
        <v>780</v>
      </c>
      <c r="O22" s="77"/>
      <c r="P22" s="100">
        <v>1</v>
      </c>
      <c r="Q22" s="101">
        <v>0.7</v>
      </c>
      <c r="R22" s="85">
        <f t="shared" ref="R22:R23" si="9">P22*Q22</f>
        <v>0.7</v>
      </c>
      <c r="S22" s="102" t="s">
        <v>794</v>
      </c>
      <c r="T22" s="77"/>
      <c r="U22" s="79"/>
      <c r="V22" s="80"/>
      <c r="W22" s="81">
        <f t="shared" si="3"/>
        <v>0</v>
      </c>
      <c r="X22" s="82"/>
      <c r="Y22" s="77"/>
      <c r="Z22" s="79"/>
      <c r="AA22" s="80"/>
      <c r="AB22" s="81">
        <f t="shared" si="4"/>
        <v>0</v>
      </c>
      <c r="AC22" s="82"/>
      <c r="AD22" s="77"/>
      <c r="AE22" s="79"/>
      <c r="AF22" s="80"/>
      <c r="AG22" s="81">
        <f t="shared" si="5"/>
        <v>0</v>
      </c>
      <c r="AH22" s="82"/>
      <c r="AI22" s="77"/>
      <c r="AJ22" s="100">
        <v>1</v>
      </c>
      <c r="AK22" s="101">
        <v>0.5</v>
      </c>
      <c r="AL22" s="85">
        <f t="shared" si="6"/>
        <v>0.5</v>
      </c>
      <c r="AM22" s="102" t="s">
        <v>756</v>
      </c>
      <c r="AN22" s="77"/>
      <c r="AO22" s="100">
        <v>1</v>
      </c>
      <c r="AP22" s="101">
        <v>0.3</v>
      </c>
      <c r="AQ22" s="85">
        <f t="shared" si="7"/>
        <v>0.3</v>
      </c>
      <c r="AR22" s="102" t="s">
        <v>815</v>
      </c>
    </row>
    <row r="23" spans="1:44" ht="78.75" x14ac:dyDescent="0.25">
      <c r="A23" s="77">
        <v>20</v>
      </c>
      <c r="B23" s="78" t="s">
        <v>6</v>
      </c>
      <c r="C23" s="78" t="s">
        <v>7</v>
      </c>
      <c r="D23" s="78" t="s">
        <v>46</v>
      </c>
      <c r="E23" s="77"/>
      <c r="F23" s="79"/>
      <c r="G23" s="80"/>
      <c r="H23" s="81">
        <f t="shared" si="0"/>
        <v>0</v>
      </c>
      <c r="I23" s="82"/>
      <c r="J23" s="77"/>
      <c r="K23" s="100">
        <v>1</v>
      </c>
      <c r="L23" s="101">
        <v>1</v>
      </c>
      <c r="M23" s="85">
        <f t="shared" si="8"/>
        <v>1</v>
      </c>
      <c r="N23" s="102" t="s">
        <v>781</v>
      </c>
      <c r="O23" s="77"/>
      <c r="P23" s="100">
        <v>1</v>
      </c>
      <c r="Q23" s="101">
        <v>0.8</v>
      </c>
      <c r="R23" s="85">
        <f t="shared" si="9"/>
        <v>0.8</v>
      </c>
      <c r="S23" s="102" t="s">
        <v>795</v>
      </c>
      <c r="T23" s="77"/>
      <c r="U23" s="79"/>
      <c r="V23" s="80"/>
      <c r="W23" s="81">
        <f t="shared" si="3"/>
        <v>0</v>
      </c>
      <c r="X23" s="82"/>
      <c r="Y23" s="77"/>
      <c r="Z23" s="79"/>
      <c r="AA23" s="80"/>
      <c r="AB23" s="81">
        <f t="shared" si="4"/>
        <v>0</v>
      </c>
      <c r="AC23" s="82"/>
      <c r="AD23" s="77"/>
      <c r="AE23" s="79"/>
      <c r="AF23" s="80"/>
      <c r="AG23" s="81">
        <f t="shared" si="5"/>
        <v>0</v>
      </c>
      <c r="AH23" s="82"/>
      <c r="AI23" s="77"/>
      <c r="AJ23" s="100">
        <v>1</v>
      </c>
      <c r="AK23" s="101">
        <v>0.5</v>
      </c>
      <c r="AL23" s="85">
        <f t="shared" si="6"/>
        <v>0.5</v>
      </c>
      <c r="AM23" s="102" t="s">
        <v>806</v>
      </c>
      <c r="AN23" s="77"/>
      <c r="AO23" s="100">
        <v>1</v>
      </c>
      <c r="AP23" s="101">
        <v>0.5</v>
      </c>
      <c r="AQ23" s="85">
        <f t="shared" si="7"/>
        <v>0.5</v>
      </c>
      <c r="AR23" s="102" t="s">
        <v>816</v>
      </c>
    </row>
    <row r="24" spans="1:44" ht="126" x14ac:dyDescent="0.25">
      <c r="A24" s="77">
        <v>21</v>
      </c>
      <c r="B24" s="78" t="s">
        <v>6</v>
      </c>
      <c r="C24" s="78" t="s">
        <v>7</v>
      </c>
      <c r="D24" s="78" t="s">
        <v>47</v>
      </c>
      <c r="E24" s="77"/>
      <c r="F24" s="79"/>
      <c r="G24" s="80"/>
      <c r="H24" s="81">
        <f t="shared" si="0"/>
        <v>0</v>
      </c>
      <c r="I24" s="82"/>
      <c r="J24" s="77" t="s">
        <v>30</v>
      </c>
      <c r="K24" s="100">
        <v>1</v>
      </c>
      <c r="L24" s="101">
        <v>0.98</v>
      </c>
      <c r="M24" s="85">
        <f t="shared" si="1"/>
        <v>0.98</v>
      </c>
      <c r="N24" s="102" t="s">
        <v>358</v>
      </c>
      <c r="O24" s="77"/>
      <c r="P24" s="100">
        <v>1</v>
      </c>
      <c r="Q24" s="101">
        <v>0.9</v>
      </c>
      <c r="R24" s="85">
        <f>P24*Q24</f>
        <v>0.9</v>
      </c>
      <c r="S24" s="102" t="s">
        <v>655</v>
      </c>
      <c r="T24" s="77"/>
      <c r="U24" s="79"/>
      <c r="V24" s="80"/>
      <c r="W24" s="81">
        <f t="shared" si="3"/>
        <v>0</v>
      </c>
      <c r="X24" s="82"/>
      <c r="Y24" s="77"/>
      <c r="Z24" s="79"/>
      <c r="AA24" s="80"/>
      <c r="AB24" s="81">
        <f t="shared" si="4"/>
        <v>0</v>
      </c>
      <c r="AC24" s="82"/>
      <c r="AD24" s="77"/>
      <c r="AE24" s="79"/>
      <c r="AF24" s="80"/>
      <c r="AG24" s="81">
        <f t="shared" si="5"/>
        <v>0</v>
      </c>
      <c r="AH24" s="82"/>
      <c r="AI24" s="77"/>
      <c r="AJ24" s="100">
        <v>1</v>
      </c>
      <c r="AK24" s="101">
        <v>0.98</v>
      </c>
      <c r="AL24" s="85">
        <f t="shared" si="6"/>
        <v>0.98</v>
      </c>
      <c r="AM24" s="102" t="s">
        <v>142</v>
      </c>
      <c r="AN24" s="77"/>
      <c r="AO24" s="100">
        <v>1</v>
      </c>
      <c r="AP24" s="101">
        <v>0.95</v>
      </c>
      <c r="AQ24" s="85">
        <f t="shared" si="7"/>
        <v>0.95</v>
      </c>
      <c r="AR24" s="102" t="s">
        <v>185</v>
      </c>
    </row>
    <row r="25" spans="1:44" s="73" customFormat="1" ht="157.5" x14ac:dyDescent="0.25">
      <c r="A25" s="77">
        <v>22</v>
      </c>
      <c r="B25" s="78" t="s">
        <v>6</v>
      </c>
      <c r="C25" s="78" t="s">
        <v>8</v>
      </c>
      <c r="D25" s="78" t="s">
        <v>48</v>
      </c>
      <c r="E25" s="77"/>
      <c r="F25" s="79"/>
      <c r="G25" s="80"/>
      <c r="H25" s="81">
        <f t="shared" si="0"/>
        <v>0</v>
      </c>
      <c r="I25" s="82"/>
      <c r="J25" s="77"/>
      <c r="K25" s="100">
        <v>1</v>
      </c>
      <c r="L25" s="101">
        <v>1</v>
      </c>
      <c r="M25" s="85">
        <f t="shared" si="1"/>
        <v>1</v>
      </c>
      <c r="N25" s="102" t="s">
        <v>782</v>
      </c>
      <c r="O25" s="77"/>
      <c r="P25" s="100">
        <v>1</v>
      </c>
      <c r="Q25" s="101">
        <v>1</v>
      </c>
      <c r="R25" s="85">
        <f t="shared" ref="R25:R29" si="10">P25*Q25</f>
        <v>1</v>
      </c>
      <c r="S25" s="102" t="s">
        <v>796</v>
      </c>
      <c r="T25" s="77"/>
      <c r="U25" s="79"/>
      <c r="V25" s="80"/>
      <c r="W25" s="81">
        <f t="shared" si="3"/>
        <v>0</v>
      </c>
      <c r="X25" s="82"/>
      <c r="Y25" s="77"/>
      <c r="Z25" s="79"/>
      <c r="AA25" s="80"/>
      <c r="AB25" s="81">
        <f t="shared" si="4"/>
        <v>0</v>
      </c>
      <c r="AC25" s="82"/>
      <c r="AD25" s="77"/>
      <c r="AE25" s="79"/>
      <c r="AF25" s="80"/>
      <c r="AG25" s="81">
        <f t="shared" si="5"/>
        <v>0</v>
      </c>
      <c r="AH25" s="82"/>
      <c r="AI25" s="77"/>
      <c r="AJ25" s="100">
        <v>1</v>
      </c>
      <c r="AK25" s="101">
        <v>0.45</v>
      </c>
      <c r="AL25" s="85">
        <f t="shared" si="6"/>
        <v>0.45</v>
      </c>
      <c r="AM25" s="102" t="s">
        <v>807</v>
      </c>
      <c r="AN25" s="77"/>
      <c r="AO25" s="100">
        <v>1</v>
      </c>
      <c r="AP25" s="101">
        <v>0.5</v>
      </c>
      <c r="AQ25" s="85">
        <f t="shared" si="7"/>
        <v>0.5</v>
      </c>
      <c r="AR25" s="78" t="s">
        <v>817</v>
      </c>
    </row>
    <row r="26" spans="1:44" ht="94.5" x14ac:dyDescent="0.25">
      <c r="A26" s="77">
        <v>23</v>
      </c>
      <c r="B26" s="78" t="s">
        <v>6</v>
      </c>
      <c r="C26" s="78" t="s">
        <v>8</v>
      </c>
      <c r="D26" s="78" t="s">
        <v>49</v>
      </c>
      <c r="E26" s="77"/>
      <c r="F26" s="79"/>
      <c r="G26" s="80"/>
      <c r="H26" s="81">
        <f t="shared" si="0"/>
        <v>0</v>
      </c>
      <c r="I26" s="82"/>
      <c r="J26" s="77"/>
      <c r="K26" s="100">
        <v>1</v>
      </c>
      <c r="L26" s="101">
        <v>1</v>
      </c>
      <c r="M26" s="85">
        <f t="shared" si="1"/>
        <v>1</v>
      </c>
      <c r="N26" s="102" t="s">
        <v>783</v>
      </c>
      <c r="O26" s="77"/>
      <c r="P26" s="100">
        <v>1</v>
      </c>
      <c r="Q26" s="101">
        <v>1</v>
      </c>
      <c r="R26" s="85">
        <f t="shared" si="10"/>
        <v>1</v>
      </c>
      <c r="S26" s="102" t="s">
        <v>797</v>
      </c>
      <c r="T26" s="77"/>
      <c r="U26" s="79"/>
      <c r="V26" s="80"/>
      <c r="W26" s="81">
        <f t="shared" si="3"/>
        <v>0</v>
      </c>
      <c r="X26" s="82"/>
      <c r="Y26" s="77"/>
      <c r="Z26" s="79"/>
      <c r="AA26" s="80"/>
      <c r="AB26" s="81">
        <f t="shared" si="4"/>
        <v>0</v>
      </c>
      <c r="AC26" s="82"/>
      <c r="AD26" s="77"/>
      <c r="AE26" s="79"/>
      <c r="AF26" s="80"/>
      <c r="AG26" s="81">
        <f t="shared" si="5"/>
        <v>0</v>
      </c>
      <c r="AH26" s="82"/>
      <c r="AI26" s="77"/>
      <c r="AJ26" s="100">
        <v>1</v>
      </c>
      <c r="AK26" s="101">
        <v>0.7</v>
      </c>
      <c r="AL26" s="85">
        <f t="shared" si="6"/>
        <v>0.7</v>
      </c>
      <c r="AM26" s="102" t="s">
        <v>671</v>
      </c>
      <c r="AN26" s="77"/>
      <c r="AO26" s="100">
        <v>1</v>
      </c>
      <c r="AP26" s="101">
        <v>0.7</v>
      </c>
      <c r="AQ26" s="85">
        <f t="shared" si="7"/>
        <v>0.7</v>
      </c>
      <c r="AR26" s="78" t="s">
        <v>818</v>
      </c>
    </row>
    <row r="27" spans="1:44" ht="78.75" x14ac:dyDescent="0.25">
      <c r="A27" s="77">
        <v>24</v>
      </c>
      <c r="B27" s="78" t="s">
        <v>6</v>
      </c>
      <c r="C27" s="78" t="s">
        <v>8</v>
      </c>
      <c r="D27" s="78" t="s">
        <v>50</v>
      </c>
      <c r="E27" s="77"/>
      <c r="F27" s="79"/>
      <c r="G27" s="80"/>
      <c r="H27" s="81">
        <f t="shared" si="0"/>
        <v>0</v>
      </c>
      <c r="I27" s="82"/>
      <c r="J27" s="77"/>
      <c r="K27" s="100">
        <v>1</v>
      </c>
      <c r="L27" s="101">
        <v>0.99</v>
      </c>
      <c r="M27" s="85">
        <f t="shared" si="1"/>
        <v>0.99</v>
      </c>
      <c r="N27" s="102" t="s">
        <v>641</v>
      </c>
      <c r="O27" s="77"/>
      <c r="P27" s="100">
        <v>1</v>
      </c>
      <c r="Q27" s="101">
        <v>1</v>
      </c>
      <c r="R27" s="85">
        <f t="shared" si="10"/>
        <v>1</v>
      </c>
      <c r="S27" s="102" t="s">
        <v>279</v>
      </c>
      <c r="T27" s="77"/>
      <c r="U27" s="79"/>
      <c r="V27" s="80"/>
      <c r="W27" s="81">
        <f t="shared" si="3"/>
        <v>0</v>
      </c>
      <c r="X27" s="82"/>
      <c r="Y27" s="77"/>
      <c r="Z27" s="79"/>
      <c r="AA27" s="80"/>
      <c r="AB27" s="81">
        <f t="shared" si="4"/>
        <v>0</v>
      </c>
      <c r="AC27" s="82"/>
      <c r="AD27" s="77"/>
      <c r="AE27" s="79"/>
      <c r="AF27" s="80"/>
      <c r="AG27" s="81">
        <f t="shared" si="5"/>
        <v>0</v>
      </c>
      <c r="AH27" s="82"/>
      <c r="AI27" s="77"/>
      <c r="AJ27" s="100">
        <v>1</v>
      </c>
      <c r="AK27" s="101">
        <v>0.65</v>
      </c>
      <c r="AL27" s="85">
        <f t="shared" si="6"/>
        <v>0.65</v>
      </c>
      <c r="AM27" s="102" t="s">
        <v>808</v>
      </c>
      <c r="AN27" s="77"/>
      <c r="AO27" s="100">
        <v>1</v>
      </c>
      <c r="AP27" s="101">
        <v>0.7</v>
      </c>
      <c r="AQ27" s="85">
        <f t="shared" si="7"/>
        <v>0.7</v>
      </c>
      <c r="AR27" s="78" t="s">
        <v>770</v>
      </c>
    </row>
    <row r="28" spans="1:44" ht="330.75" x14ac:dyDescent="0.25">
      <c r="A28" s="77">
        <v>25</v>
      </c>
      <c r="B28" s="78" t="s">
        <v>6</v>
      </c>
      <c r="C28" s="78" t="s">
        <v>8</v>
      </c>
      <c r="D28" s="78" t="s">
        <v>51</v>
      </c>
      <c r="E28" s="77"/>
      <c r="F28" s="79"/>
      <c r="G28" s="80"/>
      <c r="H28" s="81">
        <f t="shared" si="0"/>
        <v>0</v>
      </c>
      <c r="I28" s="82"/>
      <c r="J28" s="77"/>
      <c r="K28" s="100">
        <v>1</v>
      </c>
      <c r="L28" s="101">
        <v>0.85</v>
      </c>
      <c r="M28" s="85">
        <f t="shared" si="1"/>
        <v>0.85</v>
      </c>
      <c r="N28" s="102" t="s">
        <v>784</v>
      </c>
      <c r="O28" s="77"/>
      <c r="P28" s="100">
        <v>1</v>
      </c>
      <c r="Q28" s="101">
        <v>0.65</v>
      </c>
      <c r="R28" s="85">
        <f t="shared" si="10"/>
        <v>0.65</v>
      </c>
      <c r="S28" s="102" t="s">
        <v>798</v>
      </c>
      <c r="T28" s="77"/>
      <c r="U28" s="79"/>
      <c r="V28" s="80"/>
      <c r="W28" s="81">
        <f t="shared" si="3"/>
        <v>0</v>
      </c>
      <c r="X28" s="82"/>
      <c r="Y28" s="77"/>
      <c r="Z28" s="79"/>
      <c r="AA28" s="80"/>
      <c r="AB28" s="81">
        <f t="shared" si="4"/>
        <v>0</v>
      </c>
      <c r="AC28" s="82"/>
      <c r="AD28" s="77"/>
      <c r="AE28" s="79"/>
      <c r="AF28" s="80"/>
      <c r="AG28" s="81">
        <f t="shared" si="5"/>
        <v>0</v>
      </c>
      <c r="AH28" s="82"/>
      <c r="AI28" s="77"/>
      <c r="AJ28" s="100">
        <v>1</v>
      </c>
      <c r="AK28" s="101">
        <v>0.1</v>
      </c>
      <c r="AL28" s="85">
        <f t="shared" si="6"/>
        <v>0.1</v>
      </c>
      <c r="AM28" s="102" t="s">
        <v>604</v>
      </c>
      <c r="AN28" s="77"/>
      <c r="AO28" s="100">
        <v>1</v>
      </c>
      <c r="AP28" s="101">
        <v>0.55000000000000004</v>
      </c>
      <c r="AQ28" s="85">
        <f t="shared" si="7"/>
        <v>0.55000000000000004</v>
      </c>
      <c r="AR28" s="102" t="s">
        <v>819</v>
      </c>
    </row>
    <row r="29" spans="1:44" ht="110.25" x14ac:dyDescent="0.25">
      <c r="A29" s="77">
        <v>26</v>
      </c>
      <c r="B29" s="78" t="s">
        <v>6</v>
      </c>
      <c r="C29" s="78" t="s">
        <v>8</v>
      </c>
      <c r="D29" s="78" t="s">
        <v>52</v>
      </c>
      <c r="E29" s="77"/>
      <c r="F29" s="79"/>
      <c r="G29" s="80"/>
      <c r="H29" s="81">
        <f t="shared" si="0"/>
        <v>0</v>
      </c>
      <c r="I29" s="82"/>
      <c r="J29" s="77"/>
      <c r="K29" s="100">
        <v>1</v>
      </c>
      <c r="L29" s="101">
        <v>1</v>
      </c>
      <c r="M29" s="85">
        <f t="shared" si="1"/>
        <v>1</v>
      </c>
      <c r="N29" s="102" t="s">
        <v>147</v>
      </c>
      <c r="O29" s="77"/>
      <c r="P29" s="100">
        <v>1</v>
      </c>
      <c r="Q29" s="101">
        <v>0.85</v>
      </c>
      <c r="R29" s="85">
        <f t="shared" si="10"/>
        <v>0.85</v>
      </c>
      <c r="S29" s="102" t="s">
        <v>799</v>
      </c>
      <c r="T29" s="77"/>
      <c r="U29" s="79"/>
      <c r="V29" s="80"/>
      <c r="W29" s="81">
        <f t="shared" si="3"/>
        <v>0</v>
      </c>
      <c r="X29" s="78"/>
      <c r="Y29" s="77"/>
      <c r="Z29" s="79"/>
      <c r="AA29" s="80"/>
      <c r="AB29" s="81">
        <f t="shared" si="4"/>
        <v>0</v>
      </c>
      <c r="AC29" s="78"/>
      <c r="AD29" s="77"/>
      <c r="AE29" s="79"/>
      <c r="AF29" s="80"/>
      <c r="AG29" s="81">
        <f t="shared" si="5"/>
        <v>0</v>
      </c>
      <c r="AH29" s="78"/>
      <c r="AI29" s="77"/>
      <c r="AJ29" s="100">
        <v>1</v>
      </c>
      <c r="AK29" s="101">
        <v>0.1</v>
      </c>
      <c r="AL29" s="85">
        <f t="shared" si="6"/>
        <v>0.1</v>
      </c>
      <c r="AM29" s="102" t="s">
        <v>605</v>
      </c>
      <c r="AN29" s="77"/>
      <c r="AO29" s="100">
        <v>1</v>
      </c>
      <c r="AP29" s="101">
        <v>0.75</v>
      </c>
      <c r="AQ29" s="85">
        <f t="shared" si="7"/>
        <v>0.75</v>
      </c>
      <c r="AR29" s="102" t="s">
        <v>820</v>
      </c>
    </row>
    <row r="30" spans="1:44" ht="330.75" x14ac:dyDescent="0.25">
      <c r="A30" s="77">
        <v>27</v>
      </c>
      <c r="B30" s="78" t="s">
        <v>6</v>
      </c>
      <c r="C30" s="78" t="s">
        <v>8</v>
      </c>
      <c r="D30" s="78" t="s">
        <v>53</v>
      </c>
      <c r="E30" s="77"/>
      <c r="F30" s="79"/>
      <c r="G30" s="80"/>
      <c r="H30" s="81">
        <f t="shared" si="0"/>
        <v>0</v>
      </c>
      <c r="I30" s="82"/>
      <c r="J30" s="77"/>
      <c r="K30" s="100">
        <v>1</v>
      </c>
      <c r="L30" s="101">
        <v>1</v>
      </c>
      <c r="M30" s="85">
        <f t="shared" si="1"/>
        <v>1</v>
      </c>
      <c r="N30" s="102"/>
      <c r="O30" s="77"/>
      <c r="P30" s="100">
        <v>1</v>
      </c>
      <c r="Q30" s="101">
        <v>0.6</v>
      </c>
      <c r="R30" s="85">
        <f t="shared" si="2"/>
        <v>0.6</v>
      </c>
      <c r="S30" s="102" t="s">
        <v>464</v>
      </c>
      <c r="T30" s="77"/>
      <c r="U30" s="79"/>
      <c r="V30" s="80"/>
      <c r="W30" s="81">
        <f t="shared" si="3"/>
        <v>0</v>
      </c>
      <c r="X30" s="82"/>
      <c r="Y30" s="77"/>
      <c r="Z30" s="79"/>
      <c r="AA30" s="80"/>
      <c r="AB30" s="81">
        <f t="shared" si="4"/>
        <v>0</v>
      </c>
      <c r="AC30" s="82"/>
      <c r="AD30" s="77"/>
      <c r="AE30" s="79"/>
      <c r="AF30" s="80"/>
      <c r="AG30" s="81">
        <f t="shared" si="5"/>
        <v>0</v>
      </c>
      <c r="AH30" s="82"/>
      <c r="AI30" s="77"/>
      <c r="AJ30" s="100">
        <v>1</v>
      </c>
      <c r="AK30" s="101">
        <v>0.85</v>
      </c>
      <c r="AL30" s="85">
        <f t="shared" si="6"/>
        <v>0.85</v>
      </c>
      <c r="AM30" s="102" t="s">
        <v>606</v>
      </c>
      <c r="AN30" s="77"/>
      <c r="AO30" s="100">
        <v>1</v>
      </c>
      <c r="AP30" s="101">
        <v>1</v>
      </c>
      <c r="AQ30" s="85">
        <f t="shared" si="7"/>
        <v>1</v>
      </c>
      <c r="AR30" s="102"/>
    </row>
    <row r="31" spans="1:44" ht="110.25" x14ac:dyDescent="0.25">
      <c r="A31" s="77">
        <v>28</v>
      </c>
      <c r="B31" s="78" t="s">
        <v>6</v>
      </c>
      <c r="C31" s="78" t="s">
        <v>8</v>
      </c>
      <c r="D31" s="78" t="s">
        <v>54</v>
      </c>
      <c r="E31" s="77"/>
      <c r="F31" s="79"/>
      <c r="G31" s="80"/>
      <c r="H31" s="81">
        <f t="shared" si="0"/>
        <v>0</v>
      </c>
      <c r="I31" s="82"/>
      <c r="J31" s="77"/>
      <c r="K31" s="100">
        <v>1</v>
      </c>
      <c r="L31" s="101">
        <v>1</v>
      </c>
      <c r="M31" s="85">
        <f t="shared" si="1"/>
        <v>1</v>
      </c>
      <c r="N31" s="102" t="s">
        <v>785</v>
      </c>
      <c r="O31" s="77"/>
      <c r="P31" s="100">
        <v>1</v>
      </c>
      <c r="Q31" s="101">
        <v>1</v>
      </c>
      <c r="R31" s="85">
        <f t="shared" si="2"/>
        <v>1</v>
      </c>
      <c r="S31" s="102" t="s">
        <v>751</v>
      </c>
      <c r="T31" s="77"/>
      <c r="U31" s="79"/>
      <c r="V31" s="80"/>
      <c r="W31" s="81">
        <f t="shared" si="3"/>
        <v>0</v>
      </c>
      <c r="X31" s="82"/>
      <c r="Y31" s="77"/>
      <c r="Z31" s="79"/>
      <c r="AA31" s="80"/>
      <c r="AB31" s="81">
        <f t="shared" si="4"/>
        <v>0</v>
      </c>
      <c r="AC31" s="82"/>
      <c r="AD31" s="77"/>
      <c r="AE31" s="79"/>
      <c r="AF31" s="80"/>
      <c r="AG31" s="81">
        <f t="shared" si="5"/>
        <v>0</v>
      </c>
      <c r="AH31" s="82"/>
      <c r="AI31" s="77"/>
      <c r="AJ31" s="100">
        <v>1</v>
      </c>
      <c r="AK31" s="101">
        <v>1</v>
      </c>
      <c r="AL31" s="85">
        <f t="shared" si="6"/>
        <v>1</v>
      </c>
      <c r="AM31" s="102" t="s">
        <v>672</v>
      </c>
      <c r="AN31" s="77"/>
      <c r="AO31" s="100">
        <v>1</v>
      </c>
      <c r="AP31" s="101">
        <v>1</v>
      </c>
      <c r="AQ31" s="85">
        <f t="shared" si="7"/>
        <v>1</v>
      </c>
      <c r="AR31" s="102" t="s">
        <v>821</v>
      </c>
    </row>
    <row r="32" spans="1:44" ht="126" x14ac:dyDescent="0.25">
      <c r="A32" s="77">
        <v>29</v>
      </c>
      <c r="B32" s="78" t="s">
        <v>6</v>
      </c>
      <c r="C32" s="78" t="s">
        <v>8</v>
      </c>
      <c r="D32" s="78" t="s">
        <v>55</v>
      </c>
      <c r="E32" s="77"/>
      <c r="F32" s="79"/>
      <c r="G32" s="80"/>
      <c r="H32" s="81">
        <f t="shared" si="0"/>
        <v>0</v>
      </c>
      <c r="I32" s="82"/>
      <c r="J32" s="77"/>
      <c r="K32" s="100">
        <v>1</v>
      </c>
      <c r="L32" s="101">
        <v>1</v>
      </c>
      <c r="M32" s="85">
        <v>1</v>
      </c>
      <c r="N32" s="102" t="s">
        <v>786</v>
      </c>
      <c r="O32" s="77"/>
      <c r="P32" s="100">
        <v>1</v>
      </c>
      <c r="Q32" s="101">
        <v>1</v>
      </c>
      <c r="R32" s="85">
        <v>1</v>
      </c>
      <c r="S32" s="102" t="s">
        <v>800</v>
      </c>
      <c r="T32" s="77"/>
      <c r="U32" s="79"/>
      <c r="V32" s="80"/>
      <c r="W32" s="81">
        <f t="shared" si="3"/>
        <v>0</v>
      </c>
      <c r="X32" s="82"/>
      <c r="Y32" s="77"/>
      <c r="Z32" s="79"/>
      <c r="AA32" s="80"/>
      <c r="AB32" s="81">
        <f t="shared" si="4"/>
        <v>0</v>
      </c>
      <c r="AC32" s="82"/>
      <c r="AD32" s="77"/>
      <c r="AE32" s="79"/>
      <c r="AF32" s="80"/>
      <c r="AG32" s="81">
        <f t="shared" si="5"/>
        <v>0</v>
      </c>
      <c r="AH32" s="82"/>
      <c r="AI32" s="77"/>
      <c r="AJ32" s="100">
        <v>1</v>
      </c>
      <c r="AK32" s="101">
        <v>1</v>
      </c>
      <c r="AL32" s="85">
        <f t="shared" si="6"/>
        <v>1</v>
      </c>
      <c r="AM32" s="102" t="s">
        <v>673</v>
      </c>
      <c r="AN32" s="77"/>
      <c r="AO32" s="100">
        <v>1</v>
      </c>
      <c r="AP32" s="101">
        <v>1</v>
      </c>
      <c r="AQ32" s="85">
        <f t="shared" si="7"/>
        <v>1</v>
      </c>
      <c r="AR32" s="102" t="s">
        <v>732</v>
      </c>
    </row>
    <row r="33" spans="1:44" ht="141" customHeight="1" x14ac:dyDescent="0.25">
      <c r="A33" s="77">
        <v>30</v>
      </c>
      <c r="B33" s="78" t="s">
        <v>6</v>
      </c>
      <c r="C33" s="78" t="s">
        <v>8</v>
      </c>
      <c r="D33" s="78" t="s">
        <v>56</v>
      </c>
      <c r="E33" s="77"/>
      <c r="F33" s="79"/>
      <c r="G33" s="80"/>
      <c r="H33" s="81">
        <f t="shared" si="0"/>
        <v>0</v>
      </c>
      <c r="I33" s="82"/>
      <c r="J33" s="77"/>
      <c r="K33" s="100">
        <v>1</v>
      </c>
      <c r="L33" s="101">
        <v>1</v>
      </c>
      <c r="M33" s="85">
        <f t="shared" si="1"/>
        <v>1</v>
      </c>
      <c r="N33" s="102" t="s">
        <v>787</v>
      </c>
      <c r="O33" s="77"/>
      <c r="P33" s="100">
        <v>1</v>
      </c>
      <c r="Q33" s="101">
        <v>0.5</v>
      </c>
      <c r="R33" s="85">
        <f t="shared" si="2"/>
        <v>0.5</v>
      </c>
      <c r="S33" s="102" t="s">
        <v>465</v>
      </c>
      <c r="T33" s="77"/>
      <c r="U33" s="79"/>
      <c r="V33" s="80"/>
      <c r="W33" s="81">
        <f t="shared" si="3"/>
        <v>0</v>
      </c>
      <c r="X33" s="82"/>
      <c r="Y33" s="77"/>
      <c r="Z33" s="79"/>
      <c r="AA33" s="80"/>
      <c r="AB33" s="81">
        <f t="shared" si="4"/>
        <v>0</v>
      </c>
      <c r="AC33" s="82"/>
      <c r="AD33" s="77"/>
      <c r="AE33" s="79"/>
      <c r="AF33" s="80"/>
      <c r="AG33" s="81">
        <f t="shared" si="5"/>
        <v>0</v>
      </c>
      <c r="AH33" s="82"/>
      <c r="AI33" s="77"/>
      <c r="AJ33" s="100">
        <v>1</v>
      </c>
      <c r="AK33" s="101">
        <v>0.3</v>
      </c>
      <c r="AL33" s="85">
        <f t="shared" si="6"/>
        <v>0.3</v>
      </c>
      <c r="AM33" s="102" t="s">
        <v>809</v>
      </c>
      <c r="AN33" s="77"/>
      <c r="AO33" s="100">
        <v>1</v>
      </c>
      <c r="AP33" s="101">
        <v>0.5</v>
      </c>
      <c r="AQ33" s="85">
        <f t="shared" si="7"/>
        <v>0.5</v>
      </c>
      <c r="AR33" s="102" t="s">
        <v>822</v>
      </c>
    </row>
    <row r="34" spans="1:44" ht="127.5" customHeight="1" x14ac:dyDescent="0.25">
      <c r="A34" s="77">
        <v>31</v>
      </c>
      <c r="B34" s="78" t="s">
        <v>6</v>
      </c>
      <c r="C34" s="78" t="s">
        <v>9</v>
      </c>
      <c r="D34" s="102" t="s">
        <v>57</v>
      </c>
      <c r="E34" s="77"/>
      <c r="F34" s="79"/>
      <c r="G34" s="80"/>
      <c r="H34" s="81">
        <f t="shared" si="0"/>
        <v>0</v>
      </c>
      <c r="I34" s="82"/>
      <c r="J34" s="77"/>
      <c r="K34" s="100">
        <v>1</v>
      </c>
      <c r="L34" s="101">
        <v>0.65</v>
      </c>
      <c r="M34" s="85">
        <f t="shared" si="1"/>
        <v>0.65</v>
      </c>
      <c r="N34" s="102" t="s">
        <v>788</v>
      </c>
      <c r="O34" s="77"/>
      <c r="P34" s="100">
        <v>1</v>
      </c>
      <c r="Q34" s="101">
        <v>0.28000000000000003</v>
      </c>
      <c r="R34" s="85">
        <f t="shared" si="2"/>
        <v>0.28000000000000003</v>
      </c>
      <c r="S34" s="102" t="s">
        <v>801</v>
      </c>
      <c r="T34" s="77"/>
      <c r="U34" s="79"/>
      <c r="V34" s="80"/>
      <c r="W34" s="81">
        <f t="shared" si="3"/>
        <v>0</v>
      </c>
      <c r="X34" s="82"/>
      <c r="Y34" s="77"/>
      <c r="Z34" s="79"/>
      <c r="AA34" s="80"/>
      <c r="AB34" s="81">
        <f t="shared" si="4"/>
        <v>0</v>
      </c>
      <c r="AC34" s="82"/>
      <c r="AD34" s="77"/>
      <c r="AE34" s="79"/>
      <c r="AF34" s="80"/>
      <c r="AG34" s="81">
        <f t="shared" si="5"/>
        <v>0</v>
      </c>
      <c r="AH34" s="82"/>
      <c r="AI34" s="77"/>
      <c r="AJ34" s="100">
        <v>1</v>
      </c>
      <c r="AK34" s="101">
        <v>0.3</v>
      </c>
      <c r="AL34" s="85">
        <f t="shared" si="6"/>
        <v>0.3</v>
      </c>
      <c r="AM34" s="102" t="s">
        <v>610</v>
      </c>
      <c r="AN34" s="77"/>
      <c r="AO34" s="100">
        <v>1</v>
      </c>
      <c r="AP34" s="101">
        <v>0.5</v>
      </c>
      <c r="AQ34" s="85">
        <f t="shared" si="7"/>
        <v>0.5</v>
      </c>
      <c r="AR34" s="102" t="s">
        <v>194</v>
      </c>
    </row>
    <row r="35" spans="1:44" ht="204.75" x14ac:dyDescent="0.25">
      <c r="A35" s="77">
        <v>32</v>
      </c>
      <c r="B35" s="78" t="s">
        <v>6</v>
      </c>
      <c r="C35" s="78" t="s">
        <v>9</v>
      </c>
      <c r="D35" s="102" t="s">
        <v>58</v>
      </c>
      <c r="E35" s="77"/>
      <c r="F35" s="79"/>
      <c r="G35" s="80"/>
      <c r="H35" s="81">
        <f t="shared" si="0"/>
        <v>0</v>
      </c>
      <c r="I35" s="78"/>
      <c r="J35" s="77"/>
      <c r="K35" s="100">
        <v>1</v>
      </c>
      <c r="L35" s="101">
        <v>0.9</v>
      </c>
      <c r="M35" s="85">
        <f t="shared" si="1"/>
        <v>0.9</v>
      </c>
      <c r="N35" s="102" t="s">
        <v>152</v>
      </c>
      <c r="O35" s="77"/>
      <c r="P35" s="100">
        <v>1</v>
      </c>
      <c r="Q35" s="101">
        <v>0.7</v>
      </c>
      <c r="R35" s="85">
        <f t="shared" si="2"/>
        <v>0.7</v>
      </c>
      <c r="S35" s="102" t="s">
        <v>332</v>
      </c>
      <c r="T35" s="77"/>
      <c r="U35" s="79"/>
      <c r="V35" s="80"/>
      <c r="W35" s="81">
        <f t="shared" si="3"/>
        <v>0</v>
      </c>
      <c r="X35" s="82"/>
      <c r="Y35" s="77"/>
      <c r="Z35" s="79"/>
      <c r="AA35" s="80"/>
      <c r="AB35" s="81">
        <f t="shared" si="4"/>
        <v>0</v>
      </c>
      <c r="AC35" s="82"/>
      <c r="AD35" s="77"/>
      <c r="AE35" s="79"/>
      <c r="AF35" s="80"/>
      <c r="AG35" s="81">
        <f t="shared" si="5"/>
        <v>0</v>
      </c>
      <c r="AH35" s="82"/>
      <c r="AI35" s="77"/>
      <c r="AJ35" s="100">
        <v>1</v>
      </c>
      <c r="AK35" s="101">
        <v>0.1</v>
      </c>
      <c r="AL35" s="85">
        <f t="shared" si="6"/>
        <v>0.1</v>
      </c>
      <c r="AM35" s="102" t="s">
        <v>611</v>
      </c>
      <c r="AN35" s="77"/>
      <c r="AO35" s="100">
        <v>1</v>
      </c>
      <c r="AP35" s="101">
        <v>0.5</v>
      </c>
      <c r="AQ35" s="85">
        <f t="shared" si="7"/>
        <v>0.5</v>
      </c>
      <c r="AR35" s="102" t="s">
        <v>348</v>
      </c>
    </row>
    <row r="36" spans="1:44" ht="189" x14ac:dyDescent="0.25">
      <c r="A36" s="77">
        <v>33</v>
      </c>
      <c r="B36" s="78" t="s">
        <v>6</v>
      </c>
      <c r="C36" s="78" t="s">
        <v>9</v>
      </c>
      <c r="D36" s="78" t="s">
        <v>59</v>
      </c>
      <c r="E36" s="77"/>
      <c r="F36" s="79"/>
      <c r="G36" s="80"/>
      <c r="H36" s="81">
        <f t="shared" si="0"/>
        <v>0</v>
      </c>
      <c r="I36" s="82"/>
      <c r="J36" s="77"/>
      <c r="K36" s="100">
        <v>1</v>
      </c>
      <c r="L36" s="101">
        <v>1</v>
      </c>
      <c r="M36" s="85">
        <f t="shared" si="1"/>
        <v>1</v>
      </c>
      <c r="N36" s="102"/>
      <c r="O36" s="77"/>
      <c r="P36" s="100">
        <v>1</v>
      </c>
      <c r="Q36" s="101">
        <v>0.5</v>
      </c>
      <c r="R36" s="85">
        <f t="shared" si="2"/>
        <v>0.5</v>
      </c>
      <c r="S36" s="102" t="s">
        <v>802</v>
      </c>
      <c r="T36" s="77"/>
      <c r="U36" s="79"/>
      <c r="V36" s="80"/>
      <c r="W36" s="81">
        <f t="shared" si="3"/>
        <v>0</v>
      </c>
      <c r="X36" s="82"/>
      <c r="Y36" s="77"/>
      <c r="Z36" s="79"/>
      <c r="AA36" s="80"/>
      <c r="AB36" s="81">
        <f t="shared" si="4"/>
        <v>0</v>
      </c>
      <c r="AC36" s="82"/>
      <c r="AD36" s="77"/>
      <c r="AE36" s="79"/>
      <c r="AF36" s="80"/>
      <c r="AG36" s="81">
        <f t="shared" si="5"/>
        <v>0</v>
      </c>
      <c r="AH36" s="82"/>
      <c r="AI36" s="77"/>
      <c r="AJ36" s="100">
        <v>1</v>
      </c>
      <c r="AK36" s="101">
        <v>0.5</v>
      </c>
      <c r="AL36" s="85">
        <f t="shared" si="6"/>
        <v>0.5</v>
      </c>
      <c r="AM36" s="102" t="s">
        <v>612</v>
      </c>
      <c r="AN36" s="77"/>
      <c r="AO36" s="100">
        <v>1</v>
      </c>
      <c r="AP36" s="101">
        <v>0.8</v>
      </c>
      <c r="AQ36" s="85">
        <f t="shared" si="7"/>
        <v>0.8</v>
      </c>
      <c r="AR36" s="102" t="s">
        <v>196</v>
      </c>
    </row>
    <row r="37" spans="1:44" ht="141.75" x14ac:dyDescent="0.25">
      <c r="A37" s="77">
        <v>34</v>
      </c>
      <c r="B37" s="78" t="s">
        <v>6</v>
      </c>
      <c r="C37" s="78" t="s">
        <v>9</v>
      </c>
      <c r="D37" s="78" t="s">
        <v>60</v>
      </c>
      <c r="E37" s="77"/>
      <c r="F37" s="79"/>
      <c r="G37" s="80"/>
      <c r="H37" s="81">
        <f t="shared" si="0"/>
        <v>0</v>
      </c>
      <c r="I37" s="82"/>
      <c r="J37" s="77"/>
      <c r="K37" s="100">
        <v>1</v>
      </c>
      <c r="L37" s="101">
        <v>0.95</v>
      </c>
      <c r="M37" s="85">
        <f t="shared" si="1"/>
        <v>0.95</v>
      </c>
      <c r="N37" s="102" t="s">
        <v>789</v>
      </c>
      <c r="O37" s="77"/>
      <c r="P37" s="100">
        <v>1</v>
      </c>
      <c r="Q37" s="101">
        <v>1</v>
      </c>
      <c r="R37" s="85">
        <f t="shared" si="2"/>
        <v>1</v>
      </c>
      <c r="S37" s="102" t="s">
        <v>176</v>
      </c>
      <c r="T37" s="77"/>
      <c r="U37" s="79"/>
      <c r="V37" s="80"/>
      <c r="W37" s="81">
        <f t="shared" si="3"/>
        <v>0</v>
      </c>
      <c r="X37" s="82"/>
      <c r="Y37" s="77"/>
      <c r="Z37" s="79"/>
      <c r="AA37" s="80"/>
      <c r="AB37" s="81">
        <f t="shared" si="4"/>
        <v>0</v>
      </c>
      <c r="AC37" s="82"/>
      <c r="AD37" s="77"/>
      <c r="AE37" s="79"/>
      <c r="AF37" s="80"/>
      <c r="AG37" s="81">
        <f t="shared" si="5"/>
        <v>0</v>
      </c>
      <c r="AH37" s="82"/>
      <c r="AI37" s="77"/>
      <c r="AJ37" s="100">
        <v>1</v>
      </c>
      <c r="AK37" s="101">
        <v>1</v>
      </c>
      <c r="AL37" s="85">
        <f t="shared" si="6"/>
        <v>1</v>
      </c>
      <c r="AM37" s="102" t="s">
        <v>613</v>
      </c>
      <c r="AN37" s="77"/>
      <c r="AO37" s="100">
        <v>0</v>
      </c>
      <c r="AP37" s="101"/>
      <c r="AQ37" s="85">
        <f t="shared" si="7"/>
        <v>0</v>
      </c>
      <c r="AR37" s="102" t="s">
        <v>297</v>
      </c>
    </row>
    <row r="38" spans="1:44" ht="252" x14ac:dyDescent="0.25">
      <c r="A38" s="77">
        <v>35</v>
      </c>
      <c r="B38" s="78" t="s">
        <v>6</v>
      </c>
      <c r="C38" s="78" t="s">
        <v>9</v>
      </c>
      <c r="D38" s="78" t="s">
        <v>61</v>
      </c>
      <c r="E38" s="77"/>
      <c r="F38" s="79"/>
      <c r="G38" s="80"/>
      <c r="H38" s="81">
        <f t="shared" si="0"/>
        <v>0</v>
      </c>
      <c r="I38" s="82"/>
      <c r="J38" s="77"/>
      <c r="K38" s="100">
        <v>1</v>
      </c>
      <c r="L38" s="101">
        <v>0.9</v>
      </c>
      <c r="M38" s="85">
        <f t="shared" si="1"/>
        <v>0.9</v>
      </c>
      <c r="N38" s="102" t="s">
        <v>452</v>
      </c>
      <c r="O38" s="77"/>
      <c r="P38" s="100">
        <v>1</v>
      </c>
      <c r="Q38" s="101">
        <v>0.98</v>
      </c>
      <c r="R38" s="85">
        <f t="shared" si="2"/>
        <v>0.98</v>
      </c>
      <c r="S38" s="102" t="s">
        <v>234</v>
      </c>
      <c r="T38" s="77"/>
      <c r="U38" s="79"/>
      <c r="V38" s="80"/>
      <c r="W38" s="81">
        <f t="shared" si="3"/>
        <v>0</v>
      </c>
      <c r="X38" s="82"/>
      <c r="Y38" s="77"/>
      <c r="Z38" s="79"/>
      <c r="AA38" s="80"/>
      <c r="AB38" s="81">
        <f t="shared" si="4"/>
        <v>0</v>
      </c>
      <c r="AC38" s="82"/>
      <c r="AD38" s="77"/>
      <c r="AE38" s="79"/>
      <c r="AF38" s="80"/>
      <c r="AG38" s="81">
        <f t="shared" si="5"/>
        <v>0</v>
      </c>
      <c r="AH38" s="82"/>
      <c r="AI38" s="77"/>
      <c r="AJ38" s="100">
        <v>1</v>
      </c>
      <c r="AK38" s="101">
        <v>0.1</v>
      </c>
      <c r="AL38" s="85">
        <f t="shared" si="6"/>
        <v>0.1</v>
      </c>
      <c r="AM38" s="102" t="s">
        <v>723</v>
      </c>
      <c r="AN38" s="77"/>
      <c r="AO38" s="100">
        <v>1</v>
      </c>
      <c r="AP38" s="101">
        <v>0.65</v>
      </c>
      <c r="AQ38" s="85">
        <f t="shared" si="7"/>
        <v>0.65</v>
      </c>
      <c r="AR38" s="102" t="s">
        <v>823</v>
      </c>
    </row>
    <row r="39" spans="1:44" ht="299.25" x14ac:dyDescent="0.25">
      <c r="A39" s="77">
        <v>36</v>
      </c>
      <c r="B39" s="78" t="s">
        <v>6</v>
      </c>
      <c r="C39" s="78" t="s">
        <v>9</v>
      </c>
      <c r="D39" s="78" t="s">
        <v>62</v>
      </c>
      <c r="E39" s="77"/>
      <c r="F39" s="79"/>
      <c r="G39" s="80"/>
      <c r="H39" s="81">
        <f t="shared" si="0"/>
        <v>0</v>
      </c>
      <c r="I39" s="82"/>
      <c r="J39" s="77"/>
      <c r="K39" s="100">
        <v>1</v>
      </c>
      <c r="L39" s="101">
        <v>0.9</v>
      </c>
      <c r="M39" s="85">
        <f t="shared" si="1"/>
        <v>0.9</v>
      </c>
      <c r="N39" s="102" t="s">
        <v>578</v>
      </c>
      <c r="O39" s="77"/>
      <c r="P39" s="100">
        <v>1</v>
      </c>
      <c r="Q39" s="101">
        <v>0.96</v>
      </c>
      <c r="R39" s="85">
        <f t="shared" si="2"/>
        <v>0.96</v>
      </c>
      <c r="S39" s="102" t="s">
        <v>177</v>
      </c>
      <c r="T39" s="77"/>
      <c r="U39" s="79"/>
      <c r="V39" s="80"/>
      <c r="W39" s="81">
        <f t="shared" si="3"/>
        <v>0</v>
      </c>
      <c r="X39" s="82"/>
      <c r="Y39" s="77"/>
      <c r="Z39" s="79"/>
      <c r="AA39" s="80"/>
      <c r="AB39" s="81">
        <f t="shared" si="4"/>
        <v>0</v>
      </c>
      <c r="AC39" s="82"/>
      <c r="AD39" s="77"/>
      <c r="AE39" s="79"/>
      <c r="AF39" s="80"/>
      <c r="AG39" s="81">
        <f t="shared" si="5"/>
        <v>0</v>
      </c>
      <c r="AH39" s="82"/>
      <c r="AI39" s="77"/>
      <c r="AJ39" s="100">
        <v>1</v>
      </c>
      <c r="AK39" s="101">
        <v>0.4</v>
      </c>
      <c r="AL39" s="85">
        <f t="shared" si="6"/>
        <v>0.4</v>
      </c>
      <c r="AM39" s="102" t="s">
        <v>761</v>
      </c>
      <c r="AN39" s="77"/>
      <c r="AO39" s="100">
        <v>1</v>
      </c>
      <c r="AP39" s="101">
        <v>0.6</v>
      </c>
      <c r="AQ39" s="85">
        <f t="shared" si="7"/>
        <v>0.6</v>
      </c>
      <c r="AR39" s="102" t="s">
        <v>632</v>
      </c>
    </row>
    <row r="40" spans="1:44" ht="141.75" x14ac:dyDescent="0.25">
      <c r="A40" s="77">
        <v>37</v>
      </c>
      <c r="B40" s="78" t="s">
        <v>6</v>
      </c>
      <c r="C40" s="78" t="s">
        <v>9</v>
      </c>
      <c r="D40" s="78" t="s">
        <v>63</v>
      </c>
      <c r="E40" s="77"/>
      <c r="F40" s="79"/>
      <c r="G40" s="80"/>
      <c r="H40" s="81">
        <f t="shared" si="0"/>
        <v>0</v>
      </c>
      <c r="I40" s="82"/>
      <c r="J40" s="77"/>
      <c r="K40" s="100">
        <v>1</v>
      </c>
      <c r="L40" s="101">
        <v>0.65</v>
      </c>
      <c r="M40" s="85">
        <f t="shared" si="1"/>
        <v>0.65</v>
      </c>
      <c r="N40" s="102" t="s">
        <v>790</v>
      </c>
      <c r="O40" s="77"/>
      <c r="P40" s="100">
        <v>1</v>
      </c>
      <c r="Q40" s="101">
        <v>0.98</v>
      </c>
      <c r="R40" s="85">
        <f t="shared" si="2"/>
        <v>0.98</v>
      </c>
      <c r="S40" s="102" t="s">
        <v>466</v>
      </c>
      <c r="T40" s="77"/>
      <c r="U40" s="79"/>
      <c r="V40" s="80"/>
      <c r="W40" s="81">
        <f t="shared" si="3"/>
        <v>0</v>
      </c>
      <c r="X40" s="82"/>
      <c r="Y40" s="77"/>
      <c r="Z40" s="79"/>
      <c r="AA40" s="80"/>
      <c r="AB40" s="81">
        <f t="shared" si="4"/>
        <v>0</v>
      </c>
      <c r="AC40" s="82"/>
      <c r="AD40" s="77"/>
      <c r="AE40" s="79"/>
      <c r="AF40" s="80"/>
      <c r="AG40" s="81">
        <f t="shared" si="5"/>
        <v>0</v>
      </c>
      <c r="AH40" s="82"/>
      <c r="AI40" s="77"/>
      <c r="AJ40" s="100">
        <v>1</v>
      </c>
      <c r="AK40" s="101">
        <v>0.99</v>
      </c>
      <c r="AL40" s="85">
        <f t="shared" si="6"/>
        <v>0.99</v>
      </c>
      <c r="AM40" s="102" t="s">
        <v>616</v>
      </c>
      <c r="AN40" s="77"/>
      <c r="AO40" s="100">
        <v>1</v>
      </c>
      <c r="AP40" s="101">
        <v>0.6</v>
      </c>
      <c r="AQ40" s="85">
        <f t="shared" si="7"/>
        <v>0.6</v>
      </c>
      <c r="AR40" s="102" t="s">
        <v>199</v>
      </c>
    </row>
    <row r="41" spans="1:44" ht="220.5" x14ac:dyDescent="0.25">
      <c r="A41" s="77">
        <v>38</v>
      </c>
      <c r="B41" s="78" t="s">
        <v>10</v>
      </c>
      <c r="C41" s="78" t="s">
        <v>11</v>
      </c>
      <c r="D41" s="78" t="s">
        <v>65</v>
      </c>
      <c r="E41" s="77"/>
      <c r="F41" s="79"/>
      <c r="G41" s="80"/>
      <c r="H41" s="81">
        <f t="shared" si="0"/>
        <v>0</v>
      </c>
      <c r="I41" s="82"/>
      <c r="J41" s="77"/>
      <c r="K41" s="100">
        <v>1</v>
      </c>
      <c r="L41" s="101">
        <v>0.95</v>
      </c>
      <c r="M41" s="85">
        <f t="shared" si="1"/>
        <v>0.95</v>
      </c>
      <c r="N41" s="78" t="s">
        <v>1474</v>
      </c>
      <c r="O41" s="77"/>
      <c r="P41" s="100">
        <v>1</v>
      </c>
      <c r="Q41" s="101">
        <v>0.83</v>
      </c>
      <c r="R41" s="85">
        <f t="shared" si="2"/>
        <v>0.83</v>
      </c>
      <c r="S41" s="78" t="s">
        <v>1475</v>
      </c>
      <c r="T41" s="77"/>
      <c r="U41" s="79"/>
      <c r="V41" s="80"/>
      <c r="W41" s="81">
        <f t="shared" si="3"/>
        <v>0</v>
      </c>
      <c r="X41" s="82"/>
      <c r="Y41" s="77"/>
      <c r="Z41" s="79"/>
      <c r="AA41" s="80"/>
      <c r="AB41" s="81">
        <f t="shared" si="4"/>
        <v>0</v>
      </c>
      <c r="AC41" s="82"/>
      <c r="AD41" s="77"/>
      <c r="AE41" s="79"/>
      <c r="AF41" s="80"/>
      <c r="AG41" s="81">
        <f t="shared" si="5"/>
        <v>0</v>
      </c>
      <c r="AH41" s="82"/>
      <c r="AI41" s="77"/>
      <c r="AJ41" s="100">
        <v>1</v>
      </c>
      <c r="AK41" s="101">
        <v>0.6</v>
      </c>
      <c r="AL41" s="85">
        <f t="shared" si="6"/>
        <v>0.6</v>
      </c>
      <c r="AM41" s="78" t="s">
        <v>1476</v>
      </c>
      <c r="AN41" s="77"/>
      <c r="AO41" s="100">
        <v>1</v>
      </c>
      <c r="AP41" s="101">
        <v>0.93</v>
      </c>
      <c r="AQ41" s="85">
        <f t="shared" si="7"/>
        <v>0.93</v>
      </c>
      <c r="AR41" s="78" t="s">
        <v>1477</v>
      </c>
    </row>
    <row r="42" spans="1:44" ht="105.75" customHeight="1" x14ac:dyDescent="0.25">
      <c r="A42" s="77">
        <v>39</v>
      </c>
      <c r="B42" s="78" t="s">
        <v>10</v>
      </c>
      <c r="C42" s="78" t="s">
        <v>11</v>
      </c>
      <c r="D42" s="78" t="s">
        <v>66</v>
      </c>
      <c r="E42" s="77"/>
      <c r="F42" s="79"/>
      <c r="G42" s="80"/>
      <c r="H42" s="81">
        <f t="shared" si="0"/>
        <v>0</v>
      </c>
      <c r="I42" s="82"/>
      <c r="J42" s="77"/>
      <c r="K42" s="100">
        <v>1</v>
      </c>
      <c r="L42" s="101">
        <v>1</v>
      </c>
      <c r="M42" s="85">
        <f t="shared" si="1"/>
        <v>1</v>
      </c>
      <c r="N42" s="78" t="s">
        <v>1058</v>
      </c>
      <c r="O42" s="77"/>
      <c r="P42" s="100">
        <v>1</v>
      </c>
      <c r="Q42" s="101">
        <v>1</v>
      </c>
      <c r="R42" s="85">
        <f t="shared" si="2"/>
        <v>1</v>
      </c>
      <c r="S42" s="78" t="s">
        <v>1076</v>
      </c>
      <c r="T42" s="77"/>
      <c r="U42" s="79"/>
      <c r="V42" s="80"/>
      <c r="W42" s="81">
        <f t="shared" si="3"/>
        <v>0</v>
      </c>
      <c r="X42" s="82"/>
      <c r="Y42" s="77"/>
      <c r="Z42" s="79"/>
      <c r="AA42" s="80"/>
      <c r="AB42" s="81">
        <f t="shared" si="4"/>
        <v>0</v>
      </c>
      <c r="AC42" s="82"/>
      <c r="AD42" s="77"/>
      <c r="AE42" s="79"/>
      <c r="AF42" s="80"/>
      <c r="AG42" s="81">
        <f t="shared" si="5"/>
        <v>0</v>
      </c>
      <c r="AH42" s="82"/>
      <c r="AI42" s="77"/>
      <c r="AJ42" s="100">
        <v>1</v>
      </c>
      <c r="AK42" s="101">
        <v>1</v>
      </c>
      <c r="AL42" s="85">
        <f t="shared" si="6"/>
        <v>1</v>
      </c>
      <c r="AM42" s="78" t="s">
        <v>1071</v>
      </c>
      <c r="AN42" s="77"/>
      <c r="AO42" s="100">
        <v>1</v>
      </c>
      <c r="AP42" s="101">
        <v>1</v>
      </c>
      <c r="AQ42" s="85">
        <f t="shared" si="7"/>
        <v>1</v>
      </c>
      <c r="AR42" s="78" t="s">
        <v>1066</v>
      </c>
    </row>
    <row r="43" spans="1:44" ht="140.25" customHeight="1" x14ac:dyDescent="0.25">
      <c r="A43" s="77">
        <v>40</v>
      </c>
      <c r="B43" s="78" t="s">
        <v>10</v>
      </c>
      <c r="C43" s="78" t="s">
        <v>11</v>
      </c>
      <c r="D43" s="78" t="s">
        <v>67</v>
      </c>
      <c r="E43" s="77"/>
      <c r="F43" s="79"/>
      <c r="G43" s="80"/>
      <c r="H43" s="81">
        <f t="shared" si="0"/>
        <v>0</v>
      </c>
      <c r="I43" s="82"/>
      <c r="J43" s="77"/>
      <c r="K43" s="100">
        <v>1</v>
      </c>
      <c r="L43" s="101">
        <v>0.85</v>
      </c>
      <c r="M43" s="85">
        <f t="shared" si="1"/>
        <v>0.85</v>
      </c>
      <c r="N43" s="78" t="s">
        <v>1478</v>
      </c>
      <c r="O43" s="77"/>
      <c r="P43" s="100">
        <v>1</v>
      </c>
      <c r="Q43" s="101">
        <v>0.9</v>
      </c>
      <c r="R43" s="85">
        <f t="shared" si="2"/>
        <v>0.9</v>
      </c>
      <c r="S43" s="78" t="s">
        <v>1467</v>
      </c>
      <c r="T43" s="77"/>
      <c r="U43" s="79"/>
      <c r="V43" s="80"/>
      <c r="W43" s="81">
        <f t="shared" si="3"/>
        <v>0</v>
      </c>
      <c r="X43" s="82"/>
      <c r="Y43" s="77"/>
      <c r="Z43" s="79"/>
      <c r="AA43" s="80"/>
      <c r="AB43" s="81">
        <f t="shared" si="4"/>
        <v>0</v>
      </c>
      <c r="AC43" s="82"/>
      <c r="AD43" s="77"/>
      <c r="AE43" s="79"/>
      <c r="AF43" s="80"/>
      <c r="AG43" s="81">
        <f t="shared" si="5"/>
        <v>0</v>
      </c>
      <c r="AH43" s="82"/>
      <c r="AI43" s="77"/>
      <c r="AJ43" s="100">
        <v>1</v>
      </c>
      <c r="AK43" s="101">
        <v>0.6</v>
      </c>
      <c r="AL43" s="85">
        <f t="shared" si="6"/>
        <v>0.6</v>
      </c>
      <c r="AM43" s="78" t="s">
        <v>1435</v>
      </c>
      <c r="AN43" s="77"/>
      <c r="AO43" s="100">
        <v>1</v>
      </c>
      <c r="AP43" s="101">
        <v>0.7</v>
      </c>
      <c r="AQ43" s="85">
        <f t="shared" si="7"/>
        <v>0.7</v>
      </c>
      <c r="AR43" s="78" t="s">
        <v>1456</v>
      </c>
    </row>
    <row r="44" spans="1:44" ht="94.5" x14ac:dyDescent="0.25">
      <c r="A44" s="77">
        <v>41</v>
      </c>
      <c r="B44" s="78" t="s">
        <v>10</v>
      </c>
      <c r="C44" s="78" t="s">
        <v>11</v>
      </c>
      <c r="D44" s="78" t="s">
        <v>68</v>
      </c>
      <c r="E44" s="77"/>
      <c r="F44" s="79"/>
      <c r="G44" s="80"/>
      <c r="H44" s="81">
        <f t="shared" si="0"/>
        <v>0</v>
      </c>
      <c r="I44" s="82"/>
      <c r="J44" s="77"/>
      <c r="K44" s="100">
        <v>1</v>
      </c>
      <c r="L44" s="101">
        <v>1</v>
      </c>
      <c r="M44" s="85">
        <f t="shared" si="1"/>
        <v>1</v>
      </c>
      <c r="N44" s="78" t="s">
        <v>1059</v>
      </c>
      <c r="O44" s="77"/>
      <c r="P44" s="100">
        <v>1</v>
      </c>
      <c r="Q44" s="101">
        <v>0.87</v>
      </c>
      <c r="R44" s="85">
        <f t="shared" si="2"/>
        <v>0.87</v>
      </c>
      <c r="S44" s="78" t="s">
        <v>1346</v>
      </c>
      <c r="T44" s="77"/>
      <c r="U44" s="79"/>
      <c r="V44" s="80"/>
      <c r="W44" s="81">
        <f t="shared" si="3"/>
        <v>0</v>
      </c>
      <c r="X44" s="82"/>
      <c r="Y44" s="77"/>
      <c r="Z44" s="79"/>
      <c r="AA44" s="80"/>
      <c r="AB44" s="81">
        <f t="shared" si="4"/>
        <v>0</v>
      </c>
      <c r="AC44" s="82"/>
      <c r="AD44" s="77"/>
      <c r="AE44" s="79"/>
      <c r="AF44" s="80"/>
      <c r="AG44" s="81">
        <f t="shared" si="5"/>
        <v>0</v>
      </c>
      <c r="AH44" s="82"/>
      <c r="AI44" s="77"/>
      <c r="AJ44" s="100">
        <v>1</v>
      </c>
      <c r="AK44" s="101">
        <v>0.83</v>
      </c>
      <c r="AL44" s="85">
        <f t="shared" si="6"/>
        <v>0.83</v>
      </c>
      <c r="AM44" s="78" t="s">
        <v>1408</v>
      </c>
      <c r="AN44" s="77"/>
      <c r="AO44" s="100">
        <v>1</v>
      </c>
      <c r="AP44" s="101">
        <v>0.87</v>
      </c>
      <c r="AQ44" s="85">
        <f t="shared" si="7"/>
        <v>0.87</v>
      </c>
      <c r="AR44" s="78" t="s">
        <v>1438</v>
      </c>
    </row>
    <row r="45" spans="1:44" ht="47.25" x14ac:dyDescent="0.25">
      <c r="A45" s="77">
        <v>42</v>
      </c>
      <c r="B45" s="78" t="s">
        <v>10</v>
      </c>
      <c r="C45" s="78" t="s">
        <v>11</v>
      </c>
      <c r="D45" s="78" t="s">
        <v>69</v>
      </c>
      <c r="E45" s="77"/>
      <c r="F45" s="79"/>
      <c r="G45" s="80"/>
      <c r="H45" s="81">
        <f t="shared" si="0"/>
        <v>0</v>
      </c>
      <c r="I45" s="82"/>
      <c r="J45" s="77"/>
      <c r="K45" s="100">
        <v>1</v>
      </c>
      <c r="L45" s="101">
        <v>1</v>
      </c>
      <c r="M45" s="85">
        <f t="shared" si="1"/>
        <v>1</v>
      </c>
      <c r="N45" s="78" t="s">
        <v>1060</v>
      </c>
      <c r="O45" s="77"/>
      <c r="P45" s="100">
        <v>1</v>
      </c>
      <c r="Q45" s="101">
        <v>0.7</v>
      </c>
      <c r="R45" s="85">
        <f t="shared" si="2"/>
        <v>0.7</v>
      </c>
      <c r="S45" s="78" t="s">
        <v>1276</v>
      </c>
      <c r="T45" s="77"/>
      <c r="U45" s="79"/>
      <c r="V45" s="80"/>
      <c r="W45" s="81">
        <f t="shared" si="3"/>
        <v>0</v>
      </c>
      <c r="X45" s="82"/>
      <c r="Y45" s="77"/>
      <c r="Z45" s="79"/>
      <c r="AA45" s="80"/>
      <c r="AB45" s="81">
        <f t="shared" si="4"/>
        <v>0</v>
      </c>
      <c r="AC45" s="82"/>
      <c r="AD45" s="77"/>
      <c r="AE45" s="79"/>
      <c r="AF45" s="80"/>
      <c r="AG45" s="81">
        <f t="shared" si="5"/>
        <v>0</v>
      </c>
      <c r="AH45" s="82"/>
      <c r="AI45" s="77"/>
      <c r="AJ45" s="100">
        <v>1</v>
      </c>
      <c r="AK45" s="101">
        <v>0.7</v>
      </c>
      <c r="AL45" s="85">
        <f t="shared" si="6"/>
        <v>0.7</v>
      </c>
      <c r="AM45" s="78" t="s">
        <v>1409</v>
      </c>
      <c r="AN45" s="77"/>
      <c r="AO45" s="100">
        <v>1</v>
      </c>
      <c r="AP45" s="101">
        <v>0.95</v>
      </c>
      <c r="AQ45" s="85">
        <f t="shared" si="7"/>
        <v>0.95</v>
      </c>
      <c r="AR45" s="78" t="s">
        <v>1277</v>
      </c>
    </row>
    <row r="46" spans="1:44" ht="126" x14ac:dyDescent="0.25">
      <c r="A46" s="77">
        <v>43</v>
      </c>
      <c r="B46" s="78" t="s">
        <v>10</v>
      </c>
      <c r="C46" s="78" t="s">
        <v>11</v>
      </c>
      <c r="D46" s="78" t="s">
        <v>70</v>
      </c>
      <c r="E46" s="77"/>
      <c r="F46" s="79"/>
      <c r="G46" s="80"/>
      <c r="H46" s="81">
        <f t="shared" si="0"/>
        <v>0</v>
      </c>
      <c r="I46" s="82"/>
      <c r="J46" s="77"/>
      <c r="K46" s="100">
        <v>1</v>
      </c>
      <c r="L46" s="101">
        <v>1</v>
      </c>
      <c r="M46" s="85">
        <f t="shared" si="1"/>
        <v>1</v>
      </c>
      <c r="N46" s="78" t="s">
        <v>1074</v>
      </c>
      <c r="O46" s="77"/>
      <c r="P46" s="100">
        <v>1</v>
      </c>
      <c r="Q46" s="101">
        <v>0.9</v>
      </c>
      <c r="R46" s="85">
        <f t="shared" si="2"/>
        <v>0.9</v>
      </c>
      <c r="S46" s="78" t="s">
        <v>1334</v>
      </c>
      <c r="T46" s="77"/>
      <c r="U46" s="79"/>
      <c r="V46" s="80"/>
      <c r="W46" s="81">
        <f t="shared" si="3"/>
        <v>0</v>
      </c>
      <c r="X46" s="82"/>
      <c r="Y46" s="77"/>
      <c r="Z46" s="79"/>
      <c r="AA46" s="80"/>
      <c r="AB46" s="81">
        <f t="shared" si="4"/>
        <v>0</v>
      </c>
      <c r="AC46" s="82"/>
      <c r="AD46" s="77"/>
      <c r="AE46" s="79"/>
      <c r="AF46" s="80"/>
      <c r="AG46" s="81">
        <f t="shared" si="5"/>
        <v>0</v>
      </c>
      <c r="AH46" s="82"/>
      <c r="AI46" s="77"/>
      <c r="AJ46" s="100">
        <v>1</v>
      </c>
      <c r="AK46" s="101">
        <v>0.72</v>
      </c>
      <c r="AL46" s="85">
        <f t="shared" si="6"/>
        <v>0.72</v>
      </c>
      <c r="AM46" s="78" t="s">
        <v>1479</v>
      </c>
      <c r="AN46" s="77"/>
      <c r="AO46" s="100">
        <v>1</v>
      </c>
      <c r="AP46" s="101">
        <v>1</v>
      </c>
      <c r="AQ46" s="85">
        <f t="shared" si="7"/>
        <v>1</v>
      </c>
      <c r="AR46" s="78" t="s">
        <v>1077</v>
      </c>
    </row>
    <row r="47" spans="1:44" ht="63" x14ac:dyDescent="0.25">
      <c r="A47" s="77">
        <v>44</v>
      </c>
      <c r="B47" s="78" t="s">
        <v>10</v>
      </c>
      <c r="C47" s="78" t="s">
        <v>11</v>
      </c>
      <c r="D47" s="78" t="s">
        <v>12</v>
      </c>
      <c r="E47" s="77"/>
      <c r="F47" s="79"/>
      <c r="G47" s="80"/>
      <c r="H47" s="81">
        <f t="shared" si="0"/>
        <v>0</v>
      </c>
      <c r="I47" s="82"/>
      <c r="J47" s="77"/>
      <c r="K47" s="100">
        <v>1</v>
      </c>
      <c r="L47" s="101">
        <v>1</v>
      </c>
      <c r="M47" s="85">
        <f t="shared" si="1"/>
        <v>1</v>
      </c>
      <c r="N47" s="78" t="s">
        <v>1062</v>
      </c>
      <c r="O47" s="77"/>
      <c r="P47" s="100">
        <v>1</v>
      </c>
      <c r="Q47" s="101">
        <v>1</v>
      </c>
      <c r="R47" s="85">
        <f t="shared" si="2"/>
        <v>1</v>
      </c>
      <c r="S47" s="116" t="s">
        <v>1065</v>
      </c>
      <c r="T47" s="77"/>
      <c r="U47" s="79"/>
      <c r="V47" s="80"/>
      <c r="W47" s="81">
        <f t="shared" si="3"/>
        <v>0</v>
      </c>
      <c r="X47" s="82"/>
      <c r="Y47" s="77"/>
      <c r="Z47" s="79"/>
      <c r="AA47" s="80"/>
      <c r="AB47" s="81">
        <f t="shared" si="4"/>
        <v>0</v>
      </c>
      <c r="AC47" s="82"/>
      <c r="AD47" s="77"/>
      <c r="AE47" s="79"/>
      <c r="AF47" s="80"/>
      <c r="AG47" s="81">
        <f t="shared" si="5"/>
        <v>0</v>
      </c>
      <c r="AH47" s="82"/>
      <c r="AI47" s="77"/>
      <c r="AJ47" s="100">
        <v>1</v>
      </c>
      <c r="AK47" s="101">
        <v>0.5</v>
      </c>
      <c r="AL47" s="85">
        <f t="shared" si="6"/>
        <v>0.5</v>
      </c>
      <c r="AM47" s="78" t="s">
        <v>1414</v>
      </c>
      <c r="AN47" s="77"/>
      <c r="AO47" s="100">
        <v>1</v>
      </c>
      <c r="AP47" s="101">
        <v>1</v>
      </c>
      <c r="AQ47" s="85">
        <f t="shared" si="7"/>
        <v>1</v>
      </c>
      <c r="AR47" s="78" t="s">
        <v>1058</v>
      </c>
    </row>
    <row r="48" spans="1:44" ht="94.5" x14ac:dyDescent="0.25">
      <c r="A48" s="77">
        <v>45</v>
      </c>
      <c r="B48" s="78" t="s">
        <v>10</v>
      </c>
      <c r="C48" s="78" t="s">
        <v>71</v>
      </c>
      <c r="D48" s="78" t="s">
        <v>72</v>
      </c>
      <c r="E48" s="77"/>
      <c r="F48" s="79"/>
      <c r="G48" s="80"/>
      <c r="H48" s="81">
        <f t="shared" si="0"/>
        <v>0</v>
      </c>
      <c r="I48" s="82"/>
      <c r="J48" s="77"/>
      <c r="K48" s="100">
        <v>1</v>
      </c>
      <c r="L48" s="101">
        <v>0.95</v>
      </c>
      <c r="M48" s="85">
        <f t="shared" si="1"/>
        <v>0.95</v>
      </c>
      <c r="N48" s="78" t="s">
        <v>1280</v>
      </c>
      <c r="O48" s="77"/>
      <c r="P48" s="100">
        <v>1</v>
      </c>
      <c r="Q48" s="101">
        <v>0.85</v>
      </c>
      <c r="R48" s="85">
        <f t="shared" si="2"/>
        <v>0.85</v>
      </c>
      <c r="S48" s="78" t="s">
        <v>1281</v>
      </c>
      <c r="T48" s="77"/>
      <c r="U48" s="79"/>
      <c r="V48" s="80"/>
      <c r="W48" s="81">
        <f t="shared" si="3"/>
        <v>0</v>
      </c>
      <c r="X48" s="82"/>
      <c r="Y48" s="77"/>
      <c r="Z48" s="79"/>
      <c r="AA48" s="80"/>
      <c r="AB48" s="81">
        <f t="shared" si="4"/>
        <v>0</v>
      </c>
      <c r="AC48" s="82"/>
      <c r="AD48" s="77"/>
      <c r="AE48" s="79"/>
      <c r="AF48" s="80"/>
      <c r="AG48" s="81">
        <f t="shared" si="5"/>
        <v>0</v>
      </c>
      <c r="AH48" s="82"/>
      <c r="AI48" s="77"/>
      <c r="AJ48" s="100">
        <v>1</v>
      </c>
      <c r="AK48" s="101">
        <v>0.75</v>
      </c>
      <c r="AL48" s="85">
        <f t="shared" si="6"/>
        <v>0.75</v>
      </c>
      <c r="AM48" s="78" t="s">
        <v>1415</v>
      </c>
      <c r="AN48" s="77"/>
      <c r="AO48" s="100">
        <v>1</v>
      </c>
      <c r="AP48" s="101">
        <v>0.8</v>
      </c>
      <c r="AQ48" s="85">
        <f t="shared" si="7"/>
        <v>0.8</v>
      </c>
      <c r="AR48" s="78" t="s">
        <v>1336</v>
      </c>
    </row>
    <row r="49" spans="1:44" ht="47.25" x14ac:dyDescent="0.25">
      <c r="A49" s="77">
        <v>46</v>
      </c>
      <c r="B49" s="78" t="s">
        <v>10</v>
      </c>
      <c r="C49" s="78" t="s">
        <v>11</v>
      </c>
      <c r="D49" s="78" t="s">
        <v>13</v>
      </c>
      <c r="E49" s="77"/>
      <c r="F49" s="79"/>
      <c r="G49" s="80"/>
      <c r="H49" s="81">
        <f t="shared" si="0"/>
        <v>0</v>
      </c>
      <c r="I49" s="82"/>
      <c r="J49" s="77"/>
      <c r="K49" s="100">
        <v>1</v>
      </c>
      <c r="L49" s="101">
        <v>1</v>
      </c>
      <c r="M49" s="85">
        <f t="shared" si="1"/>
        <v>1</v>
      </c>
      <c r="N49" s="78" t="s">
        <v>1060</v>
      </c>
      <c r="O49" s="77"/>
      <c r="P49" s="100">
        <v>1</v>
      </c>
      <c r="Q49" s="101">
        <v>1</v>
      </c>
      <c r="R49" s="85">
        <f t="shared" si="2"/>
        <v>1</v>
      </c>
      <c r="S49" s="102" t="s">
        <v>1395</v>
      </c>
      <c r="T49" s="77"/>
      <c r="U49" s="79"/>
      <c r="V49" s="80"/>
      <c r="W49" s="81">
        <f t="shared" si="3"/>
        <v>0</v>
      </c>
      <c r="X49" s="82"/>
      <c r="Y49" s="77"/>
      <c r="Z49" s="79"/>
      <c r="AA49" s="80"/>
      <c r="AB49" s="81">
        <f t="shared" si="4"/>
        <v>0</v>
      </c>
      <c r="AC49" s="82"/>
      <c r="AD49" s="77"/>
      <c r="AE49" s="79"/>
      <c r="AF49" s="80"/>
      <c r="AG49" s="81">
        <f t="shared" si="5"/>
        <v>0</v>
      </c>
      <c r="AH49" s="82"/>
      <c r="AI49" s="77"/>
      <c r="AJ49" s="100">
        <v>1</v>
      </c>
      <c r="AK49" s="101">
        <v>1</v>
      </c>
      <c r="AL49" s="85">
        <f t="shared" si="6"/>
        <v>1</v>
      </c>
      <c r="AM49" s="78" t="s">
        <v>1072</v>
      </c>
      <c r="AN49" s="77"/>
      <c r="AO49" s="100">
        <v>1</v>
      </c>
      <c r="AP49" s="101">
        <v>1</v>
      </c>
      <c r="AQ49" s="85">
        <f t="shared" si="7"/>
        <v>1</v>
      </c>
      <c r="AR49" s="78" t="s">
        <v>1395</v>
      </c>
    </row>
    <row r="50" spans="1:44" ht="94.5" x14ac:dyDescent="0.25">
      <c r="A50" s="77">
        <v>47</v>
      </c>
      <c r="B50" s="78" t="s">
        <v>14</v>
      </c>
      <c r="C50" s="78" t="s">
        <v>14</v>
      </c>
      <c r="D50" s="78" t="s">
        <v>15</v>
      </c>
      <c r="E50" s="77"/>
      <c r="F50" s="79"/>
      <c r="G50" s="80"/>
      <c r="H50" s="81">
        <f t="shared" si="0"/>
        <v>0</v>
      </c>
      <c r="I50" s="82"/>
      <c r="J50" s="77"/>
      <c r="K50" s="100">
        <v>1</v>
      </c>
      <c r="L50" s="101">
        <v>1</v>
      </c>
      <c r="M50" s="85">
        <f t="shared" si="1"/>
        <v>1</v>
      </c>
      <c r="N50" s="78" t="s">
        <v>1087</v>
      </c>
      <c r="O50" s="77"/>
      <c r="P50" s="100">
        <v>1</v>
      </c>
      <c r="Q50" s="101">
        <v>1</v>
      </c>
      <c r="R50" s="85">
        <f t="shared" si="2"/>
        <v>1</v>
      </c>
      <c r="S50" s="78" t="s">
        <v>1087</v>
      </c>
      <c r="T50" s="77"/>
      <c r="U50" s="79"/>
      <c r="V50" s="80"/>
      <c r="W50" s="81">
        <f t="shared" si="3"/>
        <v>0</v>
      </c>
      <c r="X50" s="82"/>
      <c r="Y50" s="77"/>
      <c r="Z50" s="79"/>
      <c r="AA50" s="80"/>
      <c r="AB50" s="81">
        <f t="shared" si="4"/>
        <v>0</v>
      </c>
      <c r="AC50" s="82"/>
      <c r="AD50" s="77"/>
      <c r="AE50" s="79"/>
      <c r="AF50" s="80"/>
      <c r="AG50" s="81">
        <f t="shared" si="5"/>
        <v>0</v>
      </c>
      <c r="AH50" s="82"/>
      <c r="AI50" s="77"/>
      <c r="AJ50" s="100">
        <v>1</v>
      </c>
      <c r="AK50" s="101">
        <v>0.9</v>
      </c>
      <c r="AL50" s="85">
        <f t="shared" si="6"/>
        <v>0.9</v>
      </c>
      <c r="AM50" s="78" t="s">
        <v>1133</v>
      </c>
      <c r="AN50" s="77"/>
      <c r="AO50" s="100">
        <v>1</v>
      </c>
      <c r="AP50" s="101">
        <v>1</v>
      </c>
      <c r="AQ50" s="85">
        <f t="shared" si="7"/>
        <v>1</v>
      </c>
      <c r="AR50" s="78" t="s">
        <v>1087</v>
      </c>
    </row>
    <row r="51" spans="1:44" ht="315" customHeight="1" x14ac:dyDescent="0.25">
      <c r="A51" s="77">
        <v>48</v>
      </c>
      <c r="B51" s="78" t="s">
        <v>14</v>
      </c>
      <c r="C51" s="78" t="s">
        <v>14</v>
      </c>
      <c r="D51" s="78" t="s">
        <v>73</v>
      </c>
      <c r="E51" s="77"/>
      <c r="F51" s="79"/>
      <c r="G51" s="80"/>
      <c r="H51" s="81">
        <f t="shared" si="0"/>
        <v>0</v>
      </c>
      <c r="I51" s="82"/>
      <c r="J51" s="77"/>
      <c r="K51" s="100">
        <v>1</v>
      </c>
      <c r="L51" s="101">
        <v>0.85</v>
      </c>
      <c r="M51" s="85">
        <f t="shared" si="1"/>
        <v>0.85</v>
      </c>
      <c r="N51" s="78" t="s">
        <v>1143</v>
      </c>
      <c r="O51" s="77"/>
      <c r="P51" s="100">
        <v>1</v>
      </c>
      <c r="Q51" s="101">
        <v>0.95</v>
      </c>
      <c r="R51" s="85">
        <f t="shared" si="2"/>
        <v>0.95</v>
      </c>
      <c r="S51" s="78" t="s">
        <v>1088</v>
      </c>
      <c r="T51" s="77"/>
      <c r="U51" s="79"/>
      <c r="V51" s="80"/>
      <c r="W51" s="81">
        <f t="shared" si="3"/>
        <v>0</v>
      </c>
      <c r="X51" s="82"/>
      <c r="Y51" s="77"/>
      <c r="Z51" s="79"/>
      <c r="AA51" s="80"/>
      <c r="AB51" s="81">
        <f t="shared" si="4"/>
        <v>0</v>
      </c>
      <c r="AC51" s="82"/>
      <c r="AD51" s="77"/>
      <c r="AE51" s="79"/>
      <c r="AF51" s="80"/>
      <c r="AG51" s="81">
        <f t="shared" si="5"/>
        <v>0</v>
      </c>
      <c r="AH51" s="82"/>
      <c r="AI51" s="77"/>
      <c r="AJ51" s="100">
        <v>1</v>
      </c>
      <c r="AK51" s="101">
        <v>0.2</v>
      </c>
      <c r="AL51" s="85">
        <f t="shared" si="6"/>
        <v>0.2</v>
      </c>
      <c r="AM51" s="78" t="s">
        <v>1134</v>
      </c>
      <c r="AN51" s="77"/>
      <c r="AO51" s="100">
        <v>1</v>
      </c>
      <c r="AP51" s="101">
        <v>0.4</v>
      </c>
      <c r="AQ51" s="85">
        <f t="shared" si="7"/>
        <v>0.4</v>
      </c>
      <c r="AR51" s="78" t="s">
        <v>1480</v>
      </c>
    </row>
    <row r="52" spans="1:44" ht="124.5" customHeight="1" x14ac:dyDescent="0.25">
      <c r="A52" s="77">
        <v>49</v>
      </c>
      <c r="B52" s="78" t="s">
        <v>14</v>
      </c>
      <c r="C52" s="78" t="s">
        <v>14</v>
      </c>
      <c r="D52" s="78" t="s">
        <v>74</v>
      </c>
      <c r="E52" s="77"/>
      <c r="F52" s="79"/>
      <c r="G52" s="80"/>
      <c r="H52" s="81">
        <f t="shared" si="0"/>
        <v>0</v>
      </c>
      <c r="I52" s="82"/>
      <c r="J52" s="77"/>
      <c r="K52" s="100">
        <v>1</v>
      </c>
      <c r="L52" s="101">
        <v>0.9</v>
      </c>
      <c r="M52" s="85">
        <f t="shared" si="1"/>
        <v>0.9</v>
      </c>
      <c r="N52" s="78" t="s">
        <v>1147</v>
      </c>
      <c r="O52" s="77"/>
      <c r="P52" s="100">
        <v>1</v>
      </c>
      <c r="Q52" s="101">
        <v>0.7</v>
      </c>
      <c r="R52" s="85">
        <f t="shared" si="2"/>
        <v>0.7</v>
      </c>
      <c r="S52" s="78" t="s">
        <v>1121</v>
      </c>
      <c r="T52" s="77"/>
      <c r="U52" s="79"/>
      <c r="V52" s="80"/>
      <c r="W52" s="81">
        <f t="shared" si="3"/>
        <v>0</v>
      </c>
      <c r="X52" s="82"/>
      <c r="Y52" s="77"/>
      <c r="Z52" s="79"/>
      <c r="AA52" s="80"/>
      <c r="AB52" s="81">
        <f t="shared" si="4"/>
        <v>0</v>
      </c>
      <c r="AC52" s="82"/>
      <c r="AD52" s="77"/>
      <c r="AE52" s="79"/>
      <c r="AF52" s="80"/>
      <c r="AG52" s="81">
        <f t="shared" si="5"/>
        <v>0</v>
      </c>
      <c r="AH52" s="82"/>
      <c r="AI52" s="77"/>
      <c r="AJ52" s="100">
        <v>1</v>
      </c>
      <c r="AK52" s="101">
        <v>0.2</v>
      </c>
      <c r="AL52" s="85">
        <f t="shared" si="6"/>
        <v>0.2</v>
      </c>
      <c r="AM52" s="78" t="s">
        <v>1148</v>
      </c>
      <c r="AN52" s="77"/>
      <c r="AO52" s="100">
        <v>1</v>
      </c>
      <c r="AP52" s="101">
        <v>0.7</v>
      </c>
      <c r="AQ52" s="85">
        <f t="shared" si="7"/>
        <v>0.7</v>
      </c>
      <c r="AR52" s="78" t="s">
        <v>1139</v>
      </c>
    </row>
    <row r="53" spans="1:44" ht="138" customHeight="1" x14ac:dyDescent="0.25">
      <c r="A53" s="77">
        <v>50</v>
      </c>
      <c r="B53" s="78" t="s">
        <v>14</v>
      </c>
      <c r="C53" s="78" t="s">
        <v>14</v>
      </c>
      <c r="D53" s="78" t="s">
        <v>75</v>
      </c>
      <c r="E53" s="77"/>
      <c r="F53" s="79"/>
      <c r="G53" s="80"/>
      <c r="H53" s="81">
        <f t="shared" si="0"/>
        <v>0</v>
      </c>
      <c r="I53" s="82"/>
      <c r="J53" s="77"/>
      <c r="K53" s="100">
        <v>1</v>
      </c>
      <c r="L53" s="101">
        <v>1</v>
      </c>
      <c r="M53" s="85">
        <f t="shared" si="1"/>
        <v>1</v>
      </c>
      <c r="N53" s="78" t="s">
        <v>1087</v>
      </c>
      <c r="O53" s="77"/>
      <c r="P53" s="100">
        <v>1</v>
      </c>
      <c r="Q53" s="101">
        <v>1</v>
      </c>
      <c r="R53" s="85">
        <f t="shared" si="2"/>
        <v>1</v>
      </c>
      <c r="S53" s="78" t="s">
        <v>1087</v>
      </c>
      <c r="T53" s="77"/>
      <c r="U53" s="79"/>
      <c r="V53" s="80"/>
      <c r="W53" s="81">
        <f t="shared" si="3"/>
        <v>0</v>
      </c>
      <c r="X53" s="82"/>
      <c r="Y53" s="77"/>
      <c r="Z53" s="79"/>
      <c r="AA53" s="80"/>
      <c r="AB53" s="81">
        <f t="shared" si="4"/>
        <v>0</v>
      </c>
      <c r="AC53" s="82"/>
      <c r="AD53" s="77"/>
      <c r="AE53" s="79"/>
      <c r="AF53" s="80"/>
      <c r="AG53" s="81">
        <f t="shared" si="5"/>
        <v>0</v>
      </c>
      <c r="AH53" s="82"/>
      <c r="AI53" s="77"/>
      <c r="AJ53" s="100">
        <v>1</v>
      </c>
      <c r="AK53" s="101">
        <v>0.85</v>
      </c>
      <c r="AL53" s="85">
        <f t="shared" si="6"/>
        <v>0.85</v>
      </c>
      <c r="AM53" s="78" t="s">
        <v>1136</v>
      </c>
      <c r="AN53" s="77"/>
      <c r="AO53" s="100">
        <v>1</v>
      </c>
      <c r="AP53" s="101">
        <v>1</v>
      </c>
      <c r="AQ53" s="85">
        <f t="shared" si="7"/>
        <v>1</v>
      </c>
      <c r="AR53" s="78" t="s">
        <v>1087</v>
      </c>
    </row>
    <row r="54" spans="1:44" ht="109.5" customHeight="1" x14ac:dyDescent="0.25">
      <c r="A54" s="77">
        <v>51</v>
      </c>
      <c r="B54" s="78" t="s">
        <v>14</v>
      </c>
      <c r="C54" s="78" t="s">
        <v>14</v>
      </c>
      <c r="D54" s="78" t="s">
        <v>76</v>
      </c>
      <c r="E54" s="77"/>
      <c r="F54" s="79"/>
      <c r="G54" s="80"/>
      <c r="H54" s="81">
        <f t="shared" si="0"/>
        <v>0</v>
      </c>
      <c r="I54" s="82"/>
      <c r="J54" s="77"/>
      <c r="K54" s="100">
        <v>1</v>
      </c>
      <c r="L54" s="101">
        <v>1</v>
      </c>
      <c r="M54" s="85">
        <f t="shared" si="1"/>
        <v>1</v>
      </c>
      <c r="N54" s="78" t="s">
        <v>1087</v>
      </c>
      <c r="O54" s="77"/>
      <c r="P54" s="100">
        <v>1</v>
      </c>
      <c r="Q54" s="101">
        <v>1</v>
      </c>
      <c r="R54" s="85">
        <f t="shared" si="2"/>
        <v>1</v>
      </c>
      <c r="S54" s="78" t="s">
        <v>1087</v>
      </c>
      <c r="T54" s="77"/>
      <c r="U54" s="79"/>
      <c r="V54" s="80"/>
      <c r="W54" s="81">
        <f t="shared" si="3"/>
        <v>0</v>
      </c>
      <c r="X54" s="82"/>
      <c r="Y54" s="77"/>
      <c r="Z54" s="79"/>
      <c r="AA54" s="80"/>
      <c r="AB54" s="81">
        <f t="shared" si="4"/>
        <v>0</v>
      </c>
      <c r="AC54" s="82"/>
      <c r="AD54" s="77"/>
      <c r="AE54" s="79"/>
      <c r="AF54" s="80"/>
      <c r="AG54" s="81">
        <f t="shared" si="5"/>
        <v>0</v>
      </c>
      <c r="AH54" s="82"/>
      <c r="AI54" s="77"/>
      <c r="AJ54" s="100">
        <v>1</v>
      </c>
      <c r="AK54" s="101">
        <v>1</v>
      </c>
      <c r="AL54" s="85">
        <f t="shared" si="6"/>
        <v>1</v>
      </c>
      <c r="AM54" s="78" t="s">
        <v>1087</v>
      </c>
      <c r="AN54" s="77"/>
      <c r="AO54" s="100">
        <v>1</v>
      </c>
      <c r="AP54" s="101">
        <v>1</v>
      </c>
      <c r="AQ54" s="85">
        <f t="shared" si="7"/>
        <v>1</v>
      </c>
      <c r="AR54" s="78" t="s">
        <v>1087</v>
      </c>
    </row>
    <row r="55" spans="1:44" ht="315" x14ac:dyDescent="0.25">
      <c r="A55" s="77">
        <v>52</v>
      </c>
      <c r="B55" s="78" t="s">
        <v>14</v>
      </c>
      <c r="C55" s="78" t="s">
        <v>14</v>
      </c>
      <c r="D55" s="78" t="s">
        <v>77</v>
      </c>
      <c r="E55" s="77"/>
      <c r="F55" s="79"/>
      <c r="G55" s="80"/>
      <c r="H55" s="81">
        <f t="shared" si="0"/>
        <v>0</v>
      </c>
      <c r="I55" s="82"/>
      <c r="J55" s="77"/>
      <c r="K55" s="100">
        <v>1</v>
      </c>
      <c r="L55" s="101">
        <v>0.95</v>
      </c>
      <c r="M55" s="85">
        <f t="shared" si="1"/>
        <v>0.95</v>
      </c>
      <c r="N55" s="78" t="s">
        <v>1124</v>
      </c>
      <c r="O55" s="77"/>
      <c r="P55" s="100">
        <v>1</v>
      </c>
      <c r="Q55" s="101">
        <v>0.8</v>
      </c>
      <c r="R55" s="85">
        <f t="shared" si="2"/>
        <v>0.8</v>
      </c>
      <c r="S55" s="78" t="s">
        <v>1126</v>
      </c>
      <c r="T55" s="77"/>
      <c r="U55" s="79"/>
      <c r="V55" s="80"/>
      <c r="W55" s="81">
        <f t="shared" si="3"/>
        <v>0</v>
      </c>
      <c r="X55" s="82"/>
      <c r="Y55" s="77"/>
      <c r="Z55" s="79"/>
      <c r="AA55" s="80"/>
      <c r="AB55" s="81">
        <f t="shared" si="4"/>
        <v>0</v>
      </c>
      <c r="AC55" s="82"/>
      <c r="AD55" s="77"/>
      <c r="AE55" s="79"/>
      <c r="AF55" s="80"/>
      <c r="AG55" s="81">
        <f t="shared" si="5"/>
        <v>0</v>
      </c>
      <c r="AH55" s="82"/>
      <c r="AI55" s="77"/>
      <c r="AJ55" s="100">
        <v>1</v>
      </c>
      <c r="AK55" s="101">
        <v>0.1</v>
      </c>
      <c r="AL55" s="85">
        <f t="shared" si="6"/>
        <v>0.1</v>
      </c>
      <c r="AM55" s="78" t="s">
        <v>1137</v>
      </c>
      <c r="AN55" s="77"/>
      <c r="AO55" s="100">
        <v>1</v>
      </c>
      <c r="AP55" s="101">
        <v>0.75</v>
      </c>
      <c r="AQ55" s="85">
        <f t="shared" si="7"/>
        <v>0.75</v>
      </c>
      <c r="AR55" s="78" t="s">
        <v>1140</v>
      </c>
    </row>
    <row r="56" spans="1:44" ht="79.5" customHeight="1" x14ac:dyDescent="0.25">
      <c r="A56" s="77">
        <v>53</v>
      </c>
      <c r="B56" s="78" t="s">
        <v>14</v>
      </c>
      <c r="C56" s="78" t="s">
        <v>14</v>
      </c>
      <c r="D56" s="78" t="s">
        <v>78</v>
      </c>
      <c r="E56" s="77"/>
      <c r="F56" s="79">
        <v>1</v>
      </c>
      <c r="G56" s="80"/>
      <c r="H56" s="81">
        <f t="shared" si="0"/>
        <v>0</v>
      </c>
      <c r="I56" s="82"/>
      <c r="J56" s="77"/>
      <c r="K56" s="100">
        <v>1</v>
      </c>
      <c r="L56" s="101">
        <v>1</v>
      </c>
      <c r="M56" s="85">
        <f t="shared" si="1"/>
        <v>1</v>
      </c>
      <c r="N56" s="78" t="s">
        <v>1087</v>
      </c>
      <c r="O56" s="77"/>
      <c r="P56" s="100">
        <v>1</v>
      </c>
      <c r="Q56" s="101">
        <v>0.9</v>
      </c>
      <c r="R56" s="85">
        <f t="shared" si="2"/>
        <v>0.9</v>
      </c>
      <c r="S56" s="78" t="s">
        <v>1097</v>
      </c>
      <c r="T56" s="77"/>
      <c r="U56" s="79"/>
      <c r="V56" s="80"/>
      <c r="W56" s="81">
        <f t="shared" si="3"/>
        <v>0</v>
      </c>
      <c r="X56" s="77"/>
      <c r="Y56" s="77"/>
      <c r="Z56" s="79"/>
      <c r="AA56" s="80"/>
      <c r="AB56" s="81">
        <f t="shared" si="4"/>
        <v>0</v>
      </c>
      <c r="AC56" s="77"/>
      <c r="AD56" s="77"/>
      <c r="AE56" s="79"/>
      <c r="AF56" s="80"/>
      <c r="AG56" s="81">
        <f t="shared" si="5"/>
        <v>0</v>
      </c>
      <c r="AH56" s="77"/>
      <c r="AI56" s="77"/>
      <c r="AJ56" s="100">
        <v>1</v>
      </c>
      <c r="AK56" s="101">
        <v>1</v>
      </c>
      <c r="AL56" s="85">
        <f t="shared" si="6"/>
        <v>1</v>
      </c>
      <c r="AM56" s="78" t="s">
        <v>1087</v>
      </c>
      <c r="AN56" s="77"/>
      <c r="AO56" s="100">
        <v>1</v>
      </c>
      <c r="AP56" s="101">
        <v>1</v>
      </c>
      <c r="AQ56" s="85">
        <f t="shared" si="7"/>
        <v>1</v>
      </c>
      <c r="AR56" s="117" t="s">
        <v>1087</v>
      </c>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0687BFF5-05BB-4A99-BB38-6B8207D4DC5B}">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6EC659D8-1E35-485C-A347-0DFF408A31D9}">
          <x14:formula1>
            <xm:f>'C:\Users\michele.cerqueira\AppData\Local\Microsoft\Windows\INetCache\Content.Outlook\CUTOBPMD\[ESTUDOS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R56"/>
  <sheetViews>
    <sheetView zoomScale="70" zoomScaleNormal="70" workbookViewId="0">
      <pane xSplit="4" ySplit="3" topLeftCell="L9" activePane="bottomRight" state="frozen"/>
      <selection pane="topRight" activeCell="E1" sqref="E1"/>
      <selection pane="bottomLeft" activeCell="A4" sqref="A4"/>
      <selection pane="bottomRight" activeCell="S10" sqref="S10"/>
    </sheetView>
  </sheetViews>
  <sheetFormatPr defaultRowHeight="15" x14ac:dyDescent="0.25"/>
  <cols>
    <col min="1" max="1" width="4.7109375" style="73" bestFit="1" customWidth="1"/>
    <col min="2" max="2" width="16.5703125" style="74" bestFit="1" customWidth="1"/>
    <col min="3" max="3" width="20.7109375" style="74" customWidth="1"/>
    <col min="4" max="4" width="44.42578125" style="74" customWidth="1"/>
    <col min="5" max="5" width="2.42578125" style="74" customWidth="1"/>
    <col min="6" max="6" width="20.140625" style="74" hidden="1" customWidth="1"/>
    <col min="7" max="7" width="14.28515625" style="74" hidden="1" customWidth="1"/>
    <col min="8" max="8" width="0" style="74" hidden="1" customWidth="1"/>
    <col min="9" max="9" width="52.85546875" style="110" hidden="1" customWidth="1"/>
    <col min="10" max="10" width="1.85546875" style="74" hidden="1" customWidth="1"/>
    <col min="11" max="11" width="20.28515625" style="75" bestFit="1" customWidth="1"/>
    <col min="12" max="12" width="14.42578125" style="75" bestFit="1" customWidth="1"/>
    <col min="13" max="13" width="9.28515625" style="75" bestFit="1" customWidth="1"/>
    <col min="14" max="14" width="58.140625" style="74" customWidth="1"/>
    <col min="15" max="15" width="1.5703125" style="74" customWidth="1"/>
    <col min="16" max="16" width="20.28515625" style="75" bestFit="1" customWidth="1"/>
    <col min="17" max="17" width="14.42578125" style="75" bestFit="1" customWidth="1"/>
    <col min="18" max="18" width="9.28515625" style="75" bestFit="1" customWidth="1"/>
    <col min="19" max="19" width="83.42578125" style="74" customWidth="1"/>
    <col min="20" max="20" width="3.140625" style="74" customWidth="1"/>
    <col min="21" max="21" width="13.28515625" style="74" hidden="1" customWidth="1"/>
    <col min="22" max="22" width="12.42578125" style="74" hidden="1" customWidth="1"/>
    <col min="23" max="23" width="0" style="74" hidden="1" customWidth="1"/>
    <col min="24" max="24" width="66.140625" style="74" hidden="1" customWidth="1"/>
    <col min="25" max="25" width="0" style="74" hidden="1" customWidth="1"/>
    <col min="26" max="26" width="14.140625" style="74" hidden="1" customWidth="1"/>
    <col min="27" max="27" width="12.85546875" style="74" hidden="1" customWidth="1"/>
    <col min="28" max="28" width="0" style="74" hidden="1" customWidth="1"/>
    <col min="29" max="29" width="69" style="74" hidden="1" customWidth="1"/>
    <col min="30" max="30" width="0" style="74" hidden="1" customWidth="1"/>
    <col min="31" max="31" width="13.85546875" style="74" hidden="1" customWidth="1"/>
    <col min="32" max="32" width="11.85546875" style="74" hidden="1" customWidth="1"/>
    <col min="33" max="33" width="0" style="74" hidden="1" customWidth="1"/>
    <col min="34" max="34" width="77.140625" style="74" hidden="1" customWidth="1"/>
    <col min="35" max="35" width="0" style="74" hidden="1" customWidth="1"/>
    <col min="36" max="36" width="13.42578125" style="75" customWidth="1"/>
    <col min="37" max="37" width="12.42578125" style="75" customWidth="1"/>
    <col min="38" max="38" width="9.28515625" style="75" bestFit="1" customWidth="1"/>
    <col min="39" max="39" width="93.7109375" style="74" customWidth="1"/>
    <col min="40" max="40" width="4.42578125" style="74" customWidth="1"/>
    <col min="41" max="41" width="15.28515625" style="75" customWidth="1"/>
    <col min="42" max="42" width="12.85546875" style="75" customWidth="1"/>
    <col min="43" max="43" width="9.28515625" style="75" bestFit="1" customWidth="1"/>
    <col min="44" max="44" width="120" style="74" customWidth="1"/>
    <col min="45" max="16384" width="9.140625" style="74"/>
  </cols>
  <sheetData>
    <row r="1" spans="1:44" x14ac:dyDescent="0.25">
      <c r="I1" s="74"/>
    </row>
    <row r="2" spans="1:44" ht="39.75" customHeight="1" x14ac:dyDescent="0.25">
      <c r="B2" s="233" t="s">
        <v>16</v>
      </c>
      <c r="C2" s="233"/>
      <c r="D2" s="233"/>
      <c r="F2" s="232" t="s">
        <v>121</v>
      </c>
      <c r="G2" s="232"/>
      <c r="H2" s="232"/>
      <c r="I2" s="232"/>
      <c r="K2" s="234" t="s">
        <v>119</v>
      </c>
      <c r="L2" s="235"/>
      <c r="M2" s="235"/>
      <c r="N2" s="236"/>
      <c r="P2" s="233" t="s">
        <v>120</v>
      </c>
      <c r="Q2" s="233"/>
      <c r="R2" s="233"/>
      <c r="S2" s="233"/>
      <c r="U2" s="232" t="s">
        <v>122</v>
      </c>
      <c r="V2" s="232"/>
      <c r="W2" s="232"/>
      <c r="X2" s="232"/>
      <c r="Z2" s="232" t="s">
        <v>123</v>
      </c>
      <c r="AA2" s="232"/>
      <c r="AB2" s="232"/>
      <c r="AC2" s="232"/>
      <c r="AE2" s="232" t="s">
        <v>124</v>
      </c>
      <c r="AF2" s="232"/>
      <c r="AG2" s="232"/>
      <c r="AH2" s="232"/>
      <c r="AJ2" s="233" t="s">
        <v>125</v>
      </c>
      <c r="AK2" s="233"/>
      <c r="AL2" s="233"/>
      <c r="AM2" s="233"/>
      <c r="AO2" s="233" t="s">
        <v>1318</v>
      </c>
      <c r="AP2" s="233"/>
      <c r="AQ2" s="233"/>
      <c r="AR2" s="233"/>
    </row>
    <row r="3" spans="1:44" ht="69" customHeight="1" x14ac:dyDescent="0.25">
      <c r="B3" s="66" t="s">
        <v>0</v>
      </c>
      <c r="C3" s="66" t="s">
        <v>1</v>
      </c>
      <c r="D3" s="66" t="s">
        <v>2</v>
      </c>
      <c r="F3" s="67" t="s">
        <v>17</v>
      </c>
      <c r="G3" s="67" t="s">
        <v>18</v>
      </c>
      <c r="H3" s="67" t="s">
        <v>21</v>
      </c>
      <c r="I3" s="67" t="s">
        <v>19</v>
      </c>
      <c r="K3" s="70" t="s">
        <v>17</v>
      </c>
      <c r="L3" s="70" t="s">
        <v>18</v>
      </c>
      <c r="M3" s="70" t="s">
        <v>21</v>
      </c>
      <c r="N3" s="67" t="s">
        <v>19</v>
      </c>
      <c r="P3" s="70" t="s">
        <v>17</v>
      </c>
      <c r="Q3" s="70" t="s">
        <v>18</v>
      </c>
      <c r="R3" s="70" t="s">
        <v>21</v>
      </c>
      <c r="S3" s="67" t="s">
        <v>19</v>
      </c>
      <c r="U3" s="67" t="s">
        <v>17</v>
      </c>
      <c r="V3" s="67" t="s">
        <v>18</v>
      </c>
      <c r="W3" s="67" t="s">
        <v>21</v>
      </c>
      <c r="X3" s="67" t="s">
        <v>19</v>
      </c>
      <c r="Z3" s="67" t="s">
        <v>17</v>
      </c>
      <c r="AA3" s="67" t="s">
        <v>18</v>
      </c>
      <c r="AB3" s="67" t="s">
        <v>21</v>
      </c>
      <c r="AC3" s="67" t="s">
        <v>19</v>
      </c>
      <c r="AE3" s="67" t="s">
        <v>17</v>
      </c>
      <c r="AF3" s="67" t="s">
        <v>18</v>
      </c>
      <c r="AG3" s="67" t="s">
        <v>21</v>
      </c>
      <c r="AH3" s="67" t="s">
        <v>19</v>
      </c>
      <c r="AJ3" s="70" t="s">
        <v>17</v>
      </c>
      <c r="AK3" s="70" t="s">
        <v>18</v>
      </c>
      <c r="AL3" s="70" t="s">
        <v>21</v>
      </c>
      <c r="AM3" s="67" t="s">
        <v>19</v>
      </c>
      <c r="AO3" s="70" t="s">
        <v>17</v>
      </c>
      <c r="AP3" s="70" t="s">
        <v>18</v>
      </c>
      <c r="AQ3" s="70" t="s">
        <v>21</v>
      </c>
      <c r="AR3" s="67" t="s">
        <v>19</v>
      </c>
    </row>
    <row r="4" spans="1:44" ht="173.25" x14ac:dyDescent="0.25">
      <c r="A4" s="77">
        <v>1</v>
      </c>
      <c r="B4" s="78" t="s">
        <v>3</v>
      </c>
      <c r="C4" s="78" t="s">
        <v>4</v>
      </c>
      <c r="D4" s="78" t="s">
        <v>127</v>
      </c>
      <c r="E4" s="77"/>
      <c r="F4" s="79"/>
      <c r="G4" s="80"/>
      <c r="H4" s="81">
        <f>F4*G4</f>
        <v>0</v>
      </c>
      <c r="I4" s="82"/>
      <c r="J4" s="77"/>
      <c r="K4" s="83">
        <v>1</v>
      </c>
      <c r="L4" s="84">
        <v>0.99</v>
      </c>
      <c r="M4" s="85">
        <f>K4*L4</f>
        <v>0.99</v>
      </c>
      <c r="N4" s="87" t="s">
        <v>1197</v>
      </c>
      <c r="O4" s="77"/>
      <c r="P4" s="83">
        <v>1</v>
      </c>
      <c r="Q4" s="84">
        <v>0.8</v>
      </c>
      <c r="R4" s="85">
        <f>P4*Q4</f>
        <v>0.8</v>
      </c>
      <c r="S4" s="86" t="s">
        <v>1417</v>
      </c>
      <c r="T4" s="77"/>
      <c r="U4" s="79"/>
      <c r="V4" s="80"/>
      <c r="W4" s="81">
        <f>U4*V4</f>
        <v>0</v>
      </c>
      <c r="X4" s="82"/>
      <c r="Y4" s="77"/>
      <c r="Z4" s="79"/>
      <c r="AA4" s="80"/>
      <c r="AB4" s="81">
        <f>Z4*AA4</f>
        <v>0</v>
      </c>
      <c r="AC4" s="82"/>
      <c r="AD4" s="77"/>
      <c r="AE4" s="79"/>
      <c r="AF4" s="80"/>
      <c r="AG4" s="81">
        <f>AE4*AF4</f>
        <v>0</v>
      </c>
      <c r="AH4" s="82"/>
      <c r="AI4" s="77"/>
      <c r="AJ4" s="83">
        <v>1</v>
      </c>
      <c r="AK4" s="84">
        <v>0.4</v>
      </c>
      <c r="AL4" s="85">
        <f>AJ4*AK4</f>
        <v>0.4</v>
      </c>
      <c r="AM4" s="87" t="s">
        <v>1443</v>
      </c>
      <c r="AN4" s="77"/>
      <c r="AO4" s="83">
        <v>1</v>
      </c>
      <c r="AP4" s="84">
        <v>0.4</v>
      </c>
      <c r="AQ4" s="85">
        <f>AO4*AP4</f>
        <v>0.4</v>
      </c>
      <c r="AR4" s="86" t="s">
        <v>1188</v>
      </c>
    </row>
    <row r="5" spans="1:44" ht="225" customHeight="1" x14ac:dyDescent="0.25">
      <c r="A5" s="77">
        <v>2</v>
      </c>
      <c r="B5" s="78" t="s">
        <v>3</v>
      </c>
      <c r="C5" s="78" t="s">
        <v>4</v>
      </c>
      <c r="D5" s="78" t="s">
        <v>33</v>
      </c>
      <c r="E5" s="77"/>
      <c r="F5" s="79"/>
      <c r="G5" s="80"/>
      <c r="H5" s="81">
        <f t="shared" ref="H5:H56" si="0">F5*G5</f>
        <v>0</v>
      </c>
      <c r="I5" s="82"/>
      <c r="J5" s="77"/>
      <c r="K5" s="111">
        <v>1</v>
      </c>
      <c r="L5" s="112">
        <v>1</v>
      </c>
      <c r="M5" s="85">
        <f t="shared" ref="M5:M56" si="1">K5*L5</f>
        <v>1</v>
      </c>
      <c r="N5" s="113"/>
      <c r="O5" s="77"/>
      <c r="P5" s="111">
        <v>1</v>
      </c>
      <c r="Q5" s="112">
        <v>0.75</v>
      </c>
      <c r="R5" s="85">
        <f t="shared" ref="R5:R56" si="2">P5*Q5</f>
        <v>0.75</v>
      </c>
      <c r="S5" s="114" t="s">
        <v>1419</v>
      </c>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111">
        <v>1</v>
      </c>
      <c r="AK5" s="112">
        <v>0.6</v>
      </c>
      <c r="AL5" s="85">
        <f t="shared" ref="AL5:AL56" si="6">AJ5*AK5</f>
        <v>0.6</v>
      </c>
      <c r="AM5" s="113" t="s">
        <v>1420</v>
      </c>
      <c r="AN5" s="77"/>
      <c r="AO5" s="111">
        <v>1</v>
      </c>
      <c r="AP5" s="112">
        <v>0.1</v>
      </c>
      <c r="AQ5" s="85">
        <f t="shared" ref="AQ5:AQ56" si="7">AO5*AP5</f>
        <v>0.1</v>
      </c>
      <c r="AR5" s="113" t="s">
        <v>1263</v>
      </c>
    </row>
    <row r="6" spans="1:44" ht="409.5" customHeight="1" x14ac:dyDescent="0.25">
      <c r="A6" s="77">
        <v>3</v>
      </c>
      <c r="B6" s="78" t="s">
        <v>3</v>
      </c>
      <c r="C6" s="78" t="s">
        <v>4</v>
      </c>
      <c r="D6" s="78" t="s">
        <v>128</v>
      </c>
      <c r="E6" s="77"/>
      <c r="F6" s="79"/>
      <c r="G6" s="80"/>
      <c r="H6" s="81">
        <f t="shared" si="0"/>
        <v>0</v>
      </c>
      <c r="I6" s="82"/>
      <c r="J6" s="77"/>
      <c r="K6" s="83">
        <v>1</v>
      </c>
      <c r="L6" s="84">
        <v>1</v>
      </c>
      <c r="M6" s="85">
        <f t="shared" si="1"/>
        <v>1</v>
      </c>
      <c r="N6" s="87"/>
      <c r="O6" s="77"/>
      <c r="P6" s="83">
        <v>1</v>
      </c>
      <c r="Q6" s="84">
        <v>0.95</v>
      </c>
      <c r="R6" s="85">
        <f t="shared" si="2"/>
        <v>0.95</v>
      </c>
      <c r="S6" s="86" t="s">
        <v>1236</v>
      </c>
      <c r="T6" s="77"/>
      <c r="U6" s="79"/>
      <c r="V6" s="80"/>
      <c r="W6" s="81">
        <f t="shared" si="3"/>
        <v>0</v>
      </c>
      <c r="X6" s="82"/>
      <c r="Y6" s="77"/>
      <c r="Z6" s="79"/>
      <c r="AA6" s="80"/>
      <c r="AB6" s="81">
        <f t="shared" si="4"/>
        <v>0</v>
      </c>
      <c r="AC6" s="82"/>
      <c r="AD6" s="77"/>
      <c r="AE6" s="79"/>
      <c r="AF6" s="80"/>
      <c r="AG6" s="81">
        <f t="shared" si="5"/>
        <v>0</v>
      </c>
      <c r="AH6" s="82"/>
      <c r="AI6" s="77"/>
      <c r="AJ6" s="83">
        <v>1</v>
      </c>
      <c r="AK6" s="84">
        <v>0.85</v>
      </c>
      <c r="AL6" s="85">
        <f t="shared" si="6"/>
        <v>0.85</v>
      </c>
      <c r="AM6" s="87" t="s">
        <v>1240</v>
      </c>
      <c r="AN6" s="77"/>
      <c r="AO6" s="83">
        <v>1</v>
      </c>
      <c r="AP6" s="84">
        <v>0.3</v>
      </c>
      <c r="AQ6" s="85">
        <f t="shared" si="7"/>
        <v>0.3</v>
      </c>
      <c r="AR6" s="82" t="s">
        <v>1599</v>
      </c>
    </row>
    <row r="7" spans="1:44" ht="252" x14ac:dyDescent="0.25">
      <c r="A7" s="77">
        <v>4</v>
      </c>
      <c r="B7" s="78" t="s">
        <v>3</v>
      </c>
      <c r="C7" s="78" t="s">
        <v>4</v>
      </c>
      <c r="D7" s="78" t="s">
        <v>34</v>
      </c>
      <c r="E7" s="77"/>
      <c r="F7" s="79"/>
      <c r="G7" s="80"/>
      <c r="H7" s="81">
        <f t="shared" si="0"/>
        <v>0</v>
      </c>
      <c r="I7" s="82"/>
      <c r="J7" s="77"/>
      <c r="K7" s="111">
        <v>1</v>
      </c>
      <c r="L7" s="112">
        <v>0.94499999999999995</v>
      </c>
      <c r="M7" s="85">
        <f t="shared" si="1"/>
        <v>0.94499999999999995</v>
      </c>
      <c r="N7" s="113" t="s">
        <v>1496</v>
      </c>
      <c r="O7" s="77"/>
      <c r="P7" s="111">
        <v>1</v>
      </c>
      <c r="Q7" s="112">
        <v>0.98</v>
      </c>
      <c r="R7" s="85">
        <f t="shared" si="2"/>
        <v>0.98</v>
      </c>
      <c r="S7" s="114" t="s">
        <v>1253</v>
      </c>
      <c r="T7" s="77"/>
      <c r="U7" s="79"/>
      <c r="V7" s="80"/>
      <c r="W7" s="81">
        <f t="shared" si="3"/>
        <v>0</v>
      </c>
      <c r="X7" s="82"/>
      <c r="Y7" s="77"/>
      <c r="Z7" s="79"/>
      <c r="AA7" s="80"/>
      <c r="AB7" s="81">
        <f t="shared" si="4"/>
        <v>0</v>
      </c>
      <c r="AC7" s="82"/>
      <c r="AD7" s="77"/>
      <c r="AE7" s="79"/>
      <c r="AF7" s="80"/>
      <c r="AG7" s="81">
        <f t="shared" si="5"/>
        <v>0</v>
      </c>
      <c r="AH7" s="82"/>
      <c r="AI7" s="77"/>
      <c r="AJ7" s="111">
        <v>1</v>
      </c>
      <c r="AK7" s="112">
        <v>0.93</v>
      </c>
      <c r="AL7" s="85">
        <f t="shared" si="6"/>
        <v>0.93</v>
      </c>
      <c r="AM7" s="113" t="s">
        <v>1254</v>
      </c>
      <c r="AN7" s="77"/>
      <c r="AO7" s="111">
        <v>1</v>
      </c>
      <c r="AP7" s="112">
        <v>0.25</v>
      </c>
      <c r="AQ7" s="85">
        <f t="shared" si="7"/>
        <v>0.25</v>
      </c>
      <c r="AR7" s="113" t="s">
        <v>1603</v>
      </c>
    </row>
    <row r="8" spans="1:44" ht="236.25" x14ac:dyDescent="0.25">
      <c r="A8" s="77">
        <v>5</v>
      </c>
      <c r="B8" s="78" t="s">
        <v>3</v>
      </c>
      <c r="C8" s="78" t="s">
        <v>4</v>
      </c>
      <c r="D8" s="78" t="s">
        <v>35</v>
      </c>
      <c r="E8" s="77"/>
      <c r="F8" s="79"/>
      <c r="G8" s="80"/>
      <c r="H8" s="81">
        <f t="shared" si="0"/>
        <v>0</v>
      </c>
      <c r="I8" s="82"/>
      <c r="J8" s="77"/>
      <c r="K8" s="83">
        <v>1</v>
      </c>
      <c r="L8" s="84">
        <v>0.7</v>
      </c>
      <c r="M8" s="85">
        <f t="shared" si="1"/>
        <v>0.7</v>
      </c>
      <c r="N8" s="86" t="s">
        <v>1180</v>
      </c>
      <c r="O8" s="77"/>
      <c r="P8" s="83">
        <v>1</v>
      </c>
      <c r="Q8" s="84">
        <v>0.8</v>
      </c>
      <c r="R8" s="85">
        <f t="shared" si="2"/>
        <v>0.8</v>
      </c>
      <c r="S8" s="86" t="s">
        <v>1424</v>
      </c>
      <c r="T8" s="77"/>
      <c r="U8" s="79"/>
      <c r="V8" s="80"/>
      <c r="W8" s="81">
        <f t="shared" si="3"/>
        <v>0</v>
      </c>
      <c r="X8" s="78"/>
      <c r="Y8" s="77"/>
      <c r="Z8" s="79"/>
      <c r="AA8" s="80"/>
      <c r="AB8" s="81">
        <f t="shared" si="4"/>
        <v>0</v>
      </c>
      <c r="AC8" s="78"/>
      <c r="AD8" s="77"/>
      <c r="AE8" s="79"/>
      <c r="AF8" s="80"/>
      <c r="AG8" s="81">
        <f t="shared" si="5"/>
        <v>0</v>
      </c>
      <c r="AH8" s="78"/>
      <c r="AI8" s="77"/>
      <c r="AJ8" s="83">
        <v>1</v>
      </c>
      <c r="AK8" s="84">
        <v>0.95</v>
      </c>
      <c r="AL8" s="85">
        <f t="shared" si="6"/>
        <v>0.95</v>
      </c>
      <c r="AM8" s="87" t="s">
        <v>1241</v>
      </c>
      <c r="AN8" s="77"/>
      <c r="AO8" s="83">
        <v>1</v>
      </c>
      <c r="AP8" s="84">
        <v>0.3</v>
      </c>
      <c r="AQ8" s="85">
        <f t="shared" si="7"/>
        <v>0.3</v>
      </c>
      <c r="AR8" s="87" t="s">
        <v>1190</v>
      </c>
    </row>
    <row r="9" spans="1:44" ht="236.25" x14ac:dyDescent="0.25">
      <c r="A9" s="77">
        <v>6</v>
      </c>
      <c r="B9" s="78" t="s">
        <v>3</v>
      </c>
      <c r="C9" s="78" t="s">
        <v>4</v>
      </c>
      <c r="D9" s="78" t="s">
        <v>129</v>
      </c>
      <c r="E9" s="77"/>
      <c r="F9" s="79"/>
      <c r="G9" s="80"/>
      <c r="H9" s="81">
        <f t="shared" si="0"/>
        <v>0</v>
      </c>
      <c r="I9" s="78"/>
      <c r="J9" s="77"/>
      <c r="K9" s="111">
        <v>1</v>
      </c>
      <c r="L9" s="112">
        <v>0.79</v>
      </c>
      <c r="M9" s="85">
        <f t="shared" si="1"/>
        <v>0.79</v>
      </c>
      <c r="N9" s="113" t="s">
        <v>1623</v>
      </c>
      <c r="O9" s="77"/>
      <c r="P9" s="111">
        <v>1</v>
      </c>
      <c r="Q9" s="112">
        <v>0.95</v>
      </c>
      <c r="R9" s="85">
        <f t="shared" si="2"/>
        <v>0.95</v>
      </c>
      <c r="S9" s="113" t="s">
        <v>1633</v>
      </c>
      <c r="T9" s="77"/>
      <c r="U9" s="79"/>
      <c r="V9" s="80"/>
      <c r="W9" s="81">
        <f t="shared" si="3"/>
        <v>0</v>
      </c>
      <c r="X9" s="78"/>
      <c r="Y9" s="77"/>
      <c r="Z9" s="79"/>
      <c r="AA9" s="80"/>
      <c r="AB9" s="81">
        <f t="shared" si="4"/>
        <v>0</v>
      </c>
      <c r="AC9" s="78"/>
      <c r="AD9" s="77"/>
      <c r="AE9" s="79"/>
      <c r="AF9" s="80"/>
      <c r="AG9" s="81">
        <f t="shared" si="5"/>
        <v>0</v>
      </c>
      <c r="AH9" s="78"/>
      <c r="AI9" s="77"/>
      <c r="AJ9" s="111">
        <v>1</v>
      </c>
      <c r="AK9" s="112">
        <v>0.5</v>
      </c>
      <c r="AL9" s="85">
        <f t="shared" si="6"/>
        <v>0.5</v>
      </c>
      <c r="AM9" s="113" t="s">
        <v>1242</v>
      </c>
      <c r="AN9" s="77"/>
      <c r="AO9" s="111">
        <v>1</v>
      </c>
      <c r="AP9" s="112">
        <v>0.2</v>
      </c>
      <c r="AQ9" s="85">
        <f t="shared" si="7"/>
        <v>0.2</v>
      </c>
      <c r="AR9" s="113" t="s">
        <v>1619</v>
      </c>
    </row>
    <row r="10" spans="1:44" ht="173.25" x14ac:dyDescent="0.25">
      <c r="A10" s="77">
        <v>7</v>
      </c>
      <c r="B10" s="78" t="s">
        <v>3</v>
      </c>
      <c r="C10" s="78" t="s">
        <v>4</v>
      </c>
      <c r="D10" s="78" t="s">
        <v>36</v>
      </c>
      <c r="E10" s="77"/>
      <c r="F10" s="79"/>
      <c r="G10" s="80"/>
      <c r="H10" s="81">
        <f t="shared" si="0"/>
        <v>0</v>
      </c>
      <c r="I10" s="82"/>
      <c r="J10" s="77"/>
      <c r="K10" s="83">
        <v>1</v>
      </c>
      <c r="L10" s="84">
        <v>0.75</v>
      </c>
      <c r="M10" s="85">
        <f t="shared" si="1"/>
        <v>0.75</v>
      </c>
      <c r="N10" s="87" t="s">
        <v>1181</v>
      </c>
      <c r="O10" s="77"/>
      <c r="P10" s="83">
        <v>1</v>
      </c>
      <c r="Q10" s="84">
        <v>0.7</v>
      </c>
      <c r="R10" s="85">
        <f t="shared" si="2"/>
        <v>0.7</v>
      </c>
      <c r="S10" s="86" t="s">
        <v>1237</v>
      </c>
      <c r="T10" s="77"/>
      <c r="U10" s="79"/>
      <c r="V10" s="80"/>
      <c r="W10" s="81">
        <f t="shared" si="3"/>
        <v>0</v>
      </c>
      <c r="X10" s="82"/>
      <c r="Y10" s="77"/>
      <c r="Z10" s="79"/>
      <c r="AA10" s="80"/>
      <c r="AB10" s="81">
        <f t="shared" si="4"/>
        <v>0</v>
      </c>
      <c r="AC10" s="82"/>
      <c r="AD10" s="77"/>
      <c r="AE10" s="79"/>
      <c r="AF10" s="80"/>
      <c r="AG10" s="81">
        <f t="shared" si="5"/>
        <v>0</v>
      </c>
      <c r="AH10" s="82"/>
      <c r="AI10" s="77"/>
      <c r="AJ10" s="83">
        <v>1</v>
      </c>
      <c r="AK10" s="84">
        <v>0.4</v>
      </c>
      <c r="AL10" s="85">
        <f t="shared" si="6"/>
        <v>0.4</v>
      </c>
      <c r="AM10" s="87" t="s">
        <v>1243</v>
      </c>
      <c r="AN10" s="77"/>
      <c r="AO10" s="83">
        <v>1</v>
      </c>
      <c r="AP10" s="84">
        <v>0.2</v>
      </c>
      <c r="AQ10" s="85">
        <f t="shared" si="7"/>
        <v>0.2</v>
      </c>
      <c r="AR10" s="87" t="s">
        <v>1191</v>
      </c>
    </row>
    <row r="11" spans="1:44" ht="78.75" x14ac:dyDescent="0.25">
      <c r="A11" s="77">
        <v>8</v>
      </c>
      <c r="B11" s="78" t="s">
        <v>3</v>
      </c>
      <c r="C11" s="78" t="s">
        <v>4</v>
      </c>
      <c r="D11" s="78" t="s">
        <v>64</v>
      </c>
      <c r="E11" s="77"/>
      <c r="F11" s="79"/>
      <c r="G11" s="80"/>
      <c r="H11" s="81">
        <f t="shared" si="0"/>
        <v>0</v>
      </c>
      <c r="I11" s="78"/>
      <c r="J11" s="77"/>
      <c r="K11" s="111">
        <v>1</v>
      </c>
      <c r="L11" s="112">
        <v>1</v>
      </c>
      <c r="M11" s="85">
        <f t="shared" si="1"/>
        <v>1</v>
      </c>
      <c r="N11" s="113"/>
      <c r="O11" s="77"/>
      <c r="P11" s="111">
        <v>1</v>
      </c>
      <c r="Q11" s="112">
        <v>0.9</v>
      </c>
      <c r="R11" s="85">
        <f t="shared" si="2"/>
        <v>0.9</v>
      </c>
      <c r="S11" s="113" t="s">
        <v>1238</v>
      </c>
      <c r="T11" s="77"/>
      <c r="U11" s="79"/>
      <c r="V11" s="80"/>
      <c r="W11" s="81">
        <f t="shared" si="3"/>
        <v>0</v>
      </c>
      <c r="X11" s="82"/>
      <c r="Y11" s="77"/>
      <c r="Z11" s="79"/>
      <c r="AA11" s="80"/>
      <c r="AB11" s="81">
        <f t="shared" si="4"/>
        <v>0</v>
      </c>
      <c r="AC11" s="82"/>
      <c r="AD11" s="77"/>
      <c r="AE11" s="79"/>
      <c r="AF11" s="80"/>
      <c r="AG11" s="81">
        <f t="shared" si="5"/>
        <v>0</v>
      </c>
      <c r="AH11" s="82"/>
      <c r="AI11" s="77"/>
      <c r="AJ11" s="111">
        <v>1</v>
      </c>
      <c r="AK11" s="112">
        <v>0.5</v>
      </c>
      <c r="AL11" s="85">
        <f t="shared" si="6"/>
        <v>0.5</v>
      </c>
      <c r="AM11" s="113" t="s">
        <v>1244</v>
      </c>
      <c r="AN11" s="77"/>
      <c r="AO11" s="111">
        <v>1</v>
      </c>
      <c r="AP11" s="112">
        <v>0.15</v>
      </c>
      <c r="AQ11" s="85">
        <f t="shared" si="7"/>
        <v>0.15</v>
      </c>
      <c r="AR11" s="113" t="s">
        <v>1192</v>
      </c>
    </row>
    <row r="12" spans="1:44" ht="78.75" x14ac:dyDescent="0.25">
      <c r="A12" s="77">
        <v>9</v>
      </c>
      <c r="B12" s="78" t="s">
        <v>3</v>
      </c>
      <c r="C12" s="78" t="s">
        <v>5</v>
      </c>
      <c r="D12" s="78" t="s">
        <v>37</v>
      </c>
      <c r="E12" s="77"/>
      <c r="F12" s="79"/>
      <c r="G12" s="80"/>
      <c r="H12" s="81">
        <f t="shared" si="0"/>
        <v>0</v>
      </c>
      <c r="I12" s="82"/>
      <c r="J12" s="77"/>
      <c r="K12" s="83">
        <v>1</v>
      </c>
      <c r="L12" s="99">
        <v>0.6</v>
      </c>
      <c r="M12" s="85">
        <f t="shared" si="1"/>
        <v>0.6</v>
      </c>
      <c r="N12" s="86" t="s">
        <v>1198</v>
      </c>
      <c r="O12" s="77"/>
      <c r="P12" s="83">
        <v>1</v>
      </c>
      <c r="Q12" s="84">
        <v>1</v>
      </c>
      <c r="R12" s="85">
        <f t="shared" si="2"/>
        <v>1</v>
      </c>
      <c r="S12" s="115"/>
      <c r="T12" s="77"/>
      <c r="U12" s="79"/>
      <c r="V12" s="80"/>
      <c r="W12" s="81">
        <f t="shared" si="3"/>
        <v>0</v>
      </c>
      <c r="X12" s="82"/>
      <c r="Y12" s="77"/>
      <c r="Z12" s="79"/>
      <c r="AA12" s="80"/>
      <c r="AB12" s="81">
        <f t="shared" si="4"/>
        <v>0</v>
      </c>
      <c r="AC12" s="82"/>
      <c r="AD12" s="77"/>
      <c r="AE12" s="79"/>
      <c r="AF12" s="80"/>
      <c r="AG12" s="81">
        <f t="shared" si="5"/>
        <v>0</v>
      </c>
      <c r="AH12" s="82"/>
      <c r="AI12" s="77"/>
      <c r="AJ12" s="83">
        <v>1</v>
      </c>
      <c r="AK12" s="84">
        <v>0.15</v>
      </c>
      <c r="AL12" s="85">
        <f t="shared" si="6"/>
        <v>0.15</v>
      </c>
      <c r="AM12" s="87" t="s">
        <v>1245</v>
      </c>
      <c r="AN12" s="77"/>
      <c r="AO12" s="83">
        <v>1</v>
      </c>
      <c r="AP12" s="84">
        <v>0.2</v>
      </c>
      <c r="AQ12" s="85">
        <f t="shared" si="7"/>
        <v>0.2</v>
      </c>
      <c r="AR12" s="86" t="s">
        <v>1256</v>
      </c>
    </row>
    <row r="13" spans="1:44" ht="94.5" x14ac:dyDescent="0.25">
      <c r="A13" s="77">
        <v>10</v>
      </c>
      <c r="B13" s="78" t="s">
        <v>3</v>
      </c>
      <c r="C13" s="78" t="s">
        <v>5</v>
      </c>
      <c r="D13" s="78" t="s">
        <v>38</v>
      </c>
      <c r="E13" s="77"/>
      <c r="F13" s="79"/>
      <c r="G13" s="80"/>
      <c r="H13" s="81">
        <f t="shared" si="0"/>
        <v>0</v>
      </c>
      <c r="I13" s="82"/>
      <c r="J13" s="77"/>
      <c r="K13" s="111">
        <v>1</v>
      </c>
      <c r="L13" s="112">
        <v>0.6</v>
      </c>
      <c r="M13" s="85">
        <f t="shared" si="1"/>
        <v>0.6</v>
      </c>
      <c r="N13" s="113" t="s">
        <v>1198</v>
      </c>
      <c r="O13" s="77"/>
      <c r="P13" s="111">
        <v>1</v>
      </c>
      <c r="Q13" s="112">
        <v>1</v>
      </c>
      <c r="R13" s="85">
        <f t="shared" si="2"/>
        <v>1</v>
      </c>
      <c r="S13" s="114"/>
      <c r="T13" s="77"/>
      <c r="U13" s="79"/>
      <c r="V13" s="80"/>
      <c r="W13" s="81">
        <f t="shared" si="3"/>
        <v>0</v>
      </c>
      <c r="X13" s="82"/>
      <c r="Y13" s="77"/>
      <c r="Z13" s="79"/>
      <c r="AA13" s="80"/>
      <c r="AB13" s="81">
        <f t="shared" si="4"/>
        <v>0</v>
      </c>
      <c r="AC13" s="82"/>
      <c r="AD13" s="77"/>
      <c r="AE13" s="79"/>
      <c r="AF13" s="80"/>
      <c r="AG13" s="81">
        <f t="shared" si="5"/>
        <v>0</v>
      </c>
      <c r="AH13" s="82"/>
      <c r="AI13" s="77"/>
      <c r="AJ13" s="111">
        <v>1</v>
      </c>
      <c r="AK13" s="112">
        <v>0.15</v>
      </c>
      <c r="AL13" s="85">
        <f t="shared" si="6"/>
        <v>0.15</v>
      </c>
      <c r="AM13" s="113" t="s">
        <v>1246</v>
      </c>
      <c r="AN13" s="77"/>
      <c r="AO13" s="111">
        <v>1</v>
      </c>
      <c r="AP13" s="112">
        <v>0.3</v>
      </c>
      <c r="AQ13" s="85">
        <f t="shared" si="7"/>
        <v>0.3</v>
      </c>
      <c r="AR13" s="113" t="s">
        <v>1251</v>
      </c>
    </row>
    <row r="14" spans="1:44" ht="94.5" x14ac:dyDescent="0.25">
      <c r="A14" s="77">
        <v>11</v>
      </c>
      <c r="B14" s="78" t="s">
        <v>3</v>
      </c>
      <c r="C14" s="78" t="s">
        <v>31</v>
      </c>
      <c r="D14" s="78" t="s">
        <v>39</v>
      </c>
      <c r="E14" s="77"/>
      <c r="F14" s="79"/>
      <c r="G14" s="80"/>
      <c r="H14" s="81">
        <f t="shared" si="0"/>
        <v>0</v>
      </c>
      <c r="I14" s="82"/>
      <c r="J14" s="77"/>
      <c r="K14" s="83">
        <v>1</v>
      </c>
      <c r="L14" s="84">
        <v>0.85</v>
      </c>
      <c r="M14" s="85">
        <f t="shared" si="1"/>
        <v>0.85</v>
      </c>
      <c r="N14" s="86" t="s">
        <v>1199</v>
      </c>
      <c r="O14" s="77"/>
      <c r="P14" s="83">
        <v>1</v>
      </c>
      <c r="Q14" s="84">
        <v>1</v>
      </c>
      <c r="R14" s="85">
        <f t="shared" si="2"/>
        <v>1</v>
      </c>
      <c r="S14" s="115"/>
      <c r="T14" s="77"/>
      <c r="U14" s="79"/>
      <c r="V14" s="80"/>
      <c r="W14" s="81">
        <f t="shared" si="3"/>
        <v>0</v>
      </c>
      <c r="X14" s="82"/>
      <c r="Y14" s="77"/>
      <c r="Z14" s="79"/>
      <c r="AA14" s="80"/>
      <c r="AB14" s="81">
        <f t="shared" si="4"/>
        <v>0</v>
      </c>
      <c r="AC14" s="82"/>
      <c r="AD14" s="77"/>
      <c r="AE14" s="79"/>
      <c r="AF14" s="80"/>
      <c r="AG14" s="81">
        <f t="shared" si="5"/>
        <v>0</v>
      </c>
      <c r="AH14" s="82"/>
      <c r="AI14" s="77"/>
      <c r="AJ14" s="83">
        <v>1</v>
      </c>
      <c r="AK14" s="84">
        <v>0.3</v>
      </c>
      <c r="AL14" s="85">
        <f t="shared" si="6"/>
        <v>0.3</v>
      </c>
      <c r="AM14" s="87" t="s">
        <v>1247</v>
      </c>
      <c r="AN14" s="77"/>
      <c r="AO14" s="83">
        <v>1</v>
      </c>
      <c r="AP14" s="84">
        <v>0.15</v>
      </c>
      <c r="AQ14" s="85">
        <f t="shared" si="7"/>
        <v>0.15</v>
      </c>
      <c r="AR14" s="86" t="s">
        <v>1195</v>
      </c>
    </row>
    <row r="15" spans="1:44" ht="141.75" x14ac:dyDescent="0.25">
      <c r="A15" s="77">
        <v>12</v>
      </c>
      <c r="B15" s="78" t="s">
        <v>3</v>
      </c>
      <c r="C15" s="78" t="s">
        <v>31</v>
      </c>
      <c r="D15" s="78" t="s">
        <v>40</v>
      </c>
      <c r="E15" s="77"/>
      <c r="F15" s="79"/>
      <c r="G15" s="80"/>
      <c r="H15" s="81">
        <f t="shared" si="0"/>
        <v>0</v>
      </c>
      <c r="I15" s="82"/>
      <c r="J15" s="77"/>
      <c r="K15" s="111">
        <v>1</v>
      </c>
      <c r="L15" s="112">
        <v>1</v>
      </c>
      <c r="M15" s="85">
        <f t="shared" si="1"/>
        <v>1</v>
      </c>
      <c r="N15" s="113"/>
      <c r="O15" s="77"/>
      <c r="P15" s="111">
        <v>1</v>
      </c>
      <c r="Q15" s="112">
        <v>0.95</v>
      </c>
      <c r="R15" s="85">
        <f t="shared" si="2"/>
        <v>0.95</v>
      </c>
      <c r="S15" s="114" t="s">
        <v>1187</v>
      </c>
      <c r="T15" s="77"/>
      <c r="U15" s="79"/>
      <c r="V15" s="80"/>
      <c r="W15" s="81">
        <f t="shared" si="3"/>
        <v>0</v>
      </c>
      <c r="X15" s="82"/>
      <c r="Y15" s="77"/>
      <c r="Z15" s="79"/>
      <c r="AA15" s="80"/>
      <c r="AB15" s="81">
        <f t="shared" si="4"/>
        <v>0</v>
      </c>
      <c r="AC15" s="82"/>
      <c r="AD15" s="77"/>
      <c r="AE15" s="79"/>
      <c r="AF15" s="80"/>
      <c r="AG15" s="81">
        <f t="shared" si="5"/>
        <v>0</v>
      </c>
      <c r="AH15" s="82"/>
      <c r="AI15" s="77"/>
      <c r="AJ15" s="111">
        <v>1</v>
      </c>
      <c r="AK15" s="112">
        <v>0.3</v>
      </c>
      <c r="AL15" s="85">
        <f t="shared" si="6"/>
        <v>0.3</v>
      </c>
      <c r="AM15" s="113" t="s">
        <v>1248</v>
      </c>
      <c r="AN15" s="77"/>
      <c r="AO15" s="111">
        <v>1</v>
      </c>
      <c r="AP15" s="112">
        <v>0.5</v>
      </c>
      <c r="AQ15" s="85">
        <f t="shared" si="7"/>
        <v>0.5</v>
      </c>
      <c r="AR15" s="113" t="s">
        <v>1252</v>
      </c>
    </row>
    <row r="16" spans="1:44" ht="283.5" x14ac:dyDescent="0.25">
      <c r="A16" s="77">
        <v>13</v>
      </c>
      <c r="B16" s="78" t="s">
        <v>6</v>
      </c>
      <c r="C16" s="78" t="s">
        <v>7</v>
      </c>
      <c r="D16" s="78" t="s">
        <v>41</v>
      </c>
      <c r="E16" s="77"/>
      <c r="F16" s="79"/>
      <c r="G16" s="80"/>
      <c r="H16" s="81">
        <f t="shared" si="0"/>
        <v>0</v>
      </c>
      <c r="I16" s="82"/>
      <c r="J16" s="77"/>
      <c r="K16" s="100">
        <v>1</v>
      </c>
      <c r="L16" s="101">
        <v>1</v>
      </c>
      <c r="M16" s="85">
        <f t="shared" si="1"/>
        <v>1</v>
      </c>
      <c r="N16" s="102" t="s">
        <v>824</v>
      </c>
      <c r="O16" s="77"/>
      <c r="P16" s="100">
        <v>1</v>
      </c>
      <c r="Q16" s="101">
        <v>0.85</v>
      </c>
      <c r="R16" s="85">
        <f t="shared" si="2"/>
        <v>0.85</v>
      </c>
      <c r="S16" s="102" t="s">
        <v>1575</v>
      </c>
      <c r="T16" s="77"/>
      <c r="U16" s="79"/>
      <c r="V16" s="80"/>
      <c r="W16" s="81">
        <f t="shared" si="3"/>
        <v>0</v>
      </c>
      <c r="X16" s="82"/>
      <c r="Y16" s="77"/>
      <c r="Z16" s="79"/>
      <c r="AA16" s="80"/>
      <c r="AB16" s="81">
        <f t="shared" si="4"/>
        <v>0</v>
      </c>
      <c r="AC16" s="82"/>
      <c r="AD16" s="77"/>
      <c r="AE16" s="79"/>
      <c r="AF16" s="80"/>
      <c r="AG16" s="81">
        <f t="shared" si="5"/>
        <v>0</v>
      </c>
      <c r="AH16" s="82"/>
      <c r="AI16" s="77"/>
      <c r="AJ16" s="100">
        <v>1</v>
      </c>
      <c r="AK16" s="101">
        <v>0.6</v>
      </c>
      <c r="AL16" s="85">
        <f t="shared" si="6"/>
        <v>0.6</v>
      </c>
      <c r="AM16" s="102" t="s">
        <v>1497</v>
      </c>
      <c r="AN16" s="77"/>
      <c r="AO16" s="100">
        <v>1</v>
      </c>
      <c r="AP16" s="101">
        <v>1</v>
      </c>
      <c r="AQ16" s="85">
        <f t="shared" si="7"/>
        <v>1</v>
      </c>
      <c r="AR16" s="102" t="s">
        <v>851</v>
      </c>
    </row>
    <row r="17" spans="1:44" ht="126" x14ac:dyDescent="0.25">
      <c r="A17" s="77">
        <v>14</v>
      </c>
      <c r="B17" s="78" t="s">
        <v>6</v>
      </c>
      <c r="C17" s="78" t="s">
        <v>7</v>
      </c>
      <c r="D17" s="78" t="s">
        <v>130</v>
      </c>
      <c r="E17" s="77"/>
      <c r="F17" s="79"/>
      <c r="G17" s="80"/>
      <c r="H17" s="81">
        <f t="shared" si="0"/>
        <v>0</v>
      </c>
      <c r="I17" s="82"/>
      <c r="J17" s="77"/>
      <c r="K17" s="100">
        <v>1</v>
      </c>
      <c r="L17" s="101">
        <v>1</v>
      </c>
      <c r="M17" s="85">
        <f t="shared" si="1"/>
        <v>1</v>
      </c>
      <c r="N17" s="102" t="s">
        <v>825</v>
      </c>
      <c r="O17" s="77"/>
      <c r="P17" s="100">
        <v>1</v>
      </c>
      <c r="Q17" s="101">
        <v>0.6</v>
      </c>
      <c r="R17" s="85">
        <f t="shared" si="2"/>
        <v>0.6</v>
      </c>
      <c r="S17" s="102" t="s">
        <v>837</v>
      </c>
      <c r="T17" s="77"/>
      <c r="U17" s="79"/>
      <c r="V17" s="80"/>
      <c r="W17" s="81">
        <f t="shared" si="3"/>
        <v>0</v>
      </c>
      <c r="X17" s="82"/>
      <c r="Y17" s="77"/>
      <c r="Z17" s="79"/>
      <c r="AA17" s="80"/>
      <c r="AB17" s="81">
        <f t="shared" si="4"/>
        <v>0</v>
      </c>
      <c r="AC17" s="82"/>
      <c r="AD17" s="77"/>
      <c r="AE17" s="79"/>
      <c r="AF17" s="80"/>
      <c r="AG17" s="81">
        <f t="shared" si="5"/>
        <v>0</v>
      </c>
      <c r="AH17" s="82"/>
      <c r="AI17" s="77"/>
      <c r="AJ17" s="100">
        <v>1</v>
      </c>
      <c r="AK17" s="101">
        <v>0.15</v>
      </c>
      <c r="AL17" s="85">
        <f t="shared" si="6"/>
        <v>0.15</v>
      </c>
      <c r="AM17" s="102" t="s">
        <v>846</v>
      </c>
      <c r="AN17" s="77"/>
      <c r="AO17" s="100">
        <v>1</v>
      </c>
      <c r="AP17" s="101">
        <v>0.6</v>
      </c>
      <c r="AQ17" s="85">
        <f t="shared" si="7"/>
        <v>0.6</v>
      </c>
      <c r="AR17" s="102" t="s">
        <v>852</v>
      </c>
    </row>
    <row r="18" spans="1:44" ht="141.75" x14ac:dyDescent="0.25">
      <c r="A18" s="77">
        <v>15</v>
      </c>
      <c r="B18" s="78" t="s">
        <v>6</v>
      </c>
      <c r="C18" s="78" t="s">
        <v>7</v>
      </c>
      <c r="D18" s="78" t="s">
        <v>131</v>
      </c>
      <c r="E18" s="77"/>
      <c r="F18" s="79"/>
      <c r="G18" s="80"/>
      <c r="H18" s="81">
        <f t="shared" si="0"/>
        <v>0</v>
      </c>
      <c r="I18" s="82"/>
      <c r="J18" s="77"/>
      <c r="K18" s="100">
        <v>1</v>
      </c>
      <c r="L18" s="101">
        <v>1</v>
      </c>
      <c r="M18" s="85">
        <f t="shared" si="1"/>
        <v>1</v>
      </c>
      <c r="N18" s="78" t="s">
        <v>735</v>
      </c>
      <c r="O18" s="77"/>
      <c r="P18" s="100">
        <v>1</v>
      </c>
      <c r="Q18" s="101">
        <v>0.95</v>
      </c>
      <c r="R18" s="85">
        <f t="shared" si="2"/>
        <v>0.95</v>
      </c>
      <c r="S18" s="78" t="s">
        <v>838</v>
      </c>
      <c r="T18" s="77"/>
      <c r="U18" s="79"/>
      <c r="V18" s="80"/>
      <c r="W18" s="81">
        <f t="shared" si="3"/>
        <v>0</v>
      </c>
      <c r="X18" s="82"/>
      <c r="Y18" s="77"/>
      <c r="Z18" s="79"/>
      <c r="AA18" s="80"/>
      <c r="AB18" s="81">
        <f t="shared" si="4"/>
        <v>0</v>
      </c>
      <c r="AC18" s="82"/>
      <c r="AD18" s="77"/>
      <c r="AE18" s="79"/>
      <c r="AF18" s="80"/>
      <c r="AG18" s="81">
        <f t="shared" si="5"/>
        <v>0</v>
      </c>
      <c r="AH18" s="82"/>
      <c r="AI18" s="77"/>
      <c r="AJ18" s="100">
        <v>1</v>
      </c>
      <c r="AK18" s="101">
        <v>0.85</v>
      </c>
      <c r="AL18" s="85">
        <f t="shared" si="6"/>
        <v>0.85</v>
      </c>
      <c r="AM18" s="78" t="s">
        <v>847</v>
      </c>
      <c r="AN18" s="77"/>
      <c r="AO18" s="100">
        <v>1</v>
      </c>
      <c r="AP18" s="101">
        <v>0.95</v>
      </c>
      <c r="AQ18" s="85">
        <f t="shared" si="7"/>
        <v>0.95</v>
      </c>
      <c r="AR18" s="78" t="s">
        <v>853</v>
      </c>
    </row>
    <row r="19" spans="1:44" ht="94.5" x14ac:dyDescent="0.25">
      <c r="A19" s="77">
        <v>16</v>
      </c>
      <c r="B19" s="78" t="s">
        <v>6</v>
      </c>
      <c r="C19" s="78" t="s">
        <v>7</v>
      </c>
      <c r="D19" s="78" t="s">
        <v>42</v>
      </c>
      <c r="E19" s="77"/>
      <c r="F19" s="79"/>
      <c r="G19" s="80"/>
      <c r="H19" s="81">
        <f t="shared" si="0"/>
        <v>0</v>
      </c>
      <c r="I19" s="82"/>
      <c r="J19" s="77"/>
      <c r="K19" s="100">
        <v>1</v>
      </c>
      <c r="L19" s="101">
        <v>1</v>
      </c>
      <c r="M19" s="85">
        <f t="shared" si="1"/>
        <v>1</v>
      </c>
      <c r="N19" s="78" t="s">
        <v>826</v>
      </c>
      <c r="O19" s="77"/>
      <c r="P19" s="100">
        <v>1</v>
      </c>
      <c r="Q19" s="101">
        <v>0.95</v>
      </c>
      <c r="R19" s="85">
        <f t="shared" si="2"/>
        <v>0.95</v>
      </c>
      <c r="S19" s="78" t="s">
        <v>706</v>
      </c>
      <c r="T19" s="77"/>
      <c r="U19" s="79"/>
      <c r="V19" s="80"/>
      <c r="W19" s="81">
        <f t="shared" si="3"/>
        <v>0</v>
      </c>
      <c r="X19" s="82"/>
      <c r="Y19" s="77"/>
      <c r="Z19" s="79"/>
      <c r="AA19" s="80"/>
      <c r="AB19" s="81">
        <f t="shared" si="4"/>
        <v>0</v>
      </c>
      <c r="AC19" s="82"/>
      <c r="AD19" s="77"/>
      <c r="AE19" s="79"/>
      <c r="AF19" s="80"/>
      <c r="AG19" s="81">
        <f t="shared" si="5"/>
        <v>0</v>
      </c>
      <c r="AH19" s="82"/>
      <c r="AI19" s="77"/>
      <c r="AJ19" s="100">
        <v>1</v>
      </c>
      <c r="AK19" s="101">
        <v>1</v>
      </c>
      <c r="AL19" s="85">
        <f t="shared" si="6"/>
        <v>1</v>
      </c>
      <c r="AM19" s="78" t="s">
        <v>848</v>
      </c>
      <c r="AN19" s="77"/>
      <c r="AO19" s="100">
        <v>1</v>
      </c>
      <c r="AP19" s="101">
        <v>0.96</v>
      </c>
      <c r="AQ19" s="85">
        <f t="shared" si="7"/>
        <v>0.96</v>
      </c>
      <c r="AR19" s="78" t="s">
        <v>765</v>
      </c>
    </row>
    <row r="20" spans="1:44" ht="330.75" x14ac:dyDescent="0.25">
      <c r="A20" s="77">
        <v>17</v>
      </c>
      <c r="B20" s="78" t="s">
        <v>6</v>
      </c>
      <c r="C20" s="78" t="s">
        <v>7</v>
      </c>
      <c r="D20" s="78" t="s">
        <v>43</v>
      </c>
      <c r="E20" s="77"/>
      <c r="F20" s="79"/>
      <c r="G20" s="80"/>
      <c r="H20" s="81">
        <f t="shared" si="0"/>
        <v>0</v>
      </c>
      <c r="I20" s="82"/>
      <c r="J20" s="77"/>
      <c r="K20" s="100">
        <v>1</v>
      </c>
      <c r="L20" s="101">
        <v>0.7</v>
      </c>
      <c r="M20" s="85">
        <f t="shared" si="1"/>
        <v>0.7</v>
      </c>
      <c r="N20" s="102" t="s">
        <v>827</v>
      </c>
      <c r="O20" s="77"/>
      <c r="P20" s="100">
        <v>1</v>
      </c>
      <c r="Q20" s="101">
        <v>0.9</v>
      </c>
      <c r="R20" s="85">
        <f t="shared" si="2"/>
        <v>0.9</v>
      </c>
      <c r="S20" s="102" t="s">
        <v>652</v>
      </c>
      <c r="T20" s="77"/>
      <c r="U20" s="79"/>
      <c r="V20" s="80"/>
      <c r="W20" s="81">
        <f t="shared" si="3"/>
        <v>0</v>
      </c>
      <c r="X20" s="82"/>
      <c r="Y20" s="77"/>
      <c r="Z20" s="79"/>
      <c r="AA20" s="80"/>
      <c r="AB20" s="81">
        <f t="shared" si="4"/>
        <v>0</v>
      </c>
      <c r="AC20" s="82"/>
      <c r="AD20" s="77"/>
      <c r="AE20" s="79"/>
      <c r="AF20" s="80"/>
      <c r="AG20" s="81">
        <f t="shared" si="5"/>
        <v>0</v>
      </c>
      <c r="AH20" s="82"/>
      <c r="AI20" s="77"/>
      <c r="AJ20" s="100">
        <v>1</v>
      </c>
      <c r="AK20" s="101">
        <v>0.45</v>
      </c>
      <c r="AL20" s="85">
        <f t="shared" si="6"/>
        <v>0.45</v>
      </c>
      <c r="AM20" s="102" t="s">
        <v>717</v>
      </c>
      <c r="AN20" s="77"/>
      <c r="AO20" s="100">
        <v>1</v>
      </c>
      <c r="AP20" s="101">
        <v>0.5</v>
      </c>
      <c r="AQ20" s="85">
        <f t="shared" si="7"/>
        <v>0.5</v>
      </c>
      <c r="AR20" s="102" t="s">
        <v>854</v>
      </c>
    </row>
    <row r="21" spans="1:44" ht="236.25" x14ac:dyDescent="0.25">
      <c r="A21" s="77">
        <v>18</v>
      </c>
      <c r="B21" s="78" t="s">
        <v>6</v>
      </c>
      <c r="C21" s="78" t="s">
        <v>7</v>
      </c>
      <c r="D21" s="78" t="s">
        <v>44</v>
      </c>
      <c r="E21" s="77"/>
      <c r="F21" s="79"/>
      <c r="G21" s="80"/>
      <c r="H21" s="81">
        <f t="shared" si="0"/>
        <v>0</v>
      </c>
      <c r="I21" s="82"/>
      <c r="J21" s="77"/>
      <c r="K21" s="100">
        <v>1</v>
      </c>
      <c r="L21" s="101">
        <v>0.75</v>
      </c>
      <c r="M21" s="85">
        <f>K21*L21</f>
        <v>0.75</v>
      </c>
      <c r="N21" s="102" t="s">
        <v>828</v>
      </c>
      <c r="O21" s="77"/>
      <c r="P21" s="100">
        <v>1</v>
      </c>
      <c r="Q21" s="101">
        <v>0.75</v>
      </c>
      <c r="R21" s="85">
        <f>P21*Q21</f>
        <v>0.75</v>
      </c>
      <c r="S21" s="102" t="s">
        <v>1369</v>
      </c>
      <c r="T21" s="77"/>
      <c r="U21" s="79"/>
      <c r="V21" s="80"/>
      <c r="W21" s="81">
        <f t="shared" si="3"/>
        <v>0</v>
      </c>
      <c r="X21" s="82"/>
      <c r="Y21" s="77"/>
      <c r="Z21" s="79"/>
      <c r="AA21" s="80"/>
      <c r="AB21" s="81">
        <f t="shared" si="4"/>
        <v>0</v>
      </c>
      <c r="AC21" s="82"/>
      <c r="AD21" s="77"/>
      <c r="AE21" s="79"/>
      <c r="AF21" s="80"/>
      <c r="AG21" s="81">
        <f t="shared" si="5"/>
        <v>0</v>
      </c>
      <c r="AH21" s="82"/>
      <c r="AI21" s="77"/>
      <c r="AJ21" s="100">
        <v>1</v>
      </c>
      <c r="AK21" s="101">
        <v>0.2</v>
      </c>
      <c r="AL21" s="85">
        <f t="shared" si="6"/>
        <v>0.2</v>
      </c>
      <c r="AM21" s="102" t="s">
        <v>755</v>
      </c>
      <c r="AN21" s="77"/>
      <c r="AO21" s="100">
        <v>1</v>
      </c>
      <c r="AP21" s="101">
        <v>0.72</v>
      </c>
      <c r="AQ21" s="85">
        <f t="shared" si="7"/>
        <v>0.72</v>
      </c>
      <c r="AR21" s="102" t="s">
        <v>855</v>
      </c>
    </row>
    <row r="22" spans="1:44" ht="204.75" x14ac:dyDescent="0.25">
      <c r="A22" s="77">
        <v>19</v>
      </c>
      <c r="B22" s="78" t="s">
        <v>6</v>
      </c>
      <c r="C22" s="78" t="s">
        <v>7</v>
      </c>
      <c r="D22" s="78" t="s">
        <v>45</v>
      </c>
      <c r="E22" s="77"/>
      <c r="F22" s="79"/>
      <c r="G22" s="80"/>
      <c r="H22" s="81">
        <f t="shared" si="0"/>
        <v>0</v>
      </c>
      <c r="I22" s="82"/>
      <c r="J22" s="77"/>
      <c r="K22" s="100">
        <v>1</v>
      </c>
      <c r="L22" s="101">
        <v>0.85</v>
      </c>
      <c r="M22" s="85">
        <f t="shared" ref="M22:M23" si="8">K22*L22</f>
        <v>0.85</v>
      </c>
      <c r="N22" s="102" t="s">
        <v>780</v>
      </c>
      <c r="O22" s="77"/>
      <c r="P22" s="100">
        <v>1</v>
      </c>
      <c r="Q22" s="101">
        <v>0.7</v>
      </c>
      <c r="R22" s="85">
        <f t="shared" ref="R22:R23" si="9">P22*Q22</f>
        <v>0.7</v>
      </c>
      <c r="S22" s="102" t="s">
        <v>748</v>
      </c>
      <c r="T22" s="77"/>
      <c r="U22" s="79"/>
      <c r="V22" s="80"/>
      <c r="W22" s="81">
        <f t="shared" si="3"/>
        <v>0</v>
      </c>
      <c r="X22" s="82"/>
      <c r="Y22" s="77"/>
      <c r="Z22" s="79"/>
      <c r="AA22" s="80"/>
      <c r="AB22" s="81">
        <f t="shared" si="4"/>
        <v>0</v>
      </c>
      <c r="AC22" s="82"/>
      <c r="AD22" s="77"/>
      <c r="AE22" s="79"/>
      <c r="AF22" s="80"/>
      <c r="AG22" s="81">
        <f t="shared" si="5"/>
        <v>0</v>
      </c>
      <c r="AH22" s="82"/>
      <c r="AI22" s="77"/>
      <c r="AJ22" s="100">
        <v>1</v>
      </c>
      <c r="AK22" s="101">
        <v>0.5</v>
      </c>
      <c r="AL22" s="85">
        <f t="shared" si="6"/>
        <v>0.5</v>
      </c>
      <c r="AM22" s="102" t="s">
        <v>756</v>
      </c>
      <c r="AN22" s="77"/>
      <c r="AO22" s="100">
        <v>1</v>
      </c>
      <c r="AP22" s="101">
        <v>0.3</v>
      </c>
      <c r="AQ22" s="85">
        <f t="shared" si="7"/>
        <v>0.3</v>
      </c>
      <c r="AR22" s="102" t="s">
        <v>856</v>
      </c>
    </row>
    <row r="23" spans="1:44" ht="126" x14ac:dyDescent="0.25">
      <c r="A23" s="77">
        <v>20</v>
      </c>
      <c r="B23" s="78" t="s">
        <v>6</v>
      </c>
      <c r="C23" s="78" t="s">
        <v>7</v>
      </c>
      <c r="D23" s="78" t="s">
        <v>46</v>
      </c>
      <c r="E23" s="77"/>
      <c r="F23" s="79"/>
      <c r="G23" s="80"/>
      <c r="H23" s="81">
        <f t="shared" si="0"/>
        <v>0</v>
      </c>
      <c r="I23" s="82"/>
      <c r="J23" s="77"/>
      <c r="K23" s="100">
        <v>1</v>
      </c>
      <c r="L23" s="101">
        <v>0.95</v>
      </c>
      <c r="M23" s="85">
        <f t="shared" si="8"/>
        <v>0.95</v>
      </c>
      <c r="N23" s="102" t="s">
        <v>829</v>
      </c>
      <c r="O23" s="77"/>
      <c r="P23" s="100">
        <v>1</v>
      </c>
      <c r="Q23" s="101">
        <v>0.85</v>
      </c>
      <c r="R23" s="85">
        <f t="shared" si="9"/>
        <v>0.85</v>
      </c>
      <c r="S23" s="102" t="s">
        <v>839</v>
      </c>
      <c r="T23" s="77"/>
      <c r="U23" s="79"/>
      <c r="V23" s="80"/>
      <c r="W23" s="81">
        <f t="shared" si="3"/>
        <v>0</v>
      </c>
      <c r="X23" s="82"/>
      <c r="Y23" s="77"/>
      <c r="Z23" s="79"/>
      <c r="AA23" s="80"/>
      <c r="AB23" s="81">
        <f t="shared" si="4"/>
        <v>0</v>
      </c>
      <c r="AC23" s="82"/>
      <c r="AD23" s="77"/>
      <c r="AE23" s="79"/>
      <c r="AF23" s="80"/>
      <c r="AG23" s="81">
        <f t="shared" si="5"/>
        <v>0</v>
      </c>
      <c r="AH23" s="82"/>
      <c r="AI23" s="77"/>
      <c r="AJ23" s="100">
        <v>1</v>
      </c>
      <c r="AK23" s="101">
        <v>0.8</v>
      </c>
      <c r="AL23" s="85">
        <f t="shared" si="6"/>
        <v>0.8</v>
      </c>
      <c r="AM23" s="102" t="s">
        <v>849</v>
      </c>
      <c r="AN23" s="77"/>
      <c r="AO23" s="100">
        <v>1</v>
      </c>
      <c r="AP23" s="101">
        <v>0.5</v>
      </c>
      <c r="AQ23" s="85">
        <f t="shared" si="7"/>
        <v>0.5</v>
      </c>
      <c r="AR23" s="102" t="s">
        <v>857</v>
      </c>
    </row>
    <row r="24" spans="1:44" ht="157.5" x14ac:dyDescent="0.25">
      <c r="A24" s="77">
        <v>21</v>
      </c>
      <c r="B24" s="78" t="s">
        <v>6</v>
      </c>
      <c r="C24" s="78" t="s">
        <v>7</v>
      </c>
      <c r="D24" s="78" t="s">
        <v>47</v>
      </c>
      <c r="E24" s="77"/>
      <c r="F24" s="79"/>
      <c r="G24" s="80"/>
      <c r="H24" s="81">
        <f t="shared" si="0"/>
        <v>0</v>
      </c>
      <c r="I24" s="82"/>
      <c r="J24" s="77" t="s">
        <v>30</v>
      </c>
      <c r="K24" s="100">
        <v>1</v>
      </c>
      <c r="L24" s="101">
        <v>0.98</v>
      </c>
      <c r="M24" s="85">
        <f t="shared" si="1"/>
        <v>0.98</v>
      </c>
      <c r="N24" s="102" t="s">
        <v>358</v>
      </c>
      <c r="O24" s="77"/>
      <c r="P24" s="100">
        <v>1</v>
      </c>
      <c r="Q24" s="101">
        <v>0.9</v>
      </c>
      <c r="R24" s="85">
        <f>P24*Q24</f>
        <v>0.9</v>
      </c>
      <c r="S24" s="102" t="s">
        <v>655</v>
      </c>
      <c r="T24" s="77"/>
      <c r="U24" s="79"/>
      <c r="V24" s="80"/>
      <c r="W24" s="81">
        <f t="shared" si="3"/>
        <v>0</v>
      </c>
      <c r="X24" s="82"/>
      <c r="Y24" s="77"/>
      <c r="Z24" s="79"/>
      <c r="AA24" s="80"/>
      <c r="AB24" s="81">
        <f t="shared" si="4"/>
        <v>0</v>
      </c>
      <c r="AC24" s="82"/>
      <c r="AD24" s="77"/>
      <c r="AE24" s="79"/>
      <c r="AF24" s="80"/>
      <c r="AG24" s="81">
        <f t="shared" si="5"/>
        <v>0</v>
      </c>
      <c r="AH24" s="82"/>
      <c r="AI24" s="77"/>
      <c r="AJ24" s="100">
        <v>1</v>
      </c>
      <c r="AK24" s="101">
        <v>0.98</v>
      </c>
      <c r="AL24" s="85">
        <f t="shared" si="6"/>
        <v>0.98</v>
      </c>
      <c r="AM24" s="102" t="s">
        <v>142</v>
      </c>
      <c r="AN24" s="77"/>
      <c r="AO24" s="100">
        <v>1</v>
      </c>
      <c r="AP24" s="101">
        <v>0.95</v>
      </c>
      <c r="AQ24" s="85">
        <f t="shared" si="7"/>
        <v>0.95</v>
      </c>
      <c r="AR24" s="102" t="s">
        <v>858</v>
      </c>
    </row>
    <row r="25" spans="1:44" s="73" customFormat="1" ht="173.25" x14ac:dyDescent="0.25">
      <c r="A25" s="77">
        <v>22</v>
      </c>
      <c r="B25" s="78" t="s">
        <v>6</v>
      </c>
      <c r="C25" s="78" t="s">
        <v>8</v>
      </c>
      <c r="D25" s="78" t="s">
        <v>48</v>
      </c>
      <c r="E25" s="77"/>
      <c r="F25" s="79"/>
      <c r="G25" s="80"/>
      <c r="H25" s="81">
        <f t="shared" si="0"/>
        <v>0</v>
      </c>
      <c r="I25" s="82"/>
      <c r="J25" s="77"/>
      <c r="K25" s="100">
        <v>1</v>
      </c>
      <c r="L25" s="101">
        <v>1</v>
      </c>
      <c r="M25" s="85">
        <f t="shared" si="1"/>
        <v>1</v>
      </c>
      <c r="N25" s="102" t="s">
        <v>830</v>
      </c>
      <c r="O25" s="77"/>
      <c r="P25" s="100">
        <v>1</v>
      </c>
      <c r="Q25" s="101">
        <v>1</v>
      </c>
      <c r="R25" s="85">
        <f t="shared" ref="R25:R33" si="10">P25*Q25</f>
        <v>1</v>
      </c>
      <c r="S25" s="102" t="s">
        <v>840</v>
      </c>
      <c r="T25" s="77"/>
      <c r="U25" s="79"/>
      <c r="V25" s="80"/>
      <c r="W25" s="81">
        <f t="shared" si="3"/>
        <v>0</v>
      </c>
      <c r="X25" s="82"/>
      <c r="Y25" s="77"/>
      <c r="Z25" s="79"/>
      <c r="AA25" s="80"/>
      <c r="AB25" s="81">
        <f t="shared" si="4"/>
        <v>0</v>
      </c>
      <c r="AC25" s="82"/>
      <c r="AD25" s="77"/>
      <c r="AE25" s="79"/>
      <c r="AF25" s="80"/>
      <c r="AG25" s="81">
        <f t="shared" si="5"/>
        <v>0</v>
      </c>
      <c r="AH25" s="82"/>
      <c r="AI25" s="77"/>
      <c r="AJ25" s="100">
        <v>1</v>
      </c>
      <c r="AK25" s="101">
        <v>0.45</v>
      </c>
      <c r="AL25" s="85">
        <f t="shared" si="6"/>
        <v>0.45</v>
      </c>
      <c r="AM25" s="102" t="s">
        <v>850</v>
      </c>
      <c r="AN25" s="77"/>
      <c r="AO25" s="100">
        <v>1</v>
      </c>
      <c r="AP25" s="101">
        <v>0.5</v>
      </c>
      <c r="AQ25" s="85">
        <f t="shared" si="7"/>
        <v>0.5</v>
      </c>
      <c r="AR25" s="78" t="s">
        <v>859</v>
      </c>
    </row>
    <row r="26" spans="1:44" ht="126" x14ac:dyDescent="0.25">
      <c r="A26" s="77">
        <v>23</v>
      </c>
      <c r="B26" s="78" t="s">
        <v>6</v>
      </c>
      <c r="C26" s="78" t="s">
        <v>8</v>
      </c>
      <c r="D26" s="78" t="s">
        <v>49</v>
      </c>
      <c r="E26" s="77"/>
      <c r="F26" s="79"/>
      <c r="G26" s="80"/>
      <c r="H26" s="81">
        <f t="shared" si="0"/>
        <v>0</v>
      </c>
      <c r="I26" s="82"/>
      <c r="J26" s="77"/>
      <c r="K26" s="100">
        <v>1</v>
      </c>
      <c r="L26" s="101">
        <v>1</v>
      </c>
      <c r="M26" s="85">
        <f t="shared" si="1"/>
        <v>1</v>
      </c>
      <c r="N26" s="102" t="s">
        <v>831</v>
      </c>
      <c r="O26" s="77"/>
      <c r="P26" s="100">
        <v>1</v>
      </c>
      <c r="Q26" s="101">
        <v>1</v>
      </c>
      <c r="R26" s="85">
        <f t="shared" si="10"/>
        <v>1</v>
      </c>
      <c r="S26" s="102" t="s">
        <v>841</v>
      </c>
      <c r="T26" s="77"/>
      <c r="U26" s="79"/>
      <c r="V26" s="80"/>
      <c r="W26" s="81">
        <f t="shared" si="3"/>
        <v>0</v>
      </c>
      <c r="X26" s="82"/>
      <c r="Y26" s="77"/>
      <c r="Z26" s="79"/>
      <c r="AA26" s="80"/>
      <c r="AB26" s="81">
        <f t="shared" si="4"/>
        <v>0</v>
      </c>
      <c r="AC26" s="82"/>
      <c r="AD26" s="77"/>
      <c r="AE26" s="79"/>
      <c r="AF26" s="80"/>
      <c r="AG26" s="81">
        <f t="shared" si="5"/>
        <v>0</v>
      </c>
      <c r="AH26" s="82"/>
      <c r="AI26" s="77"/>
      <c r="AJ26" s="100">
        <v>1</v>
      </c>
      <c r="AK26" s="101">
        <v>0.7</v>
      </c>
      <c r="AL26" s="85">
        <f t="shared" si="6"/>
        <v>0.7</v>
      </c>
      <c r="AM26" s="102" t="s">
        <v>671</v>
      </c>
      <c r="AN26" s="77"/>
      <c r="AO26" s="100">
        <v>1</v>
      </c>
      <c r="AP26" s="101">
        <v>0.7</v>
      </c>
      <c r="AQ26" s="85">
        <f t="shared" si="7"/>
        <v>0.7</v>
      </c>
      <c r="AR26" s="78" t="s">
        <v>682</v>
      </c>
    </row>
    <row r="27" spans="1:44" ht="126" x14ac:dyDescent="0.25">
      <c r="A27" s="77">
        <v>24</v>
      </c>
      <c r="B27" s="78" t="s">
        <v>6</v>
      </c>
      <c r="C27" s="78" t="s">
        <v>8</v>
      </c>
      <c r="D27" s="78" t="s">
        <v>50</v>
      </c>
      <c r="E27" s="77"/>
      <c r="F27" s="79"/>
      <c r="G27" s="80"/>
      <c r="H27" s="81">
        <f t="shared" si="0"/>
        <v>0</v>
      </c>
      <c r="I27" s="82"/>
      <c r="J27" s="77"/>
      <c r="K27" s="100">
        <v>1</v>
      </c>
      <c r="L27" s="101">
        <v>0.99</v>
      </c>
      <c r="M27" s="85">
        <f t="shared" si="1"/>
        <v>0.99</v>
      </c>
      <c r="N27" s="102" t="s">
        <v>641</v>
      </c>
      <c r="O27" s="77"/>
      <c r="P27" s="100">
        <v>1</v>
      </c>
      <c r="Q27" s="101">
        <v>1</v>
      </c>
      <c r="R27" s="85">
        <f t="shared" si="10"/>
        <v>1</v>
      </c>
      <c r="S27" s="102" t="s">
        <v>279</v>
      </c>
      <c r="T27" s="77"/>
      <c r="U27" s="79"/>
      <c r="V27" s="80"/>
      <c r="W27" s="81">
        <f t="shared" si="3"/>
        <v>0</v>
      </c>
      <c r="X27" s="82"/>
      <c r="Y27" s="77"/>
      <c r="Z27" s="79"/>
      <c r="AA27" s="80"/>
      <c r="AB27" s="81">
        <f t="shared" si="4"/>
        <v>0</v>
      </c>
      <c r="AC27" s="82"/>
      <c r="AD27" s="77"/>
      <c r="AE27" s="79"/>
      <c r="AF27" s="80"/>
      <c r="AG27" s="81">
        <f t="shared" si="5"/>
        <v>0</v>
      </c>
      <c r="AH27" s="82"/>
      <c r="AI27" s="77"/>
      <c r="AJ27" s="100">
        <v>1</v>
      </c>
      <c r="AK27" s="101">
        <v>0.65</v>
      </c>
      <c r="AL27" s="85">
        <f t="shared" si="6"/>
        <v>0.65</v>
      </c>
      <c r="AM27" s="102" t="s">
        <v>808</v>
      </c>
      <c r="AN27" s="77"/>
      <c r="AO27" s="100">
        <v>1</v>
      </c>
      <c r="AP27" s="101">
        <v>0.7</v>
      </c>
      <c r="AQ27" s="85">
        <f t="shared" si="7"/>
        <v>0.7</v>
      </c>
      <c r="AR27" s="78" t="s">
        <v>770</v>
      </c>
    </row>
    <row r="28" spans="1:44" ht="409.5" x14ac:dyDescent="0.25">
      <c r="A28" s="77">
        <v>25</v>
      </c>
      <c r="B28" s="78" t="s">
        <v>6</v>
      </c>
      <c r="C28" s="78" t="s">
        <v>8</v>
      </c>
      <c r="D28" s="78" t="s">
        <v>51</v>
      </c>
      <c r="E28" s="77"/>
      <c r="F28" s="79"/>
      <c r="G28" s="80"/>
      <c r="H28" s="81">
        <f t="shared" si="0"/>
        <v>0</v>
      </c>
      <c r="I28" s="82"/>
      <c r="J28" s="77"/>
      <c r="K28" s="100">
        <v>1</v>
      </c>
      <c r="L28" s="101">
        <v>0.85</v>
      </c>
      <c r="M28" s="85">
        <f t="shared" si="1"/>
        <v>0.85</v>
      </c>
      <c r="N28" s="102" t="s">
        <v>832</v>
      </c>
      <c r="O28" s="77"/>
      <c r="P28" s="100">
        <v>1</v>
      </c>
      <c r="Q28" s="101">
        <v>0.65</v>
      </c>
      <c r="R28" s="85">
        <f t="shared" si="10"/>
        <v>0.65</v>
      </c>
      <c r="S28" s="102" t="s">
        <v>1498</v>
      </c>
      <c r="T28" s="77"/>
      <c r="U28" s="79"/>
      <c r="V28" s="80"/>
      <c r="W28" s="81">
        <f t="shared" si="3"/>
        <v>0</v>
      </c>
      <c r="X28" s="82"/>
      <c r="Y28" s="77"/>
      <c r="Z28" s="79"/>
      <c r="AA28" s="80"/>
      <c r="AB28" s="81">
        <f t="shared" si="4"/>
        <v>0</v>
      </c>
      <c r="AC28" s="82"/>
      <c r="AD28" s="77"/>
      <c r="AE28" s="79"/>
      <c r="AF28" s="80"/>
      <c r="AG28" s="81">
        <f t="shared" si="5"/>
        <v>0</v>
      </c>
      <c r="AH28" s="82"/>
      <c r="AI28" s="77"/>
      <c r="AJ28" s="100">
        <v>1</v>
      </c>
      <c r="AK28" s="101">
        <v>0.1</v>
      </c>
      <c r="AL28" s="85">
        <f t="shared" si="6"/>
        <v>0.1</v>
      </c>
      <c r="AM28" s="102" t="s">
        <v>604</v>
      </c>
      <c r="AN28" s="77"/>
      <c r="AO28" s="100">
        <v>1</v>
      </c>
      <c r="AP28" s="101">
        <v>0.6</v>
      </c>
      <c r="AQ28" s="85">
        <f t="shared" si="7"/>
        <v>0.6</v>
      </c>
      <c r="AR28" s="102" t="s">
        <v>860</v>
      </c>
    </row>
    <row r="29" spans="1:44" ht="126" x14ac:dyDescent="0.25">
      <c r="A29" s="77">
        <v>26</v>
      </c>
      <c r="B29" s="78" t="s">
        <v>6</v>
      </c>
      <c r="C29" s="78" t="s">
        <v>8</v>
      </c>
      <c r="D29" s="78" t="s">
        <v>52</v>
      </c>
      <c r="E29" s="77"/>
      <c r="F29" s="79"/>
      <c r="G29" s="80"/>
      <c r="H29" s="81">
        <f t="shared" si="0"/>
        <v>0</v>
      </c>
      <c r="I29" s="82"/>
      <c r="J29" s="77"/>
      <c r="K29" s="100">
        <v>1</v>
      </c>
      <c r="L29" s="101">
        <v>1</v>
      </c>
      <c r="M29" s="85">
        <f t="shared" si="1"/>
        <v>1</v>
      </c>
      <c r="N29" s="102" t="s">
        <v>147</v>
      </c>
      <c r="O29" s="77"/>
      <c r="P29" s="100">
        <v>1</v>
      </c>
      <c r="Q29" s="101">
        <v>0.85</v>
      </c>
      <c r="R29" s="85">
        <f t="shared" si="10"/>
        <v>0.85</v>
      </c>
      <c r="S29" s="102" t="s">
        <v>842</v>
      </c>
      <c r="T29" s="77"/>
      <c r="U29" s="79"/>
      <c r="V29" s="80"/>
      <c r="W29" s="81">
        <f t="shared" si="3"/>
        <v>0</v>
      </c>
      <c r="X29" s="78"/>
      <c r="Y29" s="77"/>
      <c r="Z29" s="79"/>
      <c r="AA29" s="80"/>
      <c r="AB29" s="81">
        <f t="shared" si="4"/>
        <v>0</v>
      </c>
      <c r="AC29" s="78"/>
      <c r="AD29" s="77"/>
      <c r="AE29" s="79"/>
      <c r="AF29" s="80"/>
      <c r="AG29" s="81">
        <f t="shared" si="5"/>
        <v>0</v>
      </c>
      <c r="AH29" s="78"/>
      <c r="AI29" s="77"/>
      <c r="AJ29" s="100">
        <v>1</v>
      </c>
      <c r="AK29" s="101">
        <v>0.1</v>
      </c>
      <c r="AL29" s="85">
        <f t="shared" si="6"/>
        <v>0.1</v>
      </c>
      <c r="AM29" s="102" t="s">
        <v>605</v>
      </c>
      <c r="AN29" s="77"/>
      <c r="AO29" s="100">
        <v>1</v>
      </c>
      <c r="AP29" s="101">
        <v>0.75</v>
      </c>
      <c r="AQ29" s="85">
        <f t="shared" si="7"/>
        <v>0.75</v>
      </c>
      <c r="AR29" s="102" t="s">
        <v>861</v>
      </c>
    </row>
    <row r="30" spans="1:44" ht="330.75" x14ac:dyDescent="0.25">
      <c r="A30" s="77">
        <v>27</v>
      </c>
      <c r="B30" s="78" t="s">
        <v>6</v>
      </c>
      <c r="C30" s="78" t="s">
        <v>8</v>
      </c>
      <c r="D30" s="78" t="s">
        <v>53</v>
      </c>
      <c r="E30" s="77"/>
      <c r="F30" s="79"/>
      <c r="G30" s="80"/>
      <c r="H30" s="81">
        <f t="shared" si="0"/>
        <v>0</v>
      </c>
      <c r="I30" s="82"/>
      <c r="J30" s="77"/>
      <c r="K30" s="100">
        <v>1</v>
      </c>
      <c r="L30" s="101">
        <v>1</v>
      </c>
      <c r="M30" s="85">
        <f t="shared" si="1"/>
        <v>1</v>
      </c>
      <c r="N30" s="102"/>
      <c r="O30" s="77"/>
      <c r="P30" s="100">
        <v>1</v>
      </c>
      <c r="Q30" s="101">
        <v>0.6</v>
      </c>
      <c r="R30" s="85">
        <f t="shared" si="10"/>
        <v>0.6</v>
      </c>
      <c r="S30" s="102" t="s">
        <v>464</v>
      </c>
      <c r="T30" s="77"/>
      <c r="U30" s="79"/>
      <c r="V30" s="80"/>
      <c r="W30" s="81">
        <f t="shared" si="3"/>
        <v>0</v>
      </c>
      <c r="X30" s="82"/>
      <c r="Y30" s="77"/>
      <c r="Z30" s="79"/>
      <c r="AA30" s="80"/>
      <c r="AB30" s="81">
        <f t="shared" si="4"/>
        <v>0</v>
      </c>
      <c r="AC30" s="82"/>
      <c r="AD30" s="77"/>
      <c r="AE30" s="79"/>
      <c r="AF30" s="80"/>
      <c r="AG30" s="81">
        <f t="shared" si="5"/>
        <v>0</v>
      </c>
      <c r="AH30" s="82"/>
      <c r="AI30" s="77"/>
      <c r="AJ30" s="100">
        <v>1</v>
      </c>
      <c r="AK30" s="101">
        <v>0.85</v>
      </c>
      <c r="AL30" s="85">
        <f t="shared" si="6"/>
        <v>0.85</v>
      </c>
      <c r="AM30" s="102" t="s">
        <v>606</v>
      </c>
      <c r="AN30" s="77"/>
      <c r="AO30" s="100">
        <v>1</v>
      </c>
      <c r="AP30" s="101">
        <v>1</v>
      </c>
      <c r="AQ30" s="85">
        <f t="shared" si="7"/>
        <v>1</v>
      </c>
      <c r="AR30" s="102"/>
    </row>
    <row r="31" spans="1:44" ht="110.25" x14ac:dyDescent="0.25">
      <c r="A31" s="77">
        <v>28</v>
      </c>
      <c r="B31" s="78" t="s">
        <v>6</v>
      </c>
      <c r="C31" s="78" t="s">
        <v>8</v>
      </c>
      <c r="D31" s="78" t="s">
        <v>54</v>
      </c>
      <c r="E31" s="77"/>
      <c r="F31" s="79"/>
      <c r="G31" s="80"/>
      <c r="H31" s="81">
        <f t="shared" si="0"/>
        <v>0</v>
      </c>
      <c r="I31" s="82"/>
      <c r="J31" s="77"/>
      <c r="K31" s="100">
        <v>1</v>
      </c>
      <c r="L31" s="101">
        <v>1</v>
      </c>
      <c r="M31" s="85">
        <f t="shared" si="1"/>
        <v>1</v>
      </c>
      <c r="N31" s="102" t="s">
        <v>785</v>
      </c>
      <c r="O31" s="77"/>
      <c r="P31" s="100">
        <v>1</v>
      </c>
      <c r="Q31" s="101">
        <v>1</v>
      </c>
      <c r="R31" s="85">
        <f t="shared" si="10"/>
        <v>1</v>
      </c>
      <c r="S31" s="102" t="s">
        <v>751</v>
      </c>
      <c r="T31" s="77"/>
      <c r="U31" s="79"/>
      <c r="V31" s="80"/>
      <c r="W31" s="81">
        <f t="shared" si="3"/>
        <v>0</v>
      </c>
      <c r="X31" s="82"/>
      <c r="Y31" s="77"/>
      <c r="Z31" s="79"/>
      <c r="AA31" s="80"/>
      <c r="AB31" s="81">
        <f t="shared" si="4"/>
        <v>0</v>
      </c>
      <c r="AC31" s="82"/>
      <c r="AD31" s="77"/>
      <c r="AE31" s="79"/>
      <c r="AF31" s="80"/>
      <c r="AG31" s="81">
        <f t="shared" si="5"/>
        <v>0</v>
      </c>
      <c r="AH31" s="82"/>
      <c r="AI31" s="77"/>
      <c r="AJ31" s="100">
        <v>1</v>
      </c>
      <c r="AK31" s="101">
        <v>1</v>
      </c>
      <c r="AL31" s="85">
        <f t="shared" si="6"/>
        <v>1</v>
      </c>
      <c r="AM31" s="102" t="s">
        <v>672</v>
      </c>
      <c r="AN31" s="77"/>
      <c r="AO31" s="100">
        <v>1</v>
      </c>
      <c r="AP31" s="101">
        <v>1</v>
      </c>
      <c r="AQ31" s="85">
        <f t="shared" si="7"/>
        <v>1</v>
      </c>
      <c r="AR31" s="102" t="s">
        <v>862</v>
      </c>
    </row>
    <row r="32" spans="1:44" ht="126" x14ac:dyDescent="0.25">
      <c r="A32" s="77">
        <v>29</v>
      </c>
      <c r="B32" s="78" t="s">
        <v>6</v>
      </c>
      <c r="C32" s="78" t="s">
        <v>8</v>
      </c>
      <c r="D32" s="78" t="s">
        <v>55</v>
      </c>
      <c r="E32" s="77"/>
      <c r="F32" s="79"/>
      <c r="G32" s="80"/>
      <c r="H32" s="81">
        <f t="shared" si="0"/>
        <v>0</v>
      </c>
      <c r="I32" s="82"/>
      <c r="J32" s="77"/>
      <c r="K32" s="100">
        <v>1</v>
      </c>
      <c r="L32" s="101">
        <v>1</v>
      </c>
      <c r="M32" s="85">
        <f t="shared" si="1"/>
        <v>1</v>
      </c>
      <c r="N32" s="102" t="s">
        <v>406</v>
      </c>
      <c r="O32" s="77"/>
      <c r="P32" s="100">
        <v>1</v>
      </c>
      <c r="Q32" s="101">
        <v>1</v>
      </c>
      <c r="R32" s="85">
        <f t="shared" si="10"/>
        <v>1</v>
      </c>
      <c r="S32" s="102" t="s">
        <v>843</v>
      </c>
      <c r="T32" s="77"/>
      <c r="U32" s="79"/>
      <c r="V32" s="80"/>
      <c r="W32" s="81">
        <f t="shared" si="3"/>
        <v>0</v>
      </c>
      <c r="X32" s="82"/>
      <c r="Y32" s="77"/>
      <c r="Z32" s="79"/>
      <c r="AA32" s="80"/>
      <c r="AB32" s="81">
        <f t="shared" si="4"/>
        <v>0</v>
      </c>
      <c r="AC32" s="82"/>
      <c r="AD32" s="77"/>
      <c r="AE32" s="79"/>
      <c r="AF32" s="80"/>
      <c r="AG32" s="81">
        <f t="shared" si="5"/>
        <v>0</v>
      </c>
      <c r="AH32" s="82"/>
      <c r="AI32" s="77"/>
      <c r="AJ32" s="100">
        <v>1</v>
      </c>
      <c r="AK32" s="101">
        <v>1</v>
      </c>
      <c r="AL32" s="85">
        <f t="shared" si="6"/>
        <v>1</v>
      </c>
      <c r="AM32" s="102" t="s">
        <v>673</v>
      </c>
      <c r="AN32" s="77"/>
      <c r="AO32" s="100">
        <v>1</v>
      </c>
      <c r="AP32" s="101">
        <v>1</v>
      </c>
      <c r="AQ32" s="85">
        <f t="shared" si="7"/>
        <v>1</v>
      </c>
      <c r="AR32" s="102" t="s">
        <v>863</v>
      </c>
    </row>
    <row r="33" spans="1:44" ht="173.25" x14ac:dyDescent="0.25">
      <c r="A33" s="77">
        <v>30</v>
      </c>
      <c r="B33" s="78" t="s">
        <v>6</v>
      </c>
      <c r="C33" s="78" t="s">
        <v>8</v>
      </c>
      <c r="D33" s="78" t="s">
        <v>56</v>
      </c>
      <c r="E33" s="77"/>
      <c r="F33" s="79"/>
      <c r="G33" s="80"/>
      <c r="H33" s="81">
        <f t="shared" si="0"/>
        <v>0</v>
      </c>
      <c r="I33" s="82"/>
      <c r="J33" s="77"/>
      <c r="K33" s="100">
        <v>1</v>
      </c>
      <c r="L33" s="101">
        <v>1</v>
      </c>
      <c r="M33" s="85">
        <f t="shared" si="1"/>
        <v>1</v>
      </c>
      <c r="N33" s="102" t="s">
        <v>833</v>
      </c>
      <c r="O33" s="77"/>
      <c r="P33" s="100">
        <v>1</v>
      </c>
      <c r="Q33" s="101">
        <v>0.5</v>
      </c>
      <c r="R33" s="85">
        <f t="shared" si="10"/>
        <v>0.5</v>
      </c>
      <c r="S33" s="102" t="s">
        <v>465</v>
      </c>
      <c r="T33" s="77"/>
      <c r="U33" s="79"/>
      <c r="V33" s="80"/>
      <c r="W33" s="81">
        <f t="shared" si="3"/>
        <v>0</v>
      </c>
      <c r="X33" s="82"/>
      <c r="Y33" s="77"/>
      <c r="Z33" s="79"/>
      <c r="AA33" s="80"/>
      <c r="AB33" s="81">
        <f t="shared" si="4"/>
        <v>0</v>
      </c>
      <c r="AC33" s="82"/>
      <c r="AD33" s="77"/>
      <c r="AE33" s="79"/>
      <c r="AF33" s="80"/>
      <c r="AG33" s="81">
        <f t="shared" si="5"/>
        <v>0</v>
      </c>
      <c r="AH33" s="82"/>
      <c r="AI33" s="77"/>
      <c r="AJ33" s="100">
        <v>1</v>
      </c>
      <c r="AK33" s="101">
        <v>0.3</v>
      </c>
      <c r="AL33" s="85">
        <f t="shared" si="6"/>
        <v>0.3</v>
      </c>
      <c r="AM33" s="102" t="s">
        <v>809</v>
      </c>
      <c r="AN33" s="77"/>
      <c r="AO33" s="100">
        <v>1</v>
      </c>
      <c r="AP33" s="101">
        <v>0.5</v>
      </c>
      <c r="AQ33" s="85">
        <f t="shared" si="7"/>
        <v>0.5</v>
      </c>
      <c r="AR33" s="102" t="s">
        <v>822</v>
      </c>
    </row>
    <row r="34" spans="1:44" ht="94.5" customHeight="1" x14ac:dyDescent="0.25">
      <c r="A34" s="77">
        <v>31</v>
      </c>
      <c r="B34" s="78" t="s">
        <v>6</v>
      </c>
      <c r="C34" s="78" t="s">
        <v>9</v>
      </c>
      <c r="D34" s="102" t="s">
        <v>57</v>
      </c>
      <c r="E34" s="77"/>
      <c r="F34" s="79"/>
      <c r="G34" s="80"/>
      <c r="H34" s="81">
        <f t="shared" si="0"/>
        <v>0</v>
      </c>
      <c r="I34" s="82"/>
      <c r="J34" s="77"/>
      <c r="K34" s="100">
        <v>1</v>
      </c>
      <c r="L34" s="101">
        <v>0.62</v>
      </c>
      <c r="M34" s="85">
        <f t="shared" si="1"/>
        <v>0.62</v>
      </c>
      <c r="N34" s="102" t="s">
        <v>834</v>
      </c>
      <c r="O34" s="77"/>
      <c r="P34" s="100">
        <v>1</v>
      </c>
      <c r="Q34" s="101">
        <v>0.3</v>
      </c>
      <c r="R34" s="85">
        <f t="shared" si="2"/>
        <v>0.3</v>
      </c>
      <c r="S34" s="102" t="s">
        <v>844</v>
      </c>
      <c r="T34" s="77"/>
      <c r="U34" s="79"/>
      <c r="V34" s="80"/>
      <c r="W34" s="81">
        <f t="shared" si="3"/>
        <v>0</v>
      </c>
      <c r="X34" s="82"/>
      <c r="Y34" s="77"/>
      <c r="Z34" s="79"/>
      <c r="AA34" s="80"/>
      <c r="AB34" s="81">
        <f t="shared" si="4"/>
        <v>0</v>
      </c>
      <c r="AC34" s="82"/>
      <c r="AD34" s="77"/>
      <c r="AE34" s="79"/>
      <c r="AF34" s="80"/>
      <c r="AG34" s="81">
        <f t="shared" si="5"/>
        <v>0</v>
      </c>
      <c r="AH34" s="82"/>
      <c r="AI34" s="77"/>
      <c r="AJ34" s="100">
        <v>1</v>
      </c>
      <c r="AK34" s="101">
        <v>0.3</v>
      </c>
      <c r="AL34" s="85">
        <f t="shared" si="6"/>
        <v>0.3</v>
      </c>
      <c r="AM34" s="102" t="s">
        <v>610</v>
      </c>
      <c r="AN34" s="77"/>
      <c r="AO34" s="100">
        <v>1</v>
      </c>
      <c r="AP34" s="101">
        <v>0.5</v>
      </c>
      <c r="AQ34" s="85">
        <f t="shared" si="7"/>
        <v>0.5</v>
      </c>
      <c r="AR34" s="102" t="s">
        <v>194</v>
      </c>
    </row>
    <row r="35" spans="1:44" ht="220.5" x14ac:dyDescent="0.25">
      <c r="A35" s="77">
        <v>32</v>
      </c>
      <c r="B35" s="78" t="s">
        <v>6</v>
      </c>
      <c r="C35" s="78" t="s">
        <v>9</v>
      </c>
      <c r="D35" s="102" t="s">
        <v>58</v>
      </c>
      <c r="E35" s="77"/>
      <c r="F35" s="79"/>
      <c r="G35" s="80"/>
      <c r="H35" s="81">
        <f t="shared" si="0"/>
        <v>0</v>
      </c>
      <c r="I35" s="78"/>
      <c r="J35" s="77"/>
      <c r="K35" s="100">
        <v>1</v>
      </c>
      <c r="L35" s="101">
        <v>0.9</v>
      </c>
      <c r="M35" s="85">
        <f t="shared" si="1"/>
        <v>0.9</v>
      </c>
      <c r="N35" s="102" t="s">
        <v>152</v>
      </c>
      <c r="O35" s="77"/>
      <c r="P35" s="100">
        <v>1</v>
      </c>
      <c r="Q35" s="101">
        <v>0.7</v>
      </c>
      <c r="R35" s="85">
        <f t="shared" si="2"/>
        <v>0.7</v>
      </c>
      <c r="S35" s="102" t="s">
        <v>332</v>
      </c>
      <c r="T35" s="77"/>
      <c r="U35" s="79"/>
      <c r="V35" s="80"/>
      <c r="W35" s="81">
        <f t="shared" si="3"/>
        <v>0</v>
      </c>
      <c r="X35" s="82"/>
      <c r="Y35" s="77"/>
      <c r="Z35" s="79"/>
      <c r="AA35" s="80"/>
      <c r="AB35" s="81">
        <f t="shared" si="4"/>
        <v>0</v>
      </c>
      <c r="AC35" s="82"/>
      <c r="AD35" s="77"/>
      <c r="AE35" s="79"/>
      <c r="AF35" s="80"/>
      <c r="AG35" s="81">
        <f t="shared" si="5"/>
        <v>0</v>
      </c>
      <c r="AH35" s="82"/>
      <c r="AI35" s="77"/>
      <c r="AJ35" s="100">
        <v>1</v>
      </c>
      <c r="AK35" s="101">
        <v>0.1</v>
      </c>
      <c r="AL35" s="85">
        <f t="shared" si="6"/>
        <v>0.1</v>
      </c>
      <c r="AM35" s="102" t="s">
        <v>611</v>
      </c>
      <c r="AN35" s="77"/>
      <c r="AO35" s="100">
        <v>1</v>
      </c>
      <c r="AP35" s="101">
        <v>0.5</v>
      </c>
      <c r="AQ35" s="85">
        <f t="shared" si="7"/>
        <v>0.5</v>
      </c>
      <c r="AR35" s="102" t="s">
        <v>348</v>
      </c>
    </row>
    <row r="36" spans="1:44" ht="189" x14ac:dyDescent="0.25">
      <c r="A36" s="77">
        <v>33</v>
      </c>
      <c r="B36" s="78" t="s">
        <v>6</v>
      </c>
      <c r="C36" s="78" t="s">
        <v>9</v>
      </c>
      <c r="D36" s="78" t="s">
        <v>59</v>
      </c>
      <c r="E36" s="77"/>
      <c r="F36" s="79"/>
      <c r="G36" s="80"/>
      <c r="H36" s="81">
        <f t="shared" si="0"/>
        <v>0</v>
      </c>
      <c r="I36" s="82"/>
      <c r="J36" s="77"/>
      <c r="K36" s="100">
        <v>1</v>
      </c>
      <c r="L36" s="101">
        <v>1</v>
      </c>
      <c r="M36" s="85">
        <f t="shared" si="1"/>
        <v>1</v>
      </c>
      <c r="N36" s="102"/>
      <c r="O36" s="77"/>
      <c r="P36" s="100">
        <v>1</v>
      </c>
      <c r="Q36" s="101">
        <v>0.5</v>
      </c>
      <c r="R36" s="85">
        <f t="shared" si="2"/>
        <v>0.5</v>
      </c>
      <c r="S36" s="102" t="s">
        <v>845</v>
      </c>
      <c r="T36" s="77"/>
      <c r="U36" s="79"/>
      <c r="V36" s="80"/>
      <c r="W36" s="81">
        <f t="shared" si="3"/>
        <v>0</v>
      </c>
      <c r="X36" s="82"/>
      <c r="Y36" s="77"/>
      <c r="Z36" s="79"/>
      <c r="AA36" s="80"/>
      <c r="AB36" s="81">
        <f t="shared" si="4"/>
        <v>0</v>
      </c>
      <c r="AC36" s="82"/>
      <c r="AD36" s="77"/>
      <c r="AE36" s="79"/>
      <c r="AF36" s="80"/>
      <c r="AG36" s="81">
        <f t="shared" si="5"/>
        <v>0</v>
      </c>
      <c r="AH36" s="82"/>
      <c r="AI36" s="77"/>
      <c r="AJ36" s="100">
        <v>1</v>
      </c>
      <c r="AK36" s="101">
        <v>0.5</v>
      </c>
      <c r="AL36" s="85">
        <f t="shared" si="6"/>
        <v>0.5</v>
      </c>
      <c r="AM36" s="102" t="s">
        <v>612</v>
      </c>
      <c r="AN36" s="77"/>
      <c r="AO36" s="100">
        <v>1</v>
      </c>
      <c r="AP36" s="101">
        <v>0.8</v>
      </c>
      <c r="AQ36" s="85">
        <f t="shared" si="7"/>
        <v>0.8</v>
      </c>
      <c r="AR36" s="102" t="s">
        <v>196</v>
      </c>
    </row>
    <row r="37" spans="1:44" ht="126" x14ac:dyDescent="0.25">
      <c r="A37" s="77">
        <v>34</v>
      </c>
      <c r="B37" s="78" t="s">
        <v>6</v>
      </c>
      <c r="C37" s="78" t="s">
        <v>9</v>
      </c>
      <c r="D37" s="78" t="s">
        <v>60</v>
      </c>
      <c r="E37" s="77"/>
      <c r="F37" s="79"/>
      <c r="G37" s="80"/>
      <c r="H37" s="81">
        <f t="shared" si="0"/>
        <v>0</v>
      </c>
      <c r="I37" s="82"/>
      <c r="J37" s="77"/>
      <c r="K37" s="100">
        <v>1</v>
      </c>
      <c r="L37" s="101">
        <v>1</v>
      </c>
      <c r="M37" s="85">
        <f t="shared" si="1"/>
        <v>1</v>
      </c>
      <c r="N37" s="102" t="s">
        <v>835</v>
      </c>
      <c r="O37" s="77"/>
      <c r="P37" s="100">
        <v>1</v>
      </c>
      <c r="Q37" s="101">
        <v>1</v>
      </c>
      <c r="R37" s="85">
        <f t="shared" si="2"/>
        <v>1</v>
      </c>
      <c r="S37" s="102" t="s">
        <v>176</v>
      </c>
      <c r="T37" s="77"/>
      <c r="U37" s="79"/>
      <c r="V37" s="80"/>
      <c r="W37" s="81">
        <f t="shared" si="3"/>
        <v>0</v>
      </c>
      <c r="X37" s="82"/>
      <c r="Y37" s="77"/>
      <c r="Z37" s="79"/>
      <c r="AA37" s="80"/>
      <c r="AB37" s="81">
        <f t="shared" si="4"/>
        <v>0</v>
      </c>
      <c r="AC37" s="82"/>
      <c r="AD37" s="77"/>
      <c r="AE37" s="79"/>
      <c r="AF37" s="80"/>
      <c r="AG37" s="81">
        <f t="shared" si="5"/>
        <v>0</v>
      </c>
      <c r="AH37" s="82"/>
      <c r="AI37" s="77"/>
      <c r="AJ37" s="100">
        <v>1</v>
      </c>
      <c r="AK37" s="101">
        <v>1</v>
      </c>
      <c r="AL37" s="85">
        <f t="shared" si="6"/>
        <v>1</v>
      </c>
      <c r="AM37" s="102" t="s">
        <v>613</v>
      </c>
      <c r="AN37" s="77"/>
      <c r="AO37" s="100">
        <v>0</v>
      </c>
      <c r="AP37" s="101"/>
      <c r="AQ37" s="85">
        <f t="shared" si="7"/>
        <v>0</v>
      </c>
      <c r="AR37" s="102" t="s">
        <v>297</v>
      </c>
    </row>
    <row r="38" spans="1:44" ht="252" x14ac:dyDescent="0.25">
      <c r="A38" s="77">
        <v>35</v>
      </c>
      <c r="B38" s="78" t="s">
        <v>6</v>
      </c>
      <c r="C38" s="78" t="s">
        <v>9</v>
      </c>
      <c r="D38" s="78" t="s">
        <v>61</v>
      </c>
      <c r="E38" s="77"/>
      <c r="F38" s="79"/>
      <c r="G38" s="80"/>
      <c r="H38" s="81">
        <f t="shared" si="0"/>
        <v>0</v>
      </c>
      <c r="I38" s="82"/>
      <c r="J38" s="77"/>
      <c r="K38" s="100">
        <v>1</v>
      </c>
      <c r="L38" s="101">
        <v>0.9</v>
      </c>
      <c r="M38" s="85">
        <f t="shared" si="1"/>
        <v>0.9</v>
      </c>
      <c r="N38" s="102" t="s">
        <v>452</v>
      </c>
      <c r="O38" s="77"/>
      <c r="P38" s="100">
        <v>1</v>
      </c>
      <c r="Q38" s="101">
        <v>0.98</v>
      </c>
      <c r="R38" s="85">
        <f t="shared" si="2"/>
        <v>0.98</v>
      </c>
      <c r="S38" s="102" t="s">
        <v>234</v>
      </c>
      <c r="T38" s="77"/>
      <c r="U38" s="79"/>
      <c r="V38" s="80"/>
      <c r="W38" s="81">
        <f t="shared" si="3"/>
        <v>0</v>
      </c>
      <c r="X38" s="82"/>
      <c r="Y38" s="77"/>
      <c r="Z38" s="79"/>
      <c r="AA38" s="80"/>
      <c r="AB38" s="81">
        <f t="shared" si="4"/>
        <v>0</v>
      </c>
      <c r="AC38" s="82"/>
      <c r="AD38" s="77"/>
      <c r="AE38" s="79"/>
      <c r="AF38" s="80"/>
      <c r="AG38" s="81">
        <f t="shared" si="5"/>
        <v>0</v>
      </c>
      <c r="AH38" s="82"/>
      <c r="AI38" s="77"/>
      <c r="AJ38" s="100">
        <v>1</v>
      </c>
      <c r="AK38" s="101">
        <v>0.1</v>
      </c>
      <c r="AL38" s="85">
        <f t="shared" si="6"/>
        <v>0.1</v>
      </c>
      <c r="AM38" s="102" t="s">
        <v>723</v>
      </c>
      <c r="AN38" s="77"/>
      <c r="AO38" s="100">
        <v>1</v>
      </c>
      <c r="AP38" s="101">
        <v>0.65</v>
      </c>
      <c r="AQ38" s="85">
        <f t="shared" si="7"/>
        <v>0.65</v>
      </c>
      <c r="AR38" s="102" t="s">
        <v>864</v>
      </c>
    </row>
    <row r="39" spans="1:44" ht="409.5" x14ac:dyDescent="0.25">
      <c r="A39" s="77">
        <v>36</v>
      </c>
      <c r="B39" s="78" t="s">
        <v>6</v>
      </c>
      <c r="C39" s="78" t="s">
        <v>9</v>
      </c>
      <c r="D39" s="78" t="s">
        <v>62</v>
      </c>
      <c r="E39" s="77"/>
      <c r="F39" s="79"/>
      <c r="G39" s="80"/>
      <c r="H39" s="81">
        <f t="shared" si="0"/>
        <v>0</v>
      </c>
      <c r="I39" s="82"/>
      <c r="J39" s="77"/>
      <c r="K39" s="100">
        <v>1</v>
      </c>
      <c r="L39" s="101">
        <v>0.9</v>
      </c>
      <c r="M39" s="85">
        <f t="shared" si="1"/>
        <v>0.9</v>
      </c>
      <c r="N39" s="102" t="s">
        <v>578</v>
      </c>
      <c r="O39" s="77"/>
      <c r="P39" s="100">
        <v>1</v>
      </c>
      <c r="Q39" s="101">
        <v>0.96</v>
      </c>
      <c r="R39" s="85">
        <f t="shared" si="2"/>
        <v>0.96</v>
      </c>
      <c r="S39" s="102" t="s">
        <v>177</v>
      </c>
      <c r="T39" s="77"/>
      <c r="U39" s="79"/>
      <c r="V39" s="80"/>
      <c r="W39" s="81">
        <f t="shared" si="3"/>
        <v>0</v>
      </c>
      <c r="X39" s="82"/>
      <c r="Y39" s="77"/>
      <c r="Z39" s="79"/>
      <c r="AA39" s="80"/>
      <c r="AB39" s="81">
        <f t="shared" si="4"/>
        <v>0</v>
      </c>
      <c r="AC39" s="82"/>
      <c r="AD39" s="77"/>
      <c r="AE39" s="79"/>
      <c r="AF39" s="80"/>
      <c r="AG39" s="81">
        <f t="shared" si="5"/>
        <v>0</v>
      </c>
      <c r="AH39" s="82"/>
      <c r="AI39" s="77"/>
      <c r="AJ39" s="100">
        <v>1</v>
      </c>
      <c r="AK39" s="101">
        <v>0.4</v>
      </c>
      <c r="AL39" s="85">
        <f t="shared" si="6"/>
        <v>0.4</v>
      </c>
      <c r="AM39" s="102" t="s">
        <v>675</v>
      </c>
      <c r="AN39" s="77"/>
      <c r="AO39" s="100">
        <v>1</v>
      </c>
      <c r="AP39" s="101">
        <v>0.6</v>
      </c>
      <c r="AQ39" s="85">
        <f t="shared" si="7"/>
        <v>0.6</v>
      </c>
      <c r="AR39" s="102" t="s">
        <v>632</v>
      </c>
    </row>
    <row r="40" spans="1:44" ht="157.5" x14ac:dyDescent="0.25">
      <c r="A40" s="77">
        <v>37</v>
      </c>
      <c r="B40" s="78" t="s">
        <v>6</v>
      </c>
      <c r="C40" s="78" t="s">
        <v>9</v>
      </c>
      <c r="D40" s="78" t="s">
        <v>63</v>
      </c>
      <c r="E40" s="77"/>
      <c r="F40" s="79"/>
      <c r="G40" s="80"/>
      <c r="H40" s="81">
        <f t="shared" si="0"/>
        <v>0</v>
      </c>
      <c r="I40" s="82"/>
      <c r="J40" s="77"/>
      <c r="K40" s="100">
        <v>1</v>
      </c>
      <c r="L40" s="101">
        <v>0.65</v>
      </c>
      <c r="M40" s="85">
        <f t="shared" si="1"/>
        <v>0.65</v>
      </c>
      <c r="N40" s="102" t="s">
        <v>836</v>
      </c>
      <c r="O40" s="77"/>
      <c r="P40" s="100">
        <v>1</v>
      </c>
      <c r="Q40" s="101">
        <v>1</v>
      </c>
      <c r="R40" s="85">
        <f t="shared" si="2"/>
        <v>1</v>
      </c>
      <c r="S40" s="102" t="s">
        <v>285</v>
      </c>
      <c r="T40" s="77"/>
      <c r="U40" s="79"/>
      <c r="V40" s="80"/>
      <c r="W40" s="81">
        <f t="shared" si="3"/>
        <v>0</v>
      </c>
      <c r="X40" s="82"/>
      <c r="Y40" s="77"/>
      <c r="Z40" s="79"/>
      <c r="AA40" s="80"/>
      <c r="AB40" s="81">
        <f t="shared" si="4"/>
        <v>0</v>
      </c>
      <c r="AC40" s="82"/>
      <c r="AD40" s="77"/>
      <c r="AE40" s="79"/>
      <c r="AF40" s="80"/>
      <c r="AG40" s="81">
        <f t="shared" si="5"/>
        <v>0</v>
      </c>
      <c r="AH40" s="82"/>
      <c r="AI40" s="77"/>
      <c r="AJ40" s="100">
        <v>1</v>
      </c>
      <c r="AK40" s="101">
        <v>0.99</v>
      </c>
      <c r="AL40" s="85">
        <f t="shared" si="6"/>
        <v>0.99</v>
      </c>
      <c r="AM40" s="102" t="s">
        <v>616</v>
      </c>
      <c r="AN40" s="77"/>
      <c r="AO40" s="100">
        <v>1</v>
      </c>
      <c r="AP40" s="101">
        <v>0.6</v>
      </c>
      <c r="AQ40" s="85">
        <f t="shared" si="7"/>
        <v>0.6</v>
      </c>
      <c r="AR40" s="102" t="s">
        <v>199</v>
      </c>
    </row>
    <row r="41" spans="1:44" ht="236.25" x14ac:dyDescent="0.25">
      <c r="A41" s="77">
        <v>38</v>
      </c>
      <c r="B41" s="78" t="s">
        <v>10</v>
      </c>
      <c r="C41" s="78" t="s">
        <v>11</v>
      </c>
      <c r="D41" s="78" t="s">
        <v>65</v>
      </c>
      <c r="E41" s="77"/>
      <c r="F41" s="79"/>
      <c r="G41" s="80"/>
      <c r="H41" s="81">
        <f t="shared" si="0"/>
        <v>0</v>
      </c>
      <c r="I41" s="82"/>
      <c r="J41" s="77"/>
      <c r="K41" s="100">
        <v>1</v>
      </c>
      <c r="L41" s="101">
        <v>0.95</v>
      </c>
      <c r="M41" s="85">
        <f t="shared" si="1"/>
        <v>0.95</v>
      </c>
      <c r="N41" s="78" t="s">
        <v>1485</v>
      </c>
      <c r="O41" s="77"/>
      <c r="P41" s="100">
        <v>1</v>
      </c>
      <c r="Q41" s="101">
        <v>0.8</v>
      </c>
      <c r="R41" s="85">
        <f t="shared" si="2"/>
        <v>0.8</v>
      </c>
      <c r="S41" s="78" t="s">
        <v>1499</v>
      </c>
      <c r="T41" s="77"/>
      <c r="U41" s="79"/>
      <c r="V41" s="80"/>
      <c r="W41" s="81">
        <f t="shared" si="3"/>
        <v>0</v>
      </c>
      <c r="X41" s="82"/>
      <c r="Y41" s="77"/>
      <c r="Z41" s="79"/>
      <c r="AA41" s="80"/>
      <c r="AB41" s="81">
        <f t="shared" si="4"/>
        <v>0</v>
      </c>
      <c r="AC41" s="82"/>
      <c r="AD41" s="77"/>
      <c r="AE41" s="79"/>
      <c r="AF41" s="80"/>
      <c r="AG41" s="81">
        <f t="shared" si="5"/>
        <v>0</v>
      </c>
      <c r="AH41" s="82"/>
      <c r="AI41" s="77"/>
      <c r="AJ41" s="100">
        <v>1</v>
      </c>
      <c r="AK41" s="101">
        <v>0.6</v>
      </c>
      <c r="AL41" s="85">
        <f t="shared" si="6"/>
        <v>0.6</v>
      </c>
      <c r="AM41" s="78" t="s">
        <v>1486</v>
      </c>
      <c r="AN41" s="77"/>
      <c r="AO41" s="100">
        <v>1</v>
      </c>
      <c r="AP41" s="101">
        <v>0.9</v>
      </c>
      <c r="AQ41" s="85">
        <f t="shared" si="7"/>
        <v>0.9</v>
      </c>
      <c r="AR41" s="78" t="s">
        <v>1487</v>
      </c>
    </row>
    <row r="42" spans="1:44" ht="105.75" customHeight="1" x14ac:dyDescent="0.25">
      <c r="A42" s="77">
        <v>39</v>
      </c>
      <c r="B42" s="78" t="s">
        <v>10</v>
      </c>
      <c r="C42" s="78" t="s">
        <v>11</v>
      </c>
      <c r="D42" s="78" t="s">
        <v>66</v>
      </c>
      <c r="E42" s="77"/>
      <c r="F42" s="79"/>
      <c r="G42" s="80"/>
      <c r="H42" s="81">
        <f t="shared" si="0"/>
        <v>0</v>
      </c>
      <c r="I42" s="82"/>
      <c r="J42" s="77"/>
      <c r="K42" s="100">
        <v>1</v>
      </c>
      <c r="L42" s="101">
        <v>1</v>
      </c>
      <c r="M42" s="85">
        <f t="shared" si="1"/>
        <v>1</v>
      </c>
      <c r="N42" s="78" t="s">
        <v>1058</v>
      </c>
      <c r="O42" s="77"/>
      <c r="P42" s="100">
        <v>1</v>
      </c>
      <c r="Q42" s="101">
        <v>1</v>
      </c>
      <c r="R42" s="85">
        <f t="shared" si="2"/>
        <v>1</v>
      </c>
      <c r="S42" s="78" t="s">
        <v>1075</v>
      </c>
      <c r="T42" s="77"/>
      <c r="U42" s="79"/>
      <c r="V42" s="80"/>
      <c r="W42" s="81">
        <f t="shared" si="3"/>
        <v>0</v>
      </c>
      <c r="X42" s="82"/>
      <c r="Y42" s="77"/>
      <c r="Z42" s="79"/>
      <c r="AA42" s="80"/>
      <c r="AB42" s="81">
        <f t="shared" si="4"/>
        <v>0</v>
      </c>
      <c r="AC42" s="82"/>
      <c r="AD42" s="77"/>
      <c r="AE42" s="79"/>
      <c r="AF42" s="80"/>
      <c r="AG42" s="81">
        <f t="shared" si="5"/>
        <v>0</v>
      </c>
      <c r="AH42" s="82"/>
      <c r="AI42" s="77"/>
      <c r="AJ42" s="100">
        <v>1</v>
      </c>
      <c r="AK42" s="101">
        <v>1</v>
      </c>
      <c r="AL42" s="85">
        <f t="shared" si="6"/>
        <v>1</v>
      </c>
      <c r="AM42" s="78" t="s">
        <v>1079</v>
      </c>
      <c r="AN42" s="77"/>
      <c r="AO42" s="100">
        <v>1</v>
      </c>
      <c r="AP42" s="101">
        <v>1</v>
      </c>
      <c r="AQ42" s="85">
        <f t="shared" si="7"/>
        <v>1</v>
      </c>
      <c r="AR42" s="78" t="s">
        <v>1072</v>
      </c>
    </row>
    <row r="43" spans="1:44" ht="45.75" customHeight="1" x14ac:dyDescent="0.25">
      <c r="A43" s="77">
        <v>40</v>
      </c>
      <c r="B43" s="78" t="s">
        <v>10</v>
      </c>
      <c r="C43" s="78" t="s">
        <v>11</v>
      </c>
      <c r="D43" s="78" t="s">
        <v>67</v>
      </c>
      <c r="E43" s="77"/>
      <c r="F43" s="79"/>
      <c r="G43" s="80"/>
      <c r="H43" s="81">
        <f t="shared" si="0"/>
        <v>0</v>
      </c>
      <c r="I43" s="82"/>
      <c r="J43" s="77"/>
      <c r="K43" s="100">
        <v>1</v>
      </c>
      <c r="L43" s="101">
        <v>0.8</v>
      </c>
      <c r="M43" s="85">
        <f t="shared" si="1"/>
        <v>0.8</v>
      </c>
      <c r="N43" s="78" t="s">
        <v>1500</v>
      </c>
      <c r="O43" s="77"/>
      <c r="P43" s="100">
        <v>1</v>
      </c>
      <c r="Q43" s="101">
        <v>0.9</v>
      </c>
      <c r="R43" s="85">
        <f t="shared" si="2"/>
        <v>0.9</v>
      </c>
      <c r="S43" s="78" t="s">
        <v>1488</v>
      </c>
      <c r="T43" s="77"/>
      <c r="U43" s="79"/>
      <c r="V43" s="80"/>
      <c r="W43" s="81">
        <f t="shared" si="3"/>
        <v>0</v>
      </c>
      <c r="X43" s="82"/>
      <c r="Y43" s="77"/>
      <c r="Z43" s="79"/>
      <c r="AA43" s="80"/>
      <c r="AB43" s="81">
        <f t="shared" si="4"/>
        <v>0</v>
      </c>
      <c r="AC43" s="82"/>
      <c r="AD43" s="77"/>
      <c r="AE43" s="79"/>
      <c r="AF43" s="80"/>
      <c r="AG43" s="81">
        <f t="shared" si="5"/>
        <v>0</v>
      </c>
      <c r="AH43" s="82"/>
      <c r="AI43" s="77"/>
      <c r="AJ43" s="100">
        <v>1</v>
      </c>
      <c r="AK43" s="101">
        <v>0.6</v>
      </c>
      <c r="AL43" s="85">
        <f t="shared" si="6"/>
        <v>0.6</v>
      </c>
      <c r="AM43" s="78" t="s">
        <v>1489</v>
      </c>
      <c r="AN43" s="77"/>
      <c r="AO43" s="100">
        <v>1</v>
      </c>
      <c r="AP43" s="101">
        <v>0.75</v>
      </c>
      <c r="AQ43" s="85">
        <f t="shared" si="7"/>
        <v>0.75</v>
      </c>
      <c r="AR43" s="78" t="s">
        <v>1490</v>
      </c>
    </row>
    <row r="44" spans="1:44" ht="94.5" x14ac:dyDescent="0.25">
      <c r="A44" s="77">
        <v>41</v>
      </c>
      <c r="B44" s="78" t="s">
        <v>10</v>
      </c>
      <c r="C44" s="78" t="s">
        <v>11</v>
      </c>
      <c r="D44" s="78" t="s">
        <v>68</v>
      </c>
      <c r="E44" s="77"/>
      <c r="F44" s="79"/>
      <c r="G44" s="80"/>
      <c r="H44" s="81">
        <f t="shared" si="0"/>
        <v>0</v>
      </c>
      <c r="I44" s="82"/>
      <c r="J44" s="77"/>
      <c r="K44" s="100">
        <v>1</v>
      </c>
      <c r="L44" s="101">
        <v>1</v>
      </c>
      <c r="M44" s="85">
        <f t="shared" si="1"/>
        <v>1</v>
      </c>
      <c r="N44" s="78" t="s">
        <v>1059</v>
      </c>
      <c r="O44" s="77"/>
      <c r="P44" s="100">
        <v>1</v>
      </c>
      <c r="Q44" s="101">
        <v>0.87</v>
      </c>
      <c r="R44" s="85">
        <f t="shared" si="2"/>
        <v>0.87</v>
      </c>
      <c r="S44" s="78" t="s">
        <v>1346</v>
      </c>
      <c r="T44" s="77"/>
      <c r="U44" s="79"/>
      <c r="V44" s="80"/>
      <c r="W44" s="81">
        <f t="shared" si="3"/>
        <v>0</v>
      </c>
      <c r="X44" s="82"/>
      <c r="Y44" s="77"/>
      <c r="Z44" s="79"/>
      <c r="AA44" s="80"/>
      <c r="AB44" s="81">
        <f t="shared" si="4"/>
        <v>0</v>
      </c>
      <c r="AC44" s="82"/>
      <c r="AD44" s="77"/>
      <c r="AE44" s="79"/>
      <c r="AF44" s="80"/>
      <c r="AG44" s="81">
        <f t="shared" si="5"/>
        <v>0</v>
      </c>
      <c r="AH44" s="82"/>
      <c r="AI44" s="77"/>
      <c r="AJ44" s="100">
        <v>1</v>
      </c>
      <c r="AK44" s="101">
        <v>0.83</v>
      </c>
      <c r="AL44" s="85">
        <f t="shared" si="6"/>
        <v>0.83</v>
      </c>
      <c r="AM44" s="78" t="s">
        <v>1408</v>
      </c>
      <c r="AN44" s="77"/>
      <c r="AO44" s="100">
        <v>1</v>
      </c>
      <c r="AP44" s="101">
        <v>0.87</v>
      </c>
      <c r="AQ44" s="85">
        <f t="shared" si="7"/>
        <v>0.87</v>
      </c>
      <c r="AR44" s="78" t="s">
        <v>1382</v>
      </c>
    </row>
    <row r="45" spans="1:44" ht="63" x14ac:dyDescent="0.25">
      <c r="A45" s="77">
        <v>42</v>
      </c>
      <c r="B45" s="78" t="s">
        <v>10</v>
      </c>
      <c r="C45" s="78" t="s">
        <v>11</v>
      </c>
      <c r="D45" s="78" t="s">
        <v>69</v>
      </c>
      <c r="E45" s="77"/>
      <c r="F45" s="79"/>
      <c r="G45" s="80"/>
      <c r="H45" s="81">
        <f t="shared" si="0"/>
        <v>0</v>
      </c>
      <c r="I45" s="82"/>
      <c r="J45" s="77"/>
      <c r="K45" s="100">
        <v>1</v>
      </c>
      <c r="L45" s="101">
        <v>1</v>
      </c>
      <c r="M45" s="85">
        <f t="shared" si="1"/>
        <v>1</v>
      </c>
      <c r="N45" s="78" t="s">
        <v>1060</v>
      </c>
      <c r="O45" s="77"/>
      <c r="P45" s="100">
        <v>1</v>
      </c>
      <c r="Q45" s="101">
        <v>0.7</v>
      </c>
      <c r="R45" s="85">
        <f t="shared" si="2"/>
        <v>0.7</v>
      </c>
      <c r="S45" s="78" t="s">
        <v>1276</v>
      </c>
      <c r="T45" s="77"/>
      <c r="U45" s="79"/>
      <c r="V45" s="80"/>
      <c r="W45" s="81">
        <f t="shared" si="3"/>
        <v>0</v>
      </c>
      <c r="X45" s="82"/>
      <c r="Y45" s="77"/>
      <c r="Z45" s="79"/>
      <c r="AA45" s="80"/>
      <c r="AB45" s="81">
        <f t="shared" si="4"/>
        <v>0</v>
      </c>
      <c r="AC45" s="82"/>
      <c r="AD45" s="77"/>
      <c r="AE45" s="79"/>
      <c r="AF45" s="80"/>
      <c r="AG45" s="81">
        <f t="shared" si="5"/>
        <v>0</v>
      </c>
      <c r="AH45" s="82"/>
      <c r="AI45" s="77"/>
      <c r="AJ45" s="100">
        <v>1</v>
      </c>
      <c r="AK45" s="101">
        <v>0.7</v>
      </c>
      <c r="AL45" s="85">
        <f t="shared" si="6"/>
        <v>0.7</v>
      </c>
      <c r="AM45" s="78" t="s">
        <v>1409</v>
      </c>
      <c r="AN45" s="77"/>
      <c r="AO45" s="100">
        <v>1</v>
      </c>
      <c r="AP45" s="101">
        <v>0.95</v>
      </c>
      <c r="AQ45" s="85">
        <f t="shared" si="7"/>
        <v>0.95</v>
      </c>
      <c r="AR45" s="78" t="s">
        <v>1277</v>
      </c>
    </row>
    <row r="46" spans="1:44" ht="110.25" x14ac:dyDescent="0.25">
      <c r="A46" s="77">
        <v>43</v>
      </c>
      <c r="B46" s="78" t="s">
        <v>10</v>
      </c>
      <c r="C46" s="78" t="s">
        <v>11</v>
      </c>
      <c r="D46" s="78" t="s">
        <v>70</v>
      </c>
      <c r="E46" s="77"/>
      <c r="F46" s="79"/>
      <c r="G46" s="80"/>
      <c r="H46" s="81">
        <f t="shared" si="0"/>
        <v>0</v>
      </c>
      <c r="I46" s="82"/>
      <c r="J46" s="77"/>
      <c r="K46" s="100">
        <v>1</v>
      </c>
      <c r="L46" s="101">
        <v>1</v>
      </c>
      <c r="M46" s="85">
        <f t="shared" si="1"/>
        <v>1</v>
      </c>
      <c r="N46" s="78" t="s">
        <v>1078</v>
      </c>
      <c r="O46" s="77"/>
      <c r="P46" s="100">
        <v>1</v>
      </c>
      <c r="Q46" s="101">
        <v>0.85</v>
      </c>
      <c r="R46" s="85">
        <f t="shared" si="2"/>
        <v>0.85</v>
      </c>
      <c r="S46" s="78" t="s">
        <v>1491</v>
      </c>
      <c r="T46" s="77"/>
      <c r="U46" s="79"/>
      <c r="V46" s="80"/>
      <c r="W46" s="81">
        <f t="shared" si="3"/>
        <v>0</v>
      </c>
      <c r="X46" s="82"/>
      <c r="Y46" s="77"/>
      <c r="Z46" s="79"/>
      <c r="AA46" s="80"/>
      <c r="AB46" s="81">
        <f t="shared" si="4"/>
        <v>0</v>
      </c>
      <c r="AC46" s="82"/>
      <c r="AD46" s="77"/>
      <c r="AE46" s="79"/>
      <c r="AF46" s="80"/>
      <c r="AG46" s="81">
        <f t="shared" si="5"/>
        <v>0</v>
      </c>
      <c r="AH46" s="82"/>
      <c r="AI46" s="77"/>
      <c r="AJ46" s="100">
        <v>1</v>
      </c>
      <c r="AK46" s="101">
        <v>0.7</v>
      </c>
      <c r="AL46" s="85">
        <f t="shared" si="6"/>
        <v>0.7</v>
      </c>
      <c r="AM46" s="78" t="s">
        <v>1492</v>
      </c>
      <c r="AN46" s="77"/>
      <c r="AO46" s="100">
        <v>1</v>
      </c>
      <c r="AP46" s="101">
        <v>1</v>
      </c>
      <c r="AQ46" s="85">
        <f t="shared" si="7"/>
        <v>1</v>
      </c>
      <c r="AR46" s="78" t="s">
        <v>1068</v>
      </c>
    </row>
    <row r="47" spans="1:44" ht="63" x14ac:dyDescent="0.25">
      <c r="A47" s="77">
        <v>44</v>
      </c>
      <c r="B47" s="78" t="s">
        <v>10</v>
      </c>
      <c r="C47" s="78" t="s">
        <v>11</v>
      </c>
      <c r="D47" s="78" t="s">
        <v>12</v>
      </c>
      <c r="E47" s="77"/>
      <c r="F47" s="79"/>
      <c r="G47" s="80"/>
      <c r="H47" s="81">
        <f t="shared" si="0"/>
        <v>0</v>
      </c>
      <c r="I47" s="82"/>
      <c r="J47" s="77"/>
      <c r="K47" s="100">
        <v>1</v>
      </c>
      <c r="L47" s="101">
        <v>1</v>
      </c>
      <c r="M47" s="85">
        <f t="shared" si="1"/>
        <v>1</v>
      </c>
      <c r="N47" s="78" t="s">
        <v>1062</v>
      </c>
      <c r="O47" s="77"/>
      <c r="P47" s="100">
        <v>1</v>
      </c>
      <c r="Q47" s="101">
        <v>1</v>
      </c>
      <c r="R47" s="85">
        <f t="shared" si="2"/>
        <v>1</v>
      </c>
      <c r="S47" s="116" t="s">
        <v>1065</v>
      </c>
      <c r="T47" s="77"/>
      <c r="U47" s="79"/>
      <c r="V47" s="80"/>
      <c r="W47" s="81">
        <f t="shared" si="3"/>
        <v>0</v>
      </c>
      <c r="X47" s="82"/>
      <c r="Y47" s="77"/>
      <c r="Z47" s="79"/>
      <c r="AA47" s="80"/>
      <c r="AB47" s="81">
        <f t="shared" si="4"/>
        <v>0</v>
      </c>
      <c r="AC47" s="82"/>
      <c r="AD47" s="77"/>
      <c r="AE47" s="79"/>
      <c r="AF47" s="80"/>
      <c r="AG47" s="81">
        <f t="shared" si="5"/>
        <v>0</v>
      </c>
      <c r="AH47" s="82"/>
      <c r="AI47" s="77"/>
      <c r="AJ47" s="100">
        <v>1</v>
      </c>
      <c r="AK47" s="101">
        <v>0.5</v>
      </c>
      <c r="AL47" s="85">
        <f t="shared" si="6"/>
        <v>0.5</v>
      </c>
      <c r="AM47" s="78" t="s">
        <v>1493</v>
      </c>
      <c r="AN47" s="77"/>
      <c r="AO47" s="100">
        <v>1</v>
      </c>
      <c r="AP47" s="101">
        <v>1</v>
      </c>
      <c r="AQ47" s="85">
        <f t="shared" si="7"/>
        <v>1</v>
      </c>
      <c r="AR47" s="78" t="s">
        <v>1058</v>
      </c>
    </row>
    <row r="48" spans="1:44" ht="110.25" x14ac:dyDescent="0.25">
      <c r="A48" s="77">
        <v>45</v>
      </c>
      <c r="B48" s="78" t="s">
        <v>10</v>
      </c>
      <c r="C48" s="78" t="s">
        <v>71</v>
      </c>
      <c r="D48" s="78" t="s">
        <v>72</v>
      </c>
      <c r="E48" s="77"/>
      <c r="F48" s="79"/>
      <c r="G48" s="80"/>
      <c r="H48" s="81">
        <f t="shared" si="0"/>
        <v>0</v>
      </c>
      <c r="I48" s="82"/>
      <c r="J48" s="77"/>
      <c r="K48" s="100">
        <v>1</v>
      </c>
      <c r="L48" s="101">
        <v>0.95</v>
      </c>
      <c r="M48" s="85">
        <f t="shared" si="1"/>
        <v>0.95</v>
      </c>
      <c r="N48" s="78" t="s">
        <v>1494</v>
      </c>
      <c r="O48" s="77"/>
      <c r="P48" s="100">
        <v>1</v>
      </c>
      <c r="Q48" s="101">
        <v>0.85</v>
      </c>
      <c r="R48" s="85">
        <f t="shared" si="2"/>
        <v>0.85</v>
      </c>
      <c r="S48" s="78" t="s">
        <v>1495</v>
      </c>
      <c r="T48" s="77"/>
      <c r="U48" s="79"/>
      <c r="V48" s="80"/>
      <c r="W48" s="81">
        <f t="shared" si="3"/>
        <v>0</v>
      </c>
      <c r="X48" s="82"/>
      <c r="Y48" s="77"/>
      <c r="Z48" s="79"/>
      <c r="AA48" s="80"/>
      <c r="AB48" s="81">
        <f t="shared" si="4"/>
        <v>0</v>
      </c>
      <c r="AC48" s="82"/>
      <c r="AD48" s="77"/>
      <c r="AE48" s="79"/>
      <c r="AF48" s="80"/>
      <c r="AG48" s="81">
        <f t="shared" si="5"/>
        <v>0</v>
      </c>
      <c r="AH48" s="82"/>
      <c r="AI48" s="77"/>
      <c r="AJ48" s="100">
        <v>1</v>
      </c>
      <c r="AK48" s="101">
        <v>0.7</v>
      </c>
      <c r="AL48" s="85">
        <f t="shared" si="6"/>
        <v>0.7</v>
      </c>
      <c r="AM48" s="78" t="s">
        <v>1415</v>
      </c>
      <c r="AN48" s="77"/>
      <c r="AO48" s="100">
        <v>1</v>
      </c>
      <c r="AP48" s="101">
        <v>0.8</v>
      </c>
      <c r="AQ48" s="85">
        <f t="shared" si="7"/>
        <v>0.8</v>
      </c>
      <c r="AR48" s="78" t="s">
        <v>1336</v>
      </c>
    </row>
    <row r="49" spans="1:44" ht="47.25" x14ac:dyDescent="0.25">
      <c r="A49" s="77">
        <v>46</v>
      </c>
      <c r="B49" s="78" t="s">
        <v>10</v>
      </c>
      <c r="C49" s="78" t="s">
        <v>11</v>
      </c>
      <c r="D49" s="78" t="s">
        <v>13</v>
      </c>
      <c r="E49" s="77"/>
      <c r="F49" s="79"/>
      <c r="G49" s="80"/>
      <c r="H49" s="81">
        <f t="shared" si="0"/>
        <v>0</v>
      </c>
      <c r="I49" s="82"/>
      <c r="J49" s="77"/>
      <c r="K49" s="100">
        <v>1</v>
      </c>
      <c r="L49" s="101">
        <v>1</v>
      </c>
      <c r="M49" s="85">
        <f t="shared" si="1"/>
        <v>1</v>
      </c>
      <c r="N49" s="78" t="s">
        <v>1060</v>
      </c>
      <c r="O49" s="77"/>
      <c r="P49" s="100">
        <v>1</v>
      </c>
      <c r="Q49" s="101">
        <v>1</v>
      </c>
      <c r="R49" s="85">
        <f t="shared" si="2"/>
        <v>1</v>
      </c>
      <c r="S49" s="78" t="s">
        <v>1062</v>
      </c>
      <c r="T49" s="77"/>
      <c r="U49" s="79"/>
      <c r="V49" s="80"/>
      <c r="W49" s="81">
        <f t="shared" si="3"/>
        <v>0</v>
      </c>
      <c r="X49" s="82"/>
      <c r="Y49" s="77"/>
      <c r="Z49" s="79"/>
      <c r="AA49" s="80"/>
      <c r="AB49" s="81">
        <f t="shared" si="4"/>
        <v>0</v>
      </c>
      <c r="AC49" s="82"/>
      <c r="AD49" s="77"/>
      <c r="AE49" s="79"/>
      <c r="AF49" s="80"/>
      <c r="AG49" s="81">
        <f t="shared" si="5"/>
        <v>0</v>
      </c>
      <c r="AH49" s="82"/>
      <c r="AI49" s="77"/>
      <c r="AJ49" s="100">
        <v>1</v>
      </c>
      <c r="AK49" s="101">
        <v>1</v>
      </c>
      <c r="AL49" s="85">
        <f t="shared" si="6"/>
        <v>1</v>
      </c>
      <c r="AM49" s="78" t="s">
        <v>1072</v>
      </c>
      <c r="AN49" s="77"/>
      <c r="AO49" s="100">
        <v>1</v>
      </c>
      <c r="AP49" s="101">
        <v>1</v>
      </c>
      <c r="AQ49" s="85">
        <f t="shared" si="7"/>
        <v>1</v>
      </c>
      <c r="AR49" s="78" t="s">
        <v>1395</v>
      </c>
    </row>
    <row r="50" spans="1:44" ht="94.5" x14ac:dyDescent="0.25">
      <c r="A50" s="77">
        <v>47</v>
      </c>
      <c r="B50" s="78" t="s">
        <v>14</v>
      </c>
      <c r="C50" s="78" t="s">
        <v>14</v>
      </c>
      <c r="D50" s="78" t="s">
        <v>15</v>
      </c>
      <c r="E50" s="77"/>
      <c r="F50" s="79"/>
      <c r="G50" s="80"/>
      <c r="H50" s="81">
        <f t="shared" si="0"/>
        <v>0</v>
      </c>
      <c r="I50" s="82"/>
      <c r="J50" s="77"/>
      <c r="K50" s="100">
        <v>1</v>
      </c>
      <c r="L50" s="101">
        <v>1</v>
      </c>
      <c r="M50" s="85">
        <f t="shared" si="1"/>
        <v>1</v>
      </c>
      <c r="N50" s="78" t="s">
        <v>1087</v>
      </c>
      <c r="O50" s="77"/>
      <c r="P50" s="100">
        <v>1</v>
      </c>
      <c r="Q50" s="101">
        <v>1</v>
      </c>
      <c r="R50" s="85">
        <f t="shared" si="2"/>
        <v>1</v>
      </c>
      <c r="S50" s="78" t="s">
        <v>1087</v>
      </c>
      <c r="T50" s="77"/>
      <c r="U50" s="79"/>
      <c r="V50" s="80"/>
      <c r="W50" s="81">
        <f t="shared" si="3"/>
        <v>0</v>
      </c>
      <c r="X50" s="82"/>
      <c r="Y50" s="77"/>
      <c r="Z50" s="79"/>
      <c r="AA50" s="80"/>
      <c r="AB50" s="81">
        <f t="shared" si="4"/>
        <v>0</v>
      </c>
      <c r="AC50" s="82"/>
      <c r="AD50" s="77"/>
      <c r="AE50" s="79"/>
      <c r="AF50" s="80"/>
      <c r="AG50" s="81">
        <f t="shared" si="5"/>
        <v>0</v>
      </c>
      <c r="AH50" s="82"/>
      <c r="AI50" s="77"/>
      <c r="AJ50" s="100">
        <v>1</v>
      </c>
      <c r="AK50" s="101">
        <v>0.1</v>
      </c>
      <c r="AL50" s="85">
        <f t="shared" si="6"/>
        <v>0.1</v>
      </c>
      <c r="AM50" s="78" t="s">
        <v>1149</v>
      </c>
      <c r="AN50" s="77"/>
      <c r="AO50" s="100">
        <v>1</v>
      </c>
      <c r="AP50" s="101">
        <v>1</v>
      </c>
      <c r="AQ50" s="85">
        <f t="shared" si="7"/>
        <v>1</v>
      </c>
      <c r="AR50" s="78" t="s">
        <v>1087</v>
      </c>
    </row>
    <row r="51" spans="1:44" ht="142.5" customHeight="1" x14ac:dyDescent="0.25">
      <c r="A51" s="77">
        <v>48</v>
      </c>
      <c r="B51" s="78" t="s">
        <v>14</v>
      </c>
      <c r="C51" s="78" t="s">
        <v>14</v>
      </c>
      <c r="D51" s="78" t="s">
        <v>73</v>
      </c>
      <c r="E51" s="77"/>
      <c r="F51" s="79"/>
      <c r="G51" s="80"/>
      <c r="H51" s="81">
        <f t="shared" si="0"/>
        <v>0</v>
      </c>
      <c r="I51" s="82"/>
      <c r="J51" s="77"/>
      <c r="K51" s="100">
        <v>1</v>
      </c>
      <c r="L51" s="101">
        <v>0.85</v>
      </c>
      <c r="M51" s="85">
        <f t="shared" si="1"/>
        <v>0.85</v>
      </c>
      <c r="N51" s="78" t="s">
        <v>1143</v>
      </c>
      <c r="O51" s="77"/>
      <c r="P51" s="100">
        <v>1</v>
      </c>
      <c r="Q51" s="101">
        <v>0.95</v>
      </c>
      <c r="R51" s="85">
        <f t="shared" si="2"/>
        <v>0.95</v>
      </c>
      <c r="S51" s="78" t="s">
        <v>1100</v>
      </c>
      <c r="T51" s="77"/>
      <c r="U51" s="79"/>
      <c r="V51" s="80"/>
      <c r="W51" s="81">
        <f t="shared" si="3"/>
        <v>0</v>
      </c>
      <c r="X51" s="82"/>
      <c r="Y51" s="77"/>
      <c r="Z51" s="79"/>
      <c r="AA51" s="80"/>
      <c r="AB51" s="81">
        <f t="shared" si="4"/>
        <v>0</v>
      </c>
      <c r="AC51" s="82"/>
      <c r="AD51" s="77"/>
      <c r="AE51" s="79"/>
      <c r="AF51" s="80"/>
      <c r="AG51" s="81">
        <f t="shared" si="5"/>
        <v>0</v>
      </c>
      <c r="AH51" s="82"/>
      <c r="AI51" s="77"/>
      <c r="AJ51" s="100">
        <v>1</v>
      </c>
      <c r="AK51" s="101">
        <v>0.1</v>
      </c>
      <c r="AL51" s="85">
        <f t="shared" si="6"/>
        <v>0.1</v>
      </c>
      <c r="AM51" s="78" t="s">
        <v>1149</v>
      </c>
      <c r="AN51" s="77"/>
      <c r="AO51" s="100">
        <v>1</v>
      </c>
      <c r="AP51" s="101">
        <v>0.5</v>
      </c>
      <c r="AQ51" s="85">
        <f t="shared" si="7"/>
        <v>0.5</v>
      </c>
      <c r="AR51" s="78" t="s">
        <v>1484</v>
      </c>
    </row>
    <row r="52" spans="1:44" ht="124.5" customHeight="1" x14ac:dyDescent="0.25">
      <c r="A52" s="77">
        <v>49</v>
      </c>
      <c r="B52" s="78" t="s">
        <v>14</v>
      </c>
      <c r="C52" s="78" t="s">
        <v>14</v>
      </c>
      <c r="D52" s="78" t="s">
        <v>74</v>
      </c>
      <c r="E52" s="77"/>
      <c r="F52" s="79"/>
      <c r="G52" s="80"/>
      <c r="H52" s="81">
        <f t="shared" si="0"/>
        <v>0</v>
      </c>
      <c r="I52" s="82"/>
      <c r="J52" s="77"/>
      <c r="K52" s="100">
        <v>1</v>
      </c>
      <c r="L52" s="101">
        <v>0.9</v>
      </c>
      <c r="M52" s="85">
        <f t="shared" si="1"/>
        <v>0.9</v>
      </c>
      <c r="N52" s="78" t="s">
        <v>1144</v>
      </c>
      <c r="O52" s="77"/>
      <c r="P52" s="100">
        <v>1</v>
      </c>
      <c r="Q52" s="101">
        <v>0.7</v>
      </c>
      <c r="R52" s="85">
        <f t="shared" si="2"/>
        <v>0.7</v>
      </c>
      <c r="S52" s="78" t="s">
        <v>1121</v>
      </c>
      <c r="T52" s="77"/>
      <c r="U52" s="79"/>
      <c r="V52" s="80"/>
      <c r="W52" s="81">
        <f t="shared" si="3"/>
        <v>0</v>
      </c>
      <c r="X52" s="82"/>
      <c r="Y52" s="77"/>
      <c r="Z52" s="79"/>
      <c r="AA52" s="80"/>
      <c r="AB52" s="81">
        <f t="shared" si="4"/>
        <v>0</v>
      </c>
      <c r="AC52" s="82"/>
      <c r="AD52" s="77"/>
      <c r="AE52" s="79"/>
      <c r="AF52" s="80"/>
      <c r="AG52" s="81">
        <f t="shared" si="5"/>
        <v>0</v>
      </c>
      <c r="AH52" s="82"/>
      <c r="AI52" s="77"/>
      <c r="AJ52" s="100">
        <v>1</v>
      </c>
      <c r="AK52" s="101">
        <v>0.1</v>
      </c>
      <c r="AL52" s="85">
        <f t="shared" si="6"/>
        <v>0.1</v>
      </c>
      <c r="AM52" s="78" t="s">
        <v>1149</v>
      </c>
      <c r="AN52" s="77"/>
      <c r="AO52" s="100">
        <v>1</v>
      </c>
      <c r="AP52" s="101">
        <v>0.7</v>
      </c>
      <c r="AQ52" s="85">
        <f t="shared" si="7"/>
        <v>0.7</v>
      </c>
      <c r="AR52" s="78" t="s">
        <v>1153</v>
      </c>
    </row>
    <row r="53" spans="1:44" ht="138" customHeight="1" x14ac:dyDescent="0.25">
      <c r="A53" s="77">
        <v>50</v>
      </c>
      <c r="B53" s="78" t="s">
        <v>14</v>
      </c>
      <c r="C53" s="78" t="s">
        <v>14</v>
      </c>
      <c r="D53" s="78" t="s">
        <v>75</v>
      </c>
      <c r="E53" s="77"/>
      <c r="F53" s="79"/>
      <c r="G53" s="80"/>
      <c r="H53" s="81">
        <f t="shared" si="0"/>
        <v>0</v>
      </c>
      <c r="I53" s="82"/>
      <c r="J53" s="77"/>
      <c r="K53" s="100">
        <v>1</v>
      </c>
      <c r="L53" s="101">
        <v>1</v>
      </c>
      <c r="M53" s="85">
        <f t="shared" si="1"/>
        <v>1</v>
      </c>
      <c r="N53" s="78" t="s">
        <v>1087</v>
      </c>
      <c r="O53" s="77"/>
      <c r="P53" s="100">
        <v>1</v>
      </c>
      <c r="Q53" s="101">
        <v>1</v>
      </c>
      <c r="R53" s="85">
        <f t="shared" si="2"/>
        <v>1</v>
      </c>
      <c r="S53" s="78" t="s">
        <v>1087</v>
      </c>
      <c r="T53" s="77"/>
      <c r="U53" s="79"/>
      <c r="V53" s="80"/>
      <c r="W53" s="81">
        <f t="shared" si="3"/>
        <v>0</v>
      </c>
      <c r="X53" s="82"/>
      <c r="Y53" s="77"/>
      <c r="Z53" s="79"/>
      <c r="AA53" s="80"/>
      <c r="AB53" s="81">
        <f t="shared" si="4"/>
        <v>0</v>
      </c>
      <c r="AC53" s="82"/>
      <c r="AD53" s="77"/>
      <c r="AE53" s="79"/>
      <c r="AF53" s="80"/>
      <c r="AG53" s="81">
        <f t="shared" si="5"/>
        <v>0</v>
      </c>
      <c r="AH53" s="82"/>
      <c r="AI53" s="77"/>
      <c r="AJ53" s="100">
        <v>1</v>
      </c>
      <c r="AK53" s="101">
        <v>0.1</v>
      </c>
      <c r="AL53" s="85">
        <f t="shared" si="6"/>
        <v>0.1</v>
      </c>
      <c r="AM53" s="78" t="s">
        <v>1150</v>
      </c>
      <c r="AN53" s="77"/>
      <c r="AO53" s="100">
        <v>1</v>
      </c>
      <c r="AP53" s="101">
        <v>1</v>
      </c>
      <c r="AQ53" s="85">
        <f t="shared" si="7"/>
        <v>1</v>
      </c>
      <c r="AR53" s="78" t="s">
        <v>1087</v>
      </c>
    </row>
    <row r="54" spans="1:44" ht="109.5" customHeight="1" x14ac:dyDescent="0.25">
      <c r="A54" s="77">
        <v>51</v>
      </c>
      <c r="B54" s="78" t="s">
        <v>14</v>
      </c>
      <c r="C54" s="78" t="s">
        <v>14</v>
      </c>
      <c r="D54" s="78" t="s">
        <v>76</v>
      </c>
      <c r="E54" s="77"/>
      <c r="F54" s="79"/>
      <c r="G54" s="80"/>
      <c r="H54" s="81">
        <f t="shared" si="0"/>
        <v>0</v>
      </c>
      <c r="I54" s="82"/>
      <c r="J54" s="77"/>
      <c r="K54" s="100">
        <v>1</v>
      </c>
      <c r="L54" s="101">
        <v>1</v>
      </c>
      <c r="M54" s="85">
        <f t="shared" si="1"/>
        <v>1</v>
      </c>
      <c r="N54" s="78" t="s">
        <v>1087</v>
      </c>
      <c r="O54" s="77"/>
      <c r="P54" s="100">
        <v>1</v>
      </c>
      <c r="Q54" s="101">
        <v>1</v>
      </c>
      <c r="R54" s="85">
        <f t="shared" si="2"/>
        <v>1</v>
      </c>
      <c r="S54" s="78" t="s">
        <v>1087</v>
      </c>
      <c r="T54" s="77"/>
      <c r="U54" s="79"/>
      <c r="V54" s="80"/>
      <c r="W54" s="81">
        <f t="shared" si="3"/>
        <v>0</v>
      </c>
      <c r="X54" s="82"/>
      <c r="Y54" s="77"/>
      <c r="Z54" s="79"/>
      <c r="AA54" s="80"/>
      <c r="AB54" s="81">
        <f t="shared" si="4"/>
        <v>0</v>
      </c>
      <c r="AC54" s="82"/>
      <c r="AD54" s="77"/>
      <c r="AE54" s="79"/>
      <c r="AF54" s="80"/>
      <c r="AG54" s="81">
        <f t="shared" si="5"/>
        <v>0</v>
      </c>
      <c r="AH54" s="82"/>
      <c r="AI54" s="77"/>
      <c r="AJ54" s="100">
        <v>1</v>
      </c>
      <c r="AK54" s="101">
        <v>0.1</v>
      </c>
      <c r="AL54" s="85">
        <f t="shared" si="6"/>
        <v>0.1</v>
      </c>
      <c r="AM54" s="78" t="s">
        <v>1151</v>
      </c>
      <c r="AN54" s="77"/>
      <c r="AO54" s="100">
        <v>1</v>
      </c>
      <c r="AP54" s="101">
        <v>1</v>
      </c>
      <c r="AQ54" s="85">
        <f t="shared" si="7"/>
        <v>1</v>
      </c>
      <c r="AR54" s="78" t="s">
        <v>1087</v>
      </c>
    </row>
    <row r="55" spans="1:44" ht="409.5" x14ac:dyDescent="0.25">
      <c r="A55" s="77">
        <v>52</v>
      </c>
      <c r="B55" s="78" t="s">
        <v>14</v>
      </c>
      <c r="C55" s="78" t="s">
        <v>14</v>
      </c>
      <c r="D55" s="78" t="s">
        <v>77</v>
      </c>
      <c r="E55" s="77"/>
      <c r="F55" s="79"/>
      <c r="G55" s="80"/>
      <c r="H55" s="81">
        <f t="shared" si="0"/>
        <v>0</v>
      </c>
      <c r="I55" s="82"/>
      <c r="J55" s="77"/>
      <c r="K55" s="100">
        <v>1</v>
      </c>
      <c r="L55" s="101">
        <v>0.95</v>
      </c>
      <c r="M55" s="85">
        <f t="shared" si="1"/>
        <v>0.95</v>
      </c>
      <c r="N55" s="78" t="s">
        <v>1145</v>
      </c>
      <c r="O55" s="77"/>
      <c r="P55" s="100">
        <v>1</v>
      </c>
      <c r="Q55" s="101">
        <v>0.8</v>
      </c>
      <c r="R55" s="85">
        <f t="shared" si="2"/>
        <v>0.8</v>
      </c>
      <c r="S55" s="78" t="s">
        <v>1126</v>
      </c>
      <c r="T55" s="77"/>
      <c r="U55" s="79"/>
      <c r="V55" s="80"/>
      <c r="W55" s="81">
        <f t="shared" si="3"/>
        <v>0</v>
      </c>
      <c r="X55" s="82"/>
      <c r="Y55" s="77"/>
      <c r="Z55" s="79"/>
      <c r="AA55" s="80"/>
      <c r="AB55" s="81">
        <f t="shared" si="4"/>
        <v>0</v>
      </c>
      <c r="AC55" s="82"/>
      <c r="AD55" s="77"/>
      <c r="AE55" s="79"/>
      <c r="AF55" s="80"/>
      <c r="AG55" s="81">
        <f t="shared" si="5"/>
        <v>0</v>
      </c>
      <c r="AH55" s="82"/>
      <c r="AI55" s="77"/>
      <c r="AJ55" s="100">
        <v>1</v>
      </c>
      <c r="AK55" s="101">
        <v>0.1</v>
      </c>
      <c r="AL55" s="85">
        <f t="shared" si="6"/>
        <v>0.1</v>
      </c>
      <c r="AM55" s="78" t="s">
        <v>1152</v>
      </c>
      <c r="AN55" s="77"/>
      <c r="AO55" s="100">
        <v>1</v>
      </c>
      <c r="AP55" s="101">
        <v>0.75</v>
      </c>
      <c r="AQ55" s="85">
        <f t="shared" si="7"/>
        <v>0.75</v>
      </c>
      <c r="AR55" s="78" t="s">
        <v>1110</v>
      </c>
    </row>
    <row r="56" spans="1:44" ht="79.5" customHeight="1" x14ac:dyDescent="0.25">
      <c r="A56" s="77">
        <v>53</v>
      </c>
      <c r="B56" s="78" t="s">
        <v>14</v>
      </c>
      <c r="C56" s="78" t="s">
        <v>14</v>
      </c>
      <c r="D56" s="78" t="s">
        <v>78</v>
      </c>
      <c r="E56" s="77"/>
      <c r="F56" s="79">
        <v>1</v>
      </c>
      <c r="G56" s="80"/>
      <c r="H56" s="81">
        <f t="shared" si="0"/>
        <v>0</v>
      </c>
      <c r="I56" s="82"/>
      <c r="J56" s="77"/>
      <c r="K56" s="100">
        <v>1</v>
      </c>
      <c r="L56" s="101">
        <v>1</v>
      </c>
      <c r="M56" s="85">
        <f t="shared" si="1"/>
        <v>1</v>
      </c>
      <c r="N56" s="78" t="s">
        <v>1087</v>
      </c>
      <c r="O56" s="77"/>
      <c r="P56" s="100">
        <v>1</v>
      </c>
      <c r="Q56" s="101">
        <v>0.9</v>
      </c>
      <c r="R56" s="85">
        <f t="shared" si="2"/>
        <v>0.9</v>
      </c>
      <c r="S56" s="78" t="s">
        <v>1097</v>
      </c>
      <c r="T56" s="77"/>
      <c r="U56" s="79"/>
      <c r="V56" s="80"/>
      <c r="W56" s="81">
        <f t="shared" si="3"/>
        <v>0</v>
      </c>
      <c r="X56" s="77"/>
      <c r="Y56" s="77"/>
      <c r="Z56" s="79"/>
      <c r="AA56" s="80"/>
      <c r="AB56" s="81">
        <f t="shared" si="4"/>
        <v>0</v>
      </c>
      <c r="AC56" s="77"/>
      <c r="AD56" s="77"/>
      <c r="AE56" s="79"/>
      <c r="AF56" s="80"/>
      <c r="AG56" s="81">
        <f t="shared" si="5"/>
        <v>0</v>
      </c>
      <c r="AH56" s="77"/>
      <c r="AI56" s="77"/>
      <c r="AJ56" s="100">
        <v>0</v>
      </c>
      <c r="AK56" s="101">
        <v>0</v>
      </c>
      <c r="AL56" s="85">
        <f t="shared" si="6"/>
        <v>0</v>
      </c>
      <c r="AM56" s="78" t="s">
        <v>1151</v>
      </c>
      <c r="AN56" s="77"/>
      <c r="AO56" s="100">
        <v>1</v>
      </c>
      <c r="AP56" s="101">
        <v>1</v>
      </c>
      <c r="AQ56" s="85">
        <f t="shared" si="7"/>
        <v>1</v>
      </c>
      <c r="AR56" s="117" t="s">
        <v>1087</v>
      </c>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6DD7CF75-1593-44D6-AB6B-ADC444DBB0C4}">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294F6648-B08F-490A-A54D-E343954BF699}">
          <x14:formula1>
            <xm:f>'C:\Users\michele.cerqueira\AppData\Local\Microsoft\Windows\INetCache\Content.Outlook\CUTOBPMD\[ESTUDOS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R56"/>
  <sheetViews>
    <sheetView zoomScale="70" zoomScaleNormal="70" workbookViewId="0">
      <pane xSplit="9" ySplit="3" topLeftCell="O9" activePane="bottomRight" state="frozen"/>
      <selection pane="topRight" activeCell="J1" sqref="J1"/>
      <selection pane="bottomLeft" activeCell="A4" sqref="A4"/>
      <selection pane="bottomRight" activeCell="S10" sqref="S10"/>
    </sheetView>
  </sheetViews>
  <sheetFormatPr defaultRowHeight="15" x14ac:dyDescent="0.25"/>
  <cols>
    <col min="1" max="1" width="4.7109375" style="73" bestFit="1" customWidth="1"/>
    <col min="2" max="2" width="16.5703125" style="74" bestFit="1" customWidth="1"/>
    <col min="3" max="3" width="20.7109375" style="74" customWidth="1"/>
    <col min="4" max="4" width="73.5703125" style="74" customWidth="1"/>
    <col min="5" max="5" width="2.42578125" style="74" hidden="1" customWidth="1"/>
    <col min="6" max="6" width="20.140625" style="74" hidden="1" customWidth="1"/>
    <col min="7" max="7" width="14.28515625" style="74" hidden="1" customWidth="1"/>
    <col min="8" max="8" width="0" style="74" hidden="1" customWidth="1"/>
    <col min="9" max="9" width="52.85546875" style="110" hidden="1" customWidth="1"/>
    <col min="10" max="10" width="1.85546875" style="74" customWidth="1"/>
    <col min="11" max="11" width="20.28515625" style="75" bestFit="1" customWidth="1"/>
    <col min="12" max="12" width="14.42578125" style="75" bestFit="1" customWidth="1"/>
    <col min="13" max="13" width="9.28515625" style="75" bestFit="1" customWidth="1"/>
    <col min="14" max="14" width="96.42578125" style="74" customWidth="1"/>
    <col min="15" max="15" width="1.5703125" style="74" customWidth="1"/>
    <col min="16" max="16" width="20.28515625" style="75" bestFit="1" customWidth="1"/>
    <col min="17" max="17" width="14.42578125" style="75" bestFit="1" customWidth="1"/>
    <col min="18" max="18" width="9.28515625" style="75" bestFit="1" customWidth="1"/>
    <col min="19" max="19" width="119" style="74" customWidth="1"/>
    <col min="20" max="20" width="6" style="74" customWidth="1"/>
    <col min="21" max="21" width="17.85546875" style="74" hidden="1" customWidth="1"/>
    <col min="22" max="22" width="13.85546875" style="74" hidden="1" customWidth="1"/>
    <col min="23" max="23" width="0" style="74" hidden="1" customWidth="1"/>
    <col min="24" max="24" width="68.28515625" style="74" hidden="1" customWidth="1"/>
    <col min="25" max="25" width="0" style="74" hidden="1" customWidth="1"/>
    <col min="26" max="26" width="15.28515625" style="74" hidden="1" customWidth="1"/>
    <col min="27" max="27" width="12.5703125" style="74" hidden="1" customWidth="1"/>
    <col min="28" max="28" width="0" style="74" hidden="1" customWidth="1"/>
    <col min="29" max="29" width="83" style="74" hidden="1" customWidth="1"/>
    <col min="30" max="30" width="0" style="74" hidden="1" customWidth="1"/>
    <col min="31" max="31" width="16.28515625" style="74" hidden="1" customWidth="1"/>
    <col min="32" max="32" width="14.140625" style="74" hidden="1" customWidth="1"/>
    <col min="33" max="33" width="0" style="74" hidden="1" customWidth="1"/>
    <col min="34" max="34" width="70.42578125" style="74" hidden="1" customWidth="1"/>
    <col min="35" max="35" width="0" style="74" hidden="1" customWidth="1"/>
    <col min="36" max="36" width="15" style="75" customWidth="1"/>
    <col min="37" max="37" width="12.7109375" style="75" customWidth="1"/>
    <col min="38" max="38" width="9.28515625" style="75" bestFit="1" customWidth="1"/>
    <col min="39" max="39" width="109.42578125" style="74" customWidth="1"/>
    <col min="40" max="40" width="4.85546875" style="74" customWidth="1"/>
    <col min="41" max="41" width="13.42578125" style="75" customWidth="1"/>
    <col min="42" max="42" width="12.28515625" style="75" customWidth="1"/>
    <col min="43" max="43" width="9.28515625" style="75" bestFit="1" customWidth="1"/>
    <col min="44" max="44" width="139.7109375" style="74" customWidth="1"/>
    <col min="45" max="16384" width="9.140625" style="74"/>
  </cols>
  <sheetData>
    <row r="1" spans="1:44" x14ac:dyDescent="0.25">
      <c r="I1" s="74"/>
    </row>
    <row r="2" spans="1:44" ht="39.75" customHeight="1" x14ac:dyDescent="0.25">
      <c r="B2" s="233" t="s">
        <v>16</v>
      </c>
      <c r="C2" s="233"/>
      <c r="D2" s="233"/>
      <c r="F2" s="232" t="s">
        <v>121</v>
      </c>
      <c r="G2" s="232"/>
      <c r="H2" s="232"/>
      <c r="I2" s="232"/>
      <c r="K2" s="234" t="s">
        <v>119</v>
      </c>
      <c r="L2" s="235"/>
      <c r="M2" s="235"/>
      <c r="N2" s="236"/>
      <c r="P2" s="233" t="s">
        <v>120</v>
      </c>
      <c r="Q2" s="233"/>
      <c r="R2" s="233"/>
      <c r="S2" s="233"/>
      <c r="U2" s="232" t="s">
        <v>122</v>
      </c>
      <c r="V2" s="232"/>
      <c r="W2" s="232"/>
      <c r="X2" s="232"/>
      <c r="Z2" s="232" t="s">
        <v>123</v>
      </c>
      <c r="AA2" s="232"/>
      <c r="AB2" s="232"/>
      <c r="AC2" s="232"/>
      <c r="AE2" s="232" t="s">
        <v>124</v>
      </c>
      <c r="AF2" s="232"/>
      <c r="AG2" s="232"/>
      <c r="AH2" s="232"/>
      <c r="AJ2" s="233" t="s">
        <v>125</v>
      </c>
      <c r="AK2" s="233"/>
      <c r="AL2" s="233"/>
      <c r="AM2" s="233"/>
      <c r="AO2" s="233" t="s">
        <v>1318</v>
      </c>
      <c r="AP2" s="233"/>
      <c r="AQ2" s="233"/>
      <c r="AR2" s="233"/>
    </row>
    <row r="3" spans="1:44" ht="57.75" customHeight="1" x14ac:dyDescent="0.25">
      <c r="B3" s="66" t="s">
        <v>0</v>
      </c>
      <c r="C3" s="66" t="s">
        <v>1</v>
      </c>
      <c r="D3" s="66" t="s">
        <v>2</v>
      </c>
      <c r="F3" s="67" t="s">
        <v>17</v>
      </c>
      <c r="G3" s="67" t="s">
        <v>18</v>
      </c>
      <c r="H3" s="67" t="s">
        <v>21</v>
      </c>
      <c r="I3" s="67" t="s">
        <v>19</v>
      </c>
      <c r="K3" s="70" t="s">
        <v>17</v>
      </c>
      <c r="L3" s="70" t="s">
        <v>18</v>
      </c>
      <c r="M3" s="70" t="s">
        <v>21</v>
      </c>
      <c r="N3" s="67" t="s">
        <v>19</v>
      </c>
      <c r="P3" s="70" t="s">
        <v>17</v>
      </c>
      <c r="Q3" s="70" t="s">
        <v>18</v>
      </c>
      <c r="R3" s="70" t="s">
        <v>21</v>
      </c>
      <c r="S3" s="67" t="s">
        <v>19</v>
      </c>
      <c r="U3" s="67" t="s">
        <v>17</v>
      </c>
      <c r="V3" s="67" t="s">
        <v>18</v>
      </c>
      <c r="W3" s="67" t="s">
        <v>21</v>
      </c>
      <c r="X3" s="67" t="s">
        <v>19</v>
      </c>
      <c r="Z3" s="67" t="s">
        <v>17</v>
      </c>
      <c r="AA3" s="67" t="s">
        <v>18</v>
      </c>
      <c r="AB3" s="67" t="s">
        <v>21</v>
      </c>
      <c r="AC3" s="67" t="s">
        <v>19</v>
      </c>
      <c r="AE3" s="67" t="s">
        <v>17</v>
      </c>
      <c r="AF3" s="67" t="s">
        <v>18</v>
      </c>
      <c r="AG3" s="67" t="s">
        <v>21</v>
      </c>
      <c r="AH3" s="67" t="s">
        <v>19</v>
      </c>
      <c r="AJ3" s="70" t="s">
        <v>17</v>
      </c>
      <c r="AK3" s="70" t="s">
        <v>18</v>
      </c>
      <c r="AL3" s="70" t="s">
        <v>21</v>
      </c>
      <c r="AM3" s="67" t="s">
        <v>19</v>
      </c>
      <c r="AO3" s="70" t="s">
        <v>17</v>
      </c>
      <c r="AP3" s="70" t="s">
        <v>18</v>
      </c>
      <c r="AQ3" s="70" t="s">
        <v>21</v>
      </c>
      <c r="AR3" s="67" t="s">
        <v>19</v>
      </c>
    </row>
    <row r="4" spans="1:44" ht="173.25" x14ac:dyDescent="0.25">
      <c r="A4" s="77">
        <v>1</v>
      </c>
      <c r="B4" s="78" t="s">
        <v>3</v>
      </c>
      <c r="C4" s="78" t="s">
        <v>4</v>
      </c>
      <c r="D4" s="78" t="s">
        <v>127</v>
      </c>
      <c r="E4" s="77"/>
      <c r="F4" s="79"/>
      <c r="G4" s="80"/>
      <c r="H4" s="81">
        <f>F4*G4</f>
        <v>0</v>
      </c>
      <c r="I4" s="82"/>
      <c r="J4" s="77"/>
      <c r="K4" s="83">
        <v>1</v>
      </c>
      <c r="L4" s="84">
        <v>1</v>
      </c>
      <c r="M4" s="85">
        <f>K4*L4</f>
        <v>1</v>
      </c>
      <c r="N4" s="87"/>
      <c r="O4" s="77"/>
      <c r="P4" s="83">
        <v>1</v>
      </c>
      <c r="Q4" s="84">
        <v>0.8</v>
      </c>
      <c r="R4" s="85">
        <f>P4*Q4</f>
        <v>0.8</v>
      </c>
      <c r="S4" s="86" t="s">
        <v>1417</v>
      </c>
      <c r="T4" s="77"/>
      <c r="U4" s="79"/>
      <c r="V4" s="80"/>
      <c r="W4" s="81">
        <f>U4*V4</f>
        <v>0</v>
      </c>
      <c r="X4" s="82"/>
      <c r="Y4" s="77"/>
      <c r="Z4" s="79"/>
      <c r="AA4" s="80"/>
      <c r="AB4" s="81">
        <f>Z4*AA4</f>
        <v>0</v>
      </c>
      <c r="AC4" s="82"/>
      <c r="AD4" s="77"/>
      <c r="AE4" s="79"/>
      <c r="AF4" s="80"/>
      <c r="AG4" s="81">
        <f>AE4*AF4</f>
        <v>0</v>
      </c>
      <c r="AH4" s="82"/>
      <c r="AI4" s="77"/>
      <c r="AJ4" s="83">
        <v>1</v>
      </c>
      <c r="AK4" s="84">
        <v>0.4</v>
      </c>
      <c r="AL4" s="85">
        <f>AJ4*AK4</f>
        <v>0.4</v>
      </c>
      <c r="AM4" s="87" t="s">
        <v>1443</v>
      </c>
      <c r="AN4" s="77"/>
      <c r="AO4" s="83">
        <v>1</v>
      </c>
      <c r="AP4" s="84">
        <v>0.4</v>
      </c>
      <c r="AQ4" s="85">
        <f>AO4*AP4</f>
        <v>0.4</v>
      </c>
      <c r="AR4" s="86" t="s">
        <v>1188</v>
      </c>
    </row>
    <row r="5" spans="1:44" ht="157.5" x14ac:dyDescent="0.25">
      <c r="A5" s="77">
        <v>2</v>
      </c>
      <c r="B5" s="78" t="s">
        <v>3</v>
      </c>
      <c r="C5" s="78" t="s">
        <v>4</v>
      </c>
      <c r="D5" s="78" t="s">
        <v>33</v>
      </c>
      <c r="E5" s="77"/>
      <c r="F5" s="79"/>
      <c r="G5" s="80"/>
      <c r="H5" s="81">
        <f t="shared" ref="H5:H56" si="0">F5*G5</f>
        <v>0</v>
      </c>
      <c r="I5" s="82"/>
      <c r="J5" s="77"/>
      <c r="K5" s="111">
        <v>1</v>
      </c>
      <c r="L5" s="112">
        <v>0.95</v>
      </c>
      <c r="M5" s="85">
        <f t="shared" ref="M5:M56" si="1">K5*L5</f>
        <v>0.95</v>
      </c>
      <c r="N5" s="113" t="s">
        <v>1179</v>
      </c>
      <c r="O5" s="77"/>
      <c r="P5" s="111">
        <v>1</v>
      </c>
      <c r="Q5" s="112">
        <v>0.75</v>
      </c>
      <c r="R5" s="85">
        <f t="shared" ref="R5:R56" si="2">P5*Q5</f>
        <v>0.75</v>
      </c>
      <c r="S5" s="114" t="s">
        <v>1419</v>
      </c>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111">
        <v>1</v>
      </c>
      <c r="AK5" s="112">
        <v>0.6</v>
      </c>
      <c r="AL5" s="85">
        <f t="shared" ref="AL5:AL56" si="6">AJ5*AK5</f>
        <v>0.6</v>
      </c>
      <c r="AM5" s="113" t="s">
        <v>1420</v>
      </c>
      <c r="AN5" s="77"/>
      <c r="AO5" s="111">
        <v>1</v>
      </c>
      <c r="AP5" s="112">
        <v>0.15</v>
      </c>
      <c r="AQ5" s="85">
        <f t="shared" ref="AQ5:AQ56" si="7">AO5*AP5</f>
        <v>0.15</v>
      </c>
      <c r="AR5" s="113" t="s">
        <v>1189</v>
      </c>
    </row>
    <row r="6" spans="1:44" ht="204.75" x14ac:dyDescent="0.25">
      <c r="A6" s="77">
        <v>3</v>
      </c>
      <c r="B6" s="78" t="s">
        <v>3</v>
      </c>
      <c r="C6" s="78" t="s">
        <v>4</v>
      </c>
      <c r="D6" s="78" t="s">
        <v>128</v>
      </c>
      <c r="E6" s="77"/>
      <c r="F6" s="79"/>
      <c r="G6" s="80"/>
      <c r="H6" s="81">
        <f t="shared" si="0"/>
        <v>0</v>
      </c>
      <c r="I6" s="82"/>
      <c r="J6" s="77"/>
      <c r="K6" s="83">
        <v>1</v>
      </c>
      <c r="L6" s="84">
        <v>1</v>
      </c>
      <c r="M6" s="85">
        <f t="shared" si="1"/>
        <v>1</v>
      </c>
      <c r="N6" s="87"/>
      <c r="O6" s="77"/>
      <c r="P6" s="83">
        <v>1</v>
      </c>
      <c r="Q6" s="84">
        <v>0.95</v>
      </c>
      <c r="R6" s="85">
        <f t="shared" si="2"/>
        <v>0.95</v>
      </c>
      <c r="S6" s="86" t="s">
        <v>1236</v>
      </c>
      <c r="T6" s="77"/>
      <c r="U6" s="79"/>
      <c r="V6" s="80"/>
      <c r="W6" s="81">
        <f t="shared" si="3"/>
        <v>0</v>
      </c>
      <c r="X6" s="82"/>
      <c r="Y6" s="77"/>
      <c r="Z6" s="79"/>
      <c r="AA6" s="80"/>
      <c r="AB6" s="81">
        <f t="shared" si="4"/>
        <v>0</v>
      </c>
      <c r="AC6" s="82"/>
      <c r="AD6" s="77"/>
      <c r="AE6" s="79"/>
      <c r="AF6" s="80"/>
      <c r="AG6" s="81">
        <f t="shared" si="5"/>
        <v>0</v>
      </c>
      <c r="AH6" s="82"/>
      <c r="AI6" s="77"/>
      <c r="AJ6" s="83">
        <v>1</v>
      </c>
      <c r="AK6" s="84">
        <v>0.85</v>
      </c>
      <c r="AL6" s="85">
        <f t="shared" si="6"/>
        <v>0.85</v>
      </c>
      <c r="AM6" s="87" t="s">
        <v>1240</v>
      </c>
      <c r="AN6" s="77"/>
      <c r="AO6" s="83">
        <v>1</v>
      </c>
      <c r="AP6" s="84">
        <v>0.2</v>
      </c>
      <c r="AQ6" s="85">
        <f t="shared" si="7"/>
        <v>0.2</v>
      </c>
      <c r="AR6" s="82" t="s">
        <v>1592</v>
      </c>
    </row>
    <row r="7" spans="1:44" ht="189" x14ac:dyDescent="0.25">
      <c r="A7" s="77">
        <v>4</v>
      </c>
      <c r="B7" s="78" t="s">
        <v>3</v>
      </c>
      <c r="C7" s="78" t="s">
        <v>4</v>
      </c>
      <c r="D7" s="78" t="s">
        <v>34</v>
      </c>
      <c r="E7" s="77"/>
      <c r="F7" s="79"/>
      <c r="G7" s="80"/>
      <c r="H7" s="81">
        <f t="shared" si="0"/>
        <v>0</v>
      </c>
      <c r="I7" s="82"/>
      <c r="J7" s="77"/>
      <c r="K7" s="111">
        <v>1</v>
      </c>
      <c r="L7" s="112">
        <v>0.94499999999999995</v>
      </c>
      <c r="M7" s="85">
        <f t="shared" si="1"/>
        <v>0.94499999999999995</v>
      </c>
      <c r="N7" s="113" t="s">
        <v>1421</v>
      </c>
      <c r="O7" s="77"/>
      <c r="P7" s="111">
        <v>1</v>
      </c>
      <c r="Q7" s="112">
        <v>0.9</v>
      </c>
      <c r="R7" s="85">
        <f t="shared" si="2"/>
        <v>0.9</v>
      </c>
      <c r="S7" s="114" t="s">
        <v>1422</v>
      </c>
      <c r="T7" s="77"/>
      <c r="U7" s="79"/>
      <c r="V7" s="80"/>
      <c r="W7" s="81">
        <f t="shared" si="3"/>
        <v>0</v>
      </c>
      <c r="X7" s="82"/>
      <c r="Y7" s="77"/>
      <c r="Z7" s="79"/>
      <c r="AA7" s="80"/>
      <c r="AB7" s="81">
        <f t="shared" si="4"/>
        <v>0</v>
      </c>
      <c r="AC7" s="82"/>
      <c r="AD7" s="77"/>
      <c r="AE7" s="79"/>
      <c r="AF7" s="80"/>
      <c r="AG7" s="81">
        <f t="shared" si="5"/>
        <v>0</v>
      </c>
      <c r="AH7" s="82"/>
      <c r="AI7" s="77"/>
      <c r="AJ7" s="111">
        <v>1</v>
      </c>
      <c r="AK7" s="112">
        <v>0.85</v>
      </c>
      <c r="AL7" s="85">
        <f t="shared" si="6"/>
        <v>0.85</v>
      </c>
      <c r="AM7" s="113" t="s">
        <v>1423</v>
      </c>
      <c r="AN7" s="77"/>
      <c r="AO7" s="111">
        <v>1</v>
      </c>
      <c r="AP7" s="112">
        <v>0.15</v>
      </c>
      <c r="AQ7" s="85">
        <f t="shared" si="7"/>
        <v>0.15</v>
      </c>
      <c r="AR7" s="113" t="s">
        <v>1602</v>
      </c>
    </row>
    <row r="8" spans="1:44" ht="141.75" x14ac:dyDescent="0.25">
      <c r="A8" s="77">
        <v>5</v>
      </c>
      <c r="B8" s="78" t="s">
        <v>3</v>
      </c>
      <c r="C8" s="78" t="s">
        <v>4</v>
      </c>
      <c r="D8" s="78" t="s">
        <v>35</v>
      </c>
      <c r="E8" s="77"/>
      <c r="F8" s="79"/>
      <c r="G8" s="80"/>
      <c r="H8" s="81">
        <f t="shared" si="0"/>
        <v>0</v>
      </c>
      <c r="I8" s="82"/>
      <c r="J8" s="77"/>
      <c r="K8" s="83">
        <v>1</v>
      </c>
      <c r="L8" s="84">
        <v>0.7</v>
      </c>
      <c r="M8" s="85">
        <f t="shared" si="1"/>
        <v>0.7</v>
      </c>
      <c r="N8" s="86" t="s">
        <v>1180</v>
      </c>
      <c r="O8" s="77"/>
      <c r="P8" s="83">
        <v>1</v>
      </c>
      <c r="Q8" s="84">
        <v>0.8</v>
      </c>
      <c r="R8" s="85">
        <f t="shared" si="2"/>
        <v>0.8</v>
      </c>
      <c r="S8" s="86" t="s">
        <v>1424</v>
      </c>
      <c r="T8" s="77"/>
      <c r="U8" s="79"/>
      <c r="V8" s="80"/>
      <c r="W8" s="81">
        <f t="shared" si="3"/>
        <v>0</v>
      </c>
      <c r="X8" s="78"/>
      <c r="Y8" s="77"/>
      <c r="Z8" s="79"/>
      <c r="AA8" s="80"/>
      <c r="AB8" s="81">
        <f t="shared" si="4"/>
        <v>0</v>
      </c>
      <c r="AC8" s="78"/>
      <c r="AD8" s="77"/>
      <c r="AE8" s="79"/>
      <c r="AF8" s="80"/>
      <c r="AG8" s="81">
        <f t="shared" si="5"/>
        <v>0</v>
      </c>
      <c r="AH8" s="78"/>
      <c r="AI8" s="77"/>
      <c r="AJ8" s="83">
        <v>1</v>
      </c>
      <c r="AK8" s="84">
        <v>0.95</v>
      </c>
      <c r="AL8" s="85">
        <f t="shared" si="6"/>
        <v>0.95</v>
      </c>
      <c r="AM8" s="87" t="s">
        <v>1241</v>
      </c>
      <c r="AN8" s="77"/>
      <c r="AO8" s="83">
        <v>1</v>
      </c>
      <c r="AP8" s="84">
        <v>0.3</v>
      </c>
      <c r="AQ8" s="85">
        <f t="shared" si="7"/>
        <v>0.3</v>
      </c>
      <c r="AR8" s="87" t="s">
        <v>1249</v>
      </c>
    </row>
    <row r="9" spans="1:44" ht="236.25" x14ac:dyDescent="0.25">
      <c r="A9" s="77">
        <v>6</v>
      </c>
      <c r="B9" s="78" t="s">
        <v>3</v>
      </c>
      <c r="C9" s="78" t="s">
        <v>4</v>
      </c>
      <c r="D9" s="78" t="s">
        <v>129</v>
      </c>
      <c r="E9" s="77"/>
      <c r="F9" s="79"/>
      <c r="G9" s="80"/>
      <c r="H9" s="81">
        <f t="shared" si="0"/>
        <v>0</v>
      </c>
      <c r="I9" s="78"/>
      <c r="J9" s="77"/>
      <c r="K9" s="111">
        <v>1</v>
      </c>
      <c r="L9" s="112">
        <v>0.78</v>
      </c>
      <c r="M9" s="85">
        <f t="shared" si="1"/>
        <v>0.78</v>
      </c>
      <c r="N9" s="113" t="s">
        <v>1628</v>
      </c>
      <c r="O9" s="77"/>
      <c r="P9" s="111">
        <v>1</v>
      </c>
      <c r="Q9" s="112">
        <v>0.95</v>
      </c>
      <c r="R9" s="85">
        <f t="shared" si="2"/>
        <v>0.95</v>
      </c>
      <c r="S9" s="113" t="s">
        <v>1633</v>
      </c>
      <c r="T9" s="77"/>
      <c r="U9" s="79"/>
      <c r="V9" s="80"/>
      <c r="W9" s="81">
        <f t="shared" si="3"/>
        <v>0</v>
      </c>
      <c r="X9" s="78"/>
      <c r="Y9" s="77"/>
      <c r="Z9" s="79"/>
      <c r="AA9" s="80"/>
      <c r="AB9" s="81">
        <f t="shared" si="4"/>
        <v>0</v>
      </c>
      <c r="AC9" s="78"/>
      <c r="AD9" s="77"/>
      <c r="AE9" s="79"/>
      <c r="AF9" s="80"/>
      <c r="AG9" s="81">
        <f t="shared" si="5"/>
        <v>0</v>
      </c>
      <c r="AH9" s="78"/>
      <c r="AI9" s="77"/>
      <c r="AJ9" s="111">
        <v>1</v>
      </c>
      <c r="AK9" s="112">
        <v>0.5</v>
      </c>
      <c r="AL9" s="85">
        <f t="shared" si="6"/>
        <v>0.5</v>
      </c>
      <c r="AM9" s="113" t="s">
        <v>1242</v>
      </c>
      <c r="AN9" s="77"/>
      <c r="AO9" s="111">
        <v>1</v>
      </c>
      <c r="AP9" s="112">
        <v>0.1</v>
      </c>
      <c r="AQ9" s="85">
        <f t="shared" si="7"/>
        <v>0.1</v>
      </c>
      <c r="AR9" s="113" t="s">
        <v>1611</v>
      </c>
    </row>
    <row r="10" spans="1:44" ht="157.5" x14ac:dyDescent="0.25">
      <c r="A10" s="77">
        <v>7</v>
      </c>
      <c r="B10" s="78" t="s">
        <v>3</v>
      </c>
      <c r="C10" s="78" t="s">
        <v>4</v>
      </c>
      <c r="D10" s="78" t="s">
        <v>36</v>
      </c>
      <c r="E10" s="77"/>
      <c r="F10" s="79"/>
      <c r="G10" s="80"/>
      <c r="H10" s="81">
        <f t="shared" si="0"/>
        <v>0</v>
      </c>
      <c r="I10" s="82"/>
      <c r="J10" s="77"/>
      <c r="K10" s="83">
        <v>1</v>
      </c>
      <c r="L10" s="84">
        <v>0.75</v>
      </c>
      <c r="M10" s="85">
        <f t="shared" si="1"/>
        <v>0.75</v>
      </c>
      <c r="N10" s="87" t="s">
        <v>1181</v>
      </c>
      <c r="O10" s="77"/>
      <c r="P10" s="83">
        <v>1</v>
      </c>
      <c r="Q10" s="84">
        <v>0.7</v>
      </c>
      <c r="R10" s="85">
        <f t="shared" si="2"/>
        <v>0.7</v>
      </c>
      <c r="S10" s="86" t="s">
        <v>1237</v>
      </c>
      <c r="T10" s="77"/>
      <c r="U10" s="79"/>
      <c r="V10" s="80"/>
      <c r="W10" s="81">
        <f t="shared" si="3"/>
        <v>0</v>
      </c>
      <c r="X10" s="82"/>
      <c r="Y10" s="77"/>
      <c r="Z10" s="79"/>
      <c r="AA10" s="80"/>
      <c r="AB10" s="81">
        <f t="shared" si="4"/>
        <v>0</v>
      </c>
      <c r="AC10" s="82"/>
      <c r="AD10" s="77"/>
      <c r="AE10" s="79"/>
      <c r="AF10" s="80"/>
      <c r="AG10" s="81">
        <f t="shared" si="5"/>
        <v>0</v>
      </c>
      <c r="AH10" s="82"/>
      <c r="AI10" s="77"/>
      <c r="AJ10" s="83">
        <v>1</v>
      </c>
      <c r="AK10" s="84">
        <v>0.4</v>
      </c>
      <c r="AL10" s="85">
        <f t="shared" si="6"/>
        <v>0.4</v>
      </c>
      <c r="AM10" s="87" t="s">
        <v>1243</v>
      </c>
      <c r="AN10" s="77"/>
      <c r="AO10" s="83">
        <v>1</v>
      </c>
      <c r="AP10" s="84">
        <v>0.2</v>
      </c>
      <c r="AQ10" s="85">
        <f t="shared" si="7"/>
        <v>0.2</v>
      </c>
      <c r="AR10" s="87" t="s">
        <v>1191</v>
      </c>
    </row>
    <row r="11" spans="1:44" ht="78.75" x14ac:dyDescent="0.25">
      <c r="A11" s="77">
        <v>8</v>
      </c>
      <c r="B11" s="78" t="s">
        <v>3</v>
      </c>
      <c r="C11" s="78" t="s">
        <v>4</v>
      </c>
      <c r="D11" s="78" t="s">
        <v>64</v>
      </c>
      <c r="E11" s="77"/>
      <c r="F11" s="79"/>
      <c r="G11" s="80"/>
      <c r="H11" s="81">
        <f t="shared" si="0"/>
        <v>0</v>
      </c>
      <c r="I11" s="78"/>
      <c r="J11" s="77"/>
      <c r="K11" s="111">
        <v>1</v>
      </c>
      <c r="L11" s="112">
        <v>1</v>
      </c>
      <c r="M11" s="85">
        <f t="shared" si="1"/>
        <v>1</v>
      </c>
      <c r="N11" s="113"/>
      <c r="O11" s="77"/>
      <c r="P11" s="111">
        <v>1</v>
      </c>
      <c r="Q11" s="112">
        <v>0.9</v>
      </c>
      <c r="R11" s="85">
        <f t="shared" si="2"/>
        <v>0.9</v>
      </c>
      <c r="S11" s="113" t="s">
        <v>1238</v>
      </c>
      <c r="T11" s="77"/>
      <c r="U11" s="79"/>
      <c r="V11" s="80"/>
      <c r="W11" s="81">
        <f t="shared" si="3"/>
        <v>0</v>
      </c>
      <c r="X11" s="82"/>
      <c r="Y11" s="77"/>
      <c r="Z11" s="79"/>
      <c r="AA11" s="80"/>
      <c r="AB11" s="81">
        <f t="shared" si="4"/>
        <v>0</v>
      </c>
      <c r="AC11" s="82"/>
      <c r="AD11" s="77"/>
      <c r="AE11" s="79"/>
      <c r="AF11" s="80"/>
      <c r="AG11" s="81">
        <f t="shared" si="5"/>
        <v>0</v>
      </c>
      <c r="AH11" s="82"/>
      <c r="AI11" s="77"/>
      <c r="AJ11" s="111">
        <v>1</v>
      </c>
      <c r="AK11" s="112">
        <v>0.5</v>
      </c>
      <c r="AL11" s="85">
        <f t="shared" si="6"/>
        <v>0.5</v>
      </c>
      <c r="AM11" s="113" t="s">
        <v>1244</v>
      </c>
      <c r="AN11" s="77"/>
      <c r="AO11" s="111">
        <v>1</v>
      </c>
      <c r="AP11" s="112">
        <v>0.15</v>
      </c>
      <c r="AQ11" s="85">
        <f t="shared" si="7"/>
        <v>0.15</v>
      </c>
      <c r="AR11" s="113" t="s">
        <v>1192</v>
      </c>
    </row>
    <row r="12" spans="1:44" ht="94.5" x14ac:dyDescent="0.25">
      <c r="A12" s="77">
        <v>9</v>
      </c>
      <c r="B12" s="78" t="s">
        <v>3</v>
      </c>
      <c r="C12" s="78" t="s">
        <v>5</v>
      </c>
      <c r="D12" s="78" t="s">
        <v>37</v>
      </c>
      <c r="E12" s="77"/>
      <c r="F12" s="79"/>
      <c r="G12" s="80"/>
      <c r="H12" s="81">
        <f t="shared" si="0"/>
        <v>0</v>
      </c>
      <c r="I12" s="82"/>
      <c r="J12" s="77"/>
      <c r="K12" s="83">
        <v>1</v>
      </c>
      <c r="L12" s="99">
        <v>0.54</v>
      </c>
      <c r="M12" s="85">
        <f t="shared" si="1"/>
        <v>0.54</v>
      </c>
      <c r="N12" s="86" t="s">
        <v>1516</v>
      </c>
      <c r="O12" s="77"/>
      <c r="P12" s="83">
        <v>1</v>
      </c>
      <c r="Q12" s="84">
        <v>1</v>
      </c>
      <c r="R12" s="85">
        <f t="shared" si="2"/>
        <v>1</v>
      </c>
      <c r="S12" s="115"/>
      <c r="T12" s="77"/>
      <c r="U12" s="79"/>
      <c r="V12" s="80"/>
      <c r="W12" s="81">
        <f t="shared" si="3"/>
        <v>0</v>
      </c>
      <c r="X12" s="82"/>
      <c r="Y12" s="77"/>
      <c r="Z12" s="79"/>
      <c r="AA12" s="80"/>
      <c r="AB12" s="81">
        <f t="shared" si="4"/>
        <v>0</v>
      </c>
      <c r="AC12" s="82"/>
      <c r="AD12" s="77"/>
      <c r="AE12" s="79"/>
      <c r="AF12" s="80"/>
      <c r="AG12" s="81">
        <f t="shared" si="5"/>
        <v>0</v>
      </c>
      <c r="AH12" s="82"/>
      <c r="AI12" s="77"/>
      <c r="AJ12" s="83">
        <v>1</v>
      </c>
      <c r="AK12" s="84">
        <v>0.15</v>
      </c>
      <c r="AL12" s="85">
        <f t="shared" si="6"/>
        <v>0.15</v>
      </c>
      <c r="AM12" s="87" t="s">
        <v>1245</v>
      </c>
      <c r="AN12" s="77"/>
      <c r="AO12" s="83">
        <v>1</v>
      </c>
      <c r="AP12" s="84">
        <v>0.2</v>
      </c>
      <c r="AQ12" s="85">
        <f t="shared" si="7"/>
        <v>0.2</v>
      </c>
      <c r="AR12" s="86" t="s">
        <v>1256</v>
      </c>
    </row>
    <row r="13" spans="1:44" ht="126" x14ac:dyDescent="0.25">
      <c r="A13" s="77">
        <v>10</v>
      </c>
      <c r="B13" s="78" t="s">
        <v>3</v>
      </c>
      <c r="C13" s="78" t="s">
        <v>5</v>
      </c>
      <c r="D13" s="78" t="s">
        <v>38</v>
      </c>
      <c r="E13" s="77"/>
      <c r="F13" s="79"/>
      <c r="G13" s="80"/>
      <c r="H13" s="81">
        <f t="shared" si="0"/>
        <v>0</v>
      </c>
      <c r="I13" s="82"/>
      <c r="J13" s="77"/>
      <c r="K13" s="111">
        <v>1</v>
      </c>
      <c r="L13" s="112">
        <v>0.44</v>
      </c>
      <c r="M13" s="85">
        <f t="shared" si="1"/>
        <v>0.44</v>
      </c>
      <c r="N13" s="113" t="s">
        <v>1517</v>
      </c>
      <c r="O13" s="77"/>
      <c r="P13" s="111">
        <v>1</v>
      </c>
      <c r="Q13" s="112">
        <v>0.9</v>
      </c>
      <c r="R13" s="85">
        <f t="shared" si="2"/>
        <v>0.9</v>
      </c>
      <c r="S13" s="114" t="s">
        <v>1264</v>
      </c>
      <c r="T13" s="77"/>
      <c r="U13" s="79"/>
      <c r="V13" s="80"/>
      <c r="W13" s="81">
        <f t="shared" si="3"/>
        <v>0</v>
      </c>
      <c r="X13" s="82"/>
      <c r="Y13" s="77"/>
      <c r="Z13" s="79"/>
      <c r="AA13" s="80"/>
      <c r="AB13" s="81">
        <f t="shared" si="4"/>
        <v>0</v>
      </c>
      <c r="AC13" s="82"/>
      <c r="AD13" s="77"/>
      <c r="AE13" s="79"/>
      <c r="AF13" s="80"/>
      <c r="AG13" s="81">
        <f t="shared" si="5"/>
        <v>0</v>
      </c>
      <c r="AH13" s="82"/>
      <c r="AI13" s="77"/>
      <c r="AJ13" s="111">
        <v>1</v>
      </c>
      <c r="AK13" s="112">
        <v>0.15</v>
      </c>
      <c r="AL13" s="85">
        <f t="shared" si="6"/>
        <v>0.15</v>
      </c>
      <c r="AM13" s="113" t="s">
        <v>1246</v>
      </c>
      <c r="AN13" s="77"/>
      <c r="AO13" s="111">
        <v>1</v>
      </c>
      <c r="AP13" s="112">
        <v>0.3</v>
      </c>
      <c r="AQ13" s="85">
        <f t="shared" si="7"/>
        <v>0.3</v>
      </c>
      <c r="AR13" s="113" t="s">
        <v>1251</v>
      </c>
    </row>
    <row r="14" spans="1:44" ht="63" x14ac:dyDescent="0.25">
      <c r="A14" s="77">
        <v>11</v>
      </c>
      <c r="B14" s="78" t="s">
        <v>3</v>
      </c>
      <c r="C14" s="78" t="s">
        <v>31</v>
      </c>
      <c r="D14" s="78" t="s">
        <v>39</v>
      </c>
      <c r="E14" s="77"/>
      <c r="F14" s="79"/>
      <c r="G14" s="80"/>
      <c r="H14" s="81">
        <f t="shared" si="0"/>
        <v>0</v>
      </c>
      <c r="I14" s="82"/>
      <c r="J14" s="77"/>
      <c r="K14" s="83">
        <v>1</v>
      </c>
      <c r="L14" s="84">
        <v>0.85</v>
      </c>
      <c r="M14" s="85">
        <f t="shared" si="1"/>
        <v>0.85</v>
      </c>
      <c r="N14" s="86" t="s">
        <v>1199</v>
      </c>
      <c r="O14" s="77"/>
      <c r="P14" s="83">
        <v>1</v>
      </c>
      <c r="Q14" s="84">
        <v>1</v>
      </c>
      <c r="R14" s="85">
        <f t="shared" si="2"/>
        <v>1</v>
      </c>
      <c r="S14" s="115"/>
      <c r="T14" s="77"/>
      <c r="U14" s="79"/>
      <c r="V14" s="80"/>
      <c r="W14" s="81">
        <f t="shared" si="3"/>
        <v>0</v>
      </c>
      <c r="X14" s="82"/>
      <c r="Y14" s="77"/>
      <c r="Z14" s="79"/>
      <c r="AA14" s="80"/>
      <c r="AB14" s="81">
        <f t="shared" si="4"/>
        <v>0</v>
      </c>
      <c r="AC14" s="82"/>
      <c r="AD14" s="77"/>
      <c r="AE14" s="79"/>
      <c r="AF14" s="80"/>
      <c r="AG14" s="81">
        <f t="shared" si="5"/>
        <v>0</v>
      </c>
      <c r="AH14" s="82"/>
      <c r="AI14" s="77"/>
      <c r="AJ14" s="83">
        <v>1</v>
      </c>
      <c r="AK14" s="84">
        <v>0.3</v>
      </c>
      <c r="AL14" s="85">
        <f t="shared" si="6"/>
        <v>0.3</v>
      </c>
      <c r="AM14" s="87" t="s">
        <v>1247</v>
      </c>
      <c r="AN14" s="77"/>
      <c r="AO14" s="83">
        <v>1</v>
      </c>
      <c r="AP14" s="84">
        <v>0.15</v>
      </c>
      <c r="AQ14" s="85">
        <f t="shared" si="7"/>
        <v>0.15</v>
      </c>
      <c r="AR14" s="86" t="s">
        <v>1195</v>
      </c>
    </row>
    <row r="15" spans="1:44" ht="110.25" x14ac:dyDescent="0.25">
      <c r="A15" s="77">
        <v>12</v>
      </c>
      <c r="B15" s="78" t="s">
        <v>3</v>
      </c>
      <c r="C15" s="78" t="s">
        <v>31</v>
      </c>
      <c r="D15" s="78" t="s">
        <v>40</v>
      </c>
      <c r="E15" s="77"/>
      <c r="F15" s="79"/>
      <c r="G15" s="80"/>
      <c r="H15" s="81">
        <f t="shared" si="0"/>
        <v>0</v>
      </c>
      <c r="I15" s="82"/>
      <c r="J15" s="77"/>
      <c r="K15" s="111">
        <v>1</v>
      </c>
      <c r="L15" s="112">
        <v>1</v>
      </c>
      <c r="M15" s="85">
        <f t="shared" si="1"/>
        <v>1</v>
      </c>
      <c r="N15" s="113"/>
      <c r="O15" s="77"/>
      <c r="P15" s="111">
        <v>1</v>
      </c>
      <c r="Q15" s="112">
        <v>0.95</v>
      </c>
      <c r="R15" s="85">
        <f t="shared" si="2"/>
        <v>0.95</v>
      </c>
      <c r="S15" s="114" t="s">
        <v>1187</v>
      </c>
      <c r="T15" s="77"/>
      <c r="U15" s="79"/>
      <c r="V15" s="80"/>
      <c r="W15" s="81">
        <f t="shared" si="3"/>
        <v>0</v>
      </c>
      <c r="X15" s="82"/>
      <c r="Y15" s="77"/>
      <c r="Z15" s="79"/>
      <c r="AA15" s="80"/>
      <c r="AB15" s="81">
        <f t="shared" si="4"/>
        <v>0</v>
      </c>
      <c r="AC15" s="82"/>
      <c r="AD15" s="77"/>
      <c r="AE15" s="79"/>
      <c r="AF15" s="80"/>
      <c r="AG15" s="81">
        <f t="shared" si="5"/>
        <v>0</v>
      </c>
      <c r="AH15" s="82"/>
      <c r="AI15" s="77"/>
      <c r="AJ15" s="111">
        <v>1</v>
      </c>
      <c r="AK15" s="112">
        <v>0.3</v>
      </c>
      <c r="AL15" s="85">
        <f t="shared" si="6"/>
        <v>0.3</v>
      </c>
      <c r="AM15" s="113" t="s">
        <v>1248</v>
      </c>
      <c r="AN15" s="77"/>
      <c r="AO15" s="111">
        <v>1</v>
      </c>
      <c r="AP15" s="112">
        <v>0.5</v>
      </c>
      <c r="AQ15" s="85">
        <f t="shared" si="7"/>
        <v>0.5</v>
      </c>
      <c r="AR15" s="113" t="s">
        <v>1252</v>
      </c>
    </row>
    <row r="16" spans="1:44" ht="236.25" x14ac:dyDescent="0.25">
      <c r="A16" s="77">
        <v>13</v>
      </c>
      <c r="B16" s="78" t="s">
        <v>6</v>
      </c>
      <c r="C16" s="78" t="s">
        <v>7</v>
      </c>
      <c r="D16" s="78" t="s">
        <v>41</v>
      </c>
      <c r="E16" s="77"/>
      <c r="F16" s="79"/>
      <c r="G16" s="80"/>
      <c r="H16" s="81">
        <f t="shared" si="0"/>
        <v>0</v>
      </c>
      <c r="I16" s="82"/>
      <c r="J16" s="77"/>
      <c r="K16" s="100">
        <v>1</v>
      </c>
      <c r="L16" s="101">
        <v>1</v>
      </c>
      <c r="M16" s="85">
        <f t="shared" si="1"/>
        <v>1</v>
      </c>
      <c r="N16" s="102" t="s">
        <v>865</v>
      </c>
      <c r="O16" s="77"/>
      <c r="P16" s="100">
        <v>1</v>
      </c>
      <c r="Q16" s="101">
        <v>0.85</v>
      </c>
      <c r="R16" s="85">
        <f t="shared" si="2"/>
        <v>0.85</v>
      </c>
      <c r="S16" s="102" t="s">
        <v>1576</v>
      </c>
      <c r="T16" s="77"/>
      <c r="U16" s="79"/>
      <c r="V16" s="80"/>
      <c r="W16" s="81">
        <f t="shared" si="3"/>
        <v>0</v>
      </c>
      <c r="X16" s="82"/>
      <c r="Y16" s="77"/>
      <c r="Z16" s="79"/>
      <c r="AA16" s="80"/>
      <c r="AB16" s="81">
        <f t="shared" si="4"/>
        <v>0</v>
      </c>
      <c r="AC16" s="82"/>
      <c r="AD16" s="77"/>
      <c r="AE16" s="79"/>
      <c r="AF16" s="80"/>
      <c r="AG16" s="81">
        <f t="shared" si="5"/>
        <v>0</v>
      </c>
      <c r="AH16" s="82"/>
      <c r="AI16" s="77"/>
      <c r="AJ16" s="100">
        <v>1</v>
      </c>
      <c r="AK16" s="101">
        <v>0.65</v>
      </c>
      <c r="AL16" s="85">
        <f t="shared" si="6"/>
        <v>0.65</v>
      </c>
      <c r="AM16" s="102" t="s">
        <v>890</v>
      </c>
      <c r="AN16" s="77"/>
      <c r="AO16" s="100">
        <v>1</v>
      </c>
      <c r="AP16" s="101">
        <v>0.95</v>
      </c>
      <c r="AQ16" s="85">
        <f t="shared" si="7"/>
        <v>0.95</v>
      </c>
      <c r="AR16" s="102" t="s">
        <v>1501</v>
      </c>
    </row>
    <row r="17" spans="1:44" ht="186.75" customHeight="1" x14ac:dyDescent="0.25">
      <c r="A17" s="77">
        <v>14</v>
      </c>
      <c r="B17" s="78" t="s">
        <v>6</v>
      </c>
      <c r="C17" s="78" t="s">
        <v>7</v>
      </c>
      <c r="D17" s="78" t="s">
        <v>130</v>
      </c>
      <c r="E17" s="77"/>
      <c r="F17" s="79"/>
      <c r="G17" s="80"/>
      <c r="H17" s="81">
        <f t="shared" si="0"/>
        <v>0</v>
      </c>
      <c r="I17" s="82"/>
      <c r="J17" s="77"/>
      <c r="K17" s="100">
        <v>1</v>
      </c>
      <c r="L17" s="101">
        <v>1</v>
      </c>
      <c r="M17" s="85">
        <f t="shared" si="1"/>
        <v>1</v>
      </c>
      <c r="N17" s="102" t="s">
        <v>866</v>
      </c>
      <c r="O17" s="77"/>
      <c r="P17" s="100">
        <v>1</v>
      </c>
      <c r="Q17" s="101">
        <v>0.6</v>
      </c>
      <c r="R17" s="85">
        <f t="shared" si="2"/>
        <v>0.6</v>
      </c>
      <c r="S17" s="102" t="s">
        <v>879</v>
      </c>
      <c r="T17" s="77"/>
      <c r="U17" s="79"/>
      <c r="V17" s="80"/>
      <c r="W17" s="81">
        <f t="shared" si="3"/>
        <v>0</v>
      </c>
      <c r="X17" s="82"/>
      <c r="Y17" s="77"/>
      <c r="Z17" s="79"/>
      <c r="AA17" s="80"/>
      <c r="AB17" s="81">
        <f t="shared" si="4"/>
        <v>0</v>
      </c>
      <c r="AC17" s="82"/>
      <c r="AD17" s="77"/>
      <c r="AE17" s="79"/>
      <c r="AF17" s="80"/>
      <c r="AG17" s="81">
        <f t="shared" si="5"/>
        <v>0</v>
      </c>
      <c r="AH17" s="82"/>
      <c r="AI17" s="77"/>
      <c r="AJ17" s="100">
        <v>1</v>
      </c>
      <c r="AK17" s="101">
        <v>0.2</v>
      </c>
      <c r="AL17" s="85">
        <f t="shared" si="6"/>
        <v>0.2</v>
      </c>
      <c r="AM17" s="102" t="s">
        <v>891</v>
      </c>
      <c r="AN17" s="77"/>
      <c r="AO17" s="100">
        <v>1</v>
      </c>
      <c r="AP17" s="101">
        <v>0.65</v>
      </c>
      <c r="AQ17" s="85">
        <f t="shared" si="7"/>
        <v>0.65</v>
      </c>
      <c r="AR17" s="102" t="s">
        <v>899</v>
      </c>
    </row>
    <row r="18" spans="1:44" ht="141.75" x14ac:dyDescent="0.25">
      <c r="A18" s="77">
        <v>15</v>
      </c>
      <c r="B18" s="78" t="s">
        <v>6</v>
      </c>
      <c r="C18" s="78" t="s">
        <v>7</v>
      </c>
      <c r="D18" s="78" t="s">
        <v>131</v>
      </c>
      <c r="E18" s="77"/>
      <c r="F18" s="79"/>
      <c r="G18" s="80"/>
      <c r="H18" s="81">
        <f t="shared" si="0"/>
        <v>0</v>
      </c>
      <c r="I18" s="82"/>
      <c r="J18" s="77"/>
      <c r="K18" s="100">
        <v>1</v>
      </c>
      <c r="L18" s="101">
        <v>1</v>
      </c>
      <c r="M18" s="85">
        <f t="shared" si="1"/>
        <v>1</v>
      </c>
      <c r="N18" s="78" t="s">
        <v>867</v>
      </c>
      <c r="O18" s="77"/>
      <c r="P18" s="100">
        <v>1</v>
      </c>
      <c r="Q18" s="101">
        <v>0.95</v>
      </c>
      <c r="R18" s="85">
        <f t="shared" si="2"/>
        <v>0.95</v>
      </c>
      <c r="S18" s="78" t="s">
        <v>880</v>
      </c>
      <c r="T18" s="77"/>
      <c r="U18" s="79"/>
      <c r="V18" s="80"/>
      <c r="W18" s="81">
        <f t="shared" si="3"/>
        <v>0</v>
      </c>
      <c r="X18" s="82"/>
      <c r="Y18" s="77"/>
      <c r="Z18" s="79"/>
      <c r="AA18" s="80"/>
      <c r="AB18" s="81">
        <f t="shared" si="4"/>
        <v>0</v>
      </c>
      <c r="AC18" s="82"/>
      <c r="AD18" s="77"/>
      <c r="AE18" s="79"/>
      <c r="AF18" s="80"/>
      <c r="AG18" s="81">
        <f t="shared" si="5"/>
        <v>0</v>
      </c>
      <c r="AH18" s="82"/>
      <c r="AI18" s="77"/>
      <c r="AJ18" s="100">
        <v>1</v>
      </c>
      <c r="AK18" s="101">
        <v>0.85</v>
      </c>
      <c r="AL18" s="85">
        <f t="shared" si="6"/>
        <v>0.85</v>
      </c>
      <c r="AM18" s="78" t="s">
        <v>892</v>
      </c>
      <c r="AN18" s="77"/>
      <c r="AO18" s="100">
        <v>1</v>
      </c>
      <c r="AP18" s="101">
        <v>0.95</v>
      </c>
      <c r="AQ18" s="85">
        <f t="shared" si="7"/>
        <v>0.95</v>
      </c>
      <c r="AR18" s="78" t="s">
        <v>900</v>
      </c>
    </row>
    <row r="19" spans="1:44" ht="94.5" x14ac:dyDescent="0.25">
      <c r="A19" s="77">
        <v>16</v>
      </c>
      <c r="B19" s="78" t="s">
        <v>6</v>
      </c>
      <c r="C19" s="78" t="s">
        <v>7</v>
      </c>
      <c r="D19" s="78" t="s">
        <v>42</v>
      </c>
      <c r="E19" s="77"/>
      <c r="F19" s="79"/>
      <c r="G19" s="80"/>
      <c r="H19" s="81">
        <f t="shared" si="0"/>
        <v>0</v>
      </c>
      <c r="I19" s="82"/>
      <c r="J19" s="77"/>
      <c r="K19" s="100">
        <v>1</v>
      </c>
      <c r="L19" s="101">
        <v>0.6</v>
      </c>
      <c r="M19" s="85">
        <f t="shared" si="1"/>
        <v>0.6</v>
      </c>
      <c r="N19" s="78" t="s">
        <v>868</v>
      </c>
      <c r="O19" s="77"/>
      <c r="P19" s="100">
        <v>1</v>
      </c>
      <c r="Q19" s="101">
        <v>0.5</v>
      </c>
      <c r="R19" s="85">
        <f t="shared" si="2"/>
        <v>0.5</v>
      </c>
      <c r="S19" s="78" t="s">
        <v>881</v>
      </c>
      <c r="T19" s="77"/>
      <c r="U19" s="79"/>
      <c r="V19" s="80"/>
      <c r="W19" s="81">
        <f t="shared" si="3"/>
        <v>0</v>
      </c>
      <c r="X19" s="82"/>
      <c r="Y19" s="77"/>
      <c r="Z19" s="79"/>
      <c r="AA19" s="80"/>
      <c r="AB19" s="81">
        <f t="shared" si="4"/>
        <v>0</v>
      </c>
      <c r="AC19" s="82"/>
      <c r="AD19" s="77"/>
      <c r="AE19" s="79"/>
      <c r="AF19" s="80"/>
      <c r="AG19" s="81">
        <f t="shared" si="5"/>
        <v>0</v>
      </c>
      <c r="AH19" s="82"/>
      <c r="AI19" s="77"/>
      <c r="AJ19" s="100">
        <v>1</v>
      </c>
      <c r="AK19" s="101">
        <v>1</v>
      </c>
      <c r="AL19" s="85">
        <f t="shared" si="6"/>
        <v>1</v>
      </c>
      <c r="AM19" s="78" t="s">
        <v>893</v>
      </c>
      <c r="AN19" s="77"/>
      <c r="AO19" s="100">
        <v>1</v>
      </c>
      <c r="AP19" s="101">
        <v>0.5</v>
      </c>
      <c r="AQ19" s="85">
        <f t="shared" si="7"/>
        <v>0.5</v>
      </c>
      <c r="AR19" s="78" t="s">
        <v>901</v>
      </c>
    </row>
    <row r="20" spans="1:44" ht="315" x14ac:dyDescent="0.25">
      <c r="A20" s="77">
        <v>17</v>
      </c>
      <c r="B20" s="78" t="s">
        <v>6</v>
      </c>
      <c r="C20" s="78" t="s">
        <v>7</v>
      </c>
      <c r="D20" s="78" t="s">
        <v>43</v>
      </c>
      <c r="E20" s="77"/>
      <c r="F20" s="79"/>
      <c r="G20" s="80"/>
      <c r="H20" s="81">
        <f t="shared" si="0"/>
        <v>0</v>
      </c>
      <c r="I20" s="82"/>
      <c r="J20" s="77"/>
      <c r="K20" s="100">
        <v>1</v>
      </c>
      <c r="L20" s="101">
        <v>0.65</v>
      </c>
      <c r="M20" s="85">
        <f t="shared" si="1"/>
        <v>0.65</v>
      </c>
      <c r="N20" s="102" t="s">
        <v>869</v>
      </c>
      <c r="O20" s="77"/>
      <c r="P20" s="100">
        <v>1</v>
      </c>
      <c r="Q20" s="101">
        <v>0.85</v>
      </c>
      <c r="R20" s="85">
        <f t="shared" si="2"/>
        <v>0.85</v>
      </c>
      <c r="S20" s="102" t="s">
        <v>882</v>
      </c>
      <c r="T20" s="77"/>
      <c r="U20" s="79"/>
      <c r="V20" s="80"/>
      <c r="W20" s="81">
        <f t="shared" si="3"/>
        <v>0</v>
      </c>
      <c r="X20" s="82"/>
      <c r="Y20" s="77"/>
      <c r="Z20" s="79"/>
      <c r="AA20" s="80"/>
      <c r="AB20" s="81">
        <f t="shared" si="4"/>
        <v>0</v>
      </c>
      <c r="AC20" s="82"/>
      <c r="AD20" s="77"/>
      <c r="AE20" s="79"/>
      <c r="AF20" s="80"/>
      <c r="AG20" s="81">
        <f t="shared" si="5"/>
        <v>0</v>
      </c>
      <c r="AH20" s="82"/>
      <c r="AI20" s="77"/>
      <c r="AJ20" s="100">
        <v>1</v>
      </c>
      <c r="AK20" s="101">
        <v>0.45</v>
      </c>
      <c r="AL20" s="85">
        <f t="shared" si="6"/>
        <v>0.45</v>
      </c>
      <c r="AM20" s="102" t="s">
        <v>717</v>
      </c>
      <c r="AN20" s="77"/>
      <c r="AO20" s="100">
        <v>1</v>
      </c>
      <c r="AP20" s="101">
        <v>0.5</v>
      </c>
      <c r="AQ20" s="85">
        <f t="shared" si="7"/>
        <v>0.5</v>
      </c>
      <c r="AR20" s="102" t="s">
        <v>902</v>
      </c>
    </row>
    <row r="21" spans="1:44" ht="141.75" x14ac:dyDescent="0.25">
      <c r="A21" s="77">
        <v>18</v>
      </c>
      <c r="B21" s="78" t="s">
        <v>6</v>
      </c>
      <c r="C21" s="78" t="s">
        <v>7</v>
      </c>
      <c r="D21" s="78" t="s">
        <v>44</v>
      </c>
      <c r="E21" s="77"/>
      <c r="F21" s="79"/>
      <c r="G21" s="80"/>
      <c r="H21" s="81">
        <f t="shared" si="0"/>
        <v>0</v>
      </c>
      <c r="I21" s="82"/>
      <c r="J21" s="77"/>
      <c r="K21" s="100">
        <v>1</v>
      </c>
      <c r="L21" s="101">
        <v>0.75</v>
      </c>
      <c r="M21" s="85">
        <f>K21*L21</f>
        <v>0.75</v>
      </c>
      <c r="N21" s="102" t="s">
        <v>637</v>
      </c>
      <c r="O21" s="77"/>
      <c r="P21" s="100">
        <v>1</v>
      </c>
      <c r="Q21" s="101">
        <v>0.75</v>
      </c>
      <c r="R21" s="85">
        <f>P21*Q21</f>
        <v>0.75</v>
      </c>
      <c r="S21" s="102" t="s">
        <v>1502</v>
      </c>
      <c r="T21" s="77"/>
      <c r="U21" s="79"/>
      <c r="V21" s="80"/>
      <c r="W21" s="81">
        <f t="shared" si="3"/>
        <v>0</v>
      </c>
      <c r="X21" s="82"/>
      <c r="Y21" s="77"/>
      <c r="Z21" s="79"/>
      <c r="AA21" s="80"/>
      <c r="AB21" s="81">
        <f t="shared" si="4"/>
        <v>0</v>
      </c>
      <c r="AC21" s="82"/>
      <c r="AD21" s="77"/>
      <c r="AE21" s="79"/>
      <c r="AF21" s="80"/>
      <c r="AG21" s="81">
        <f t="shared" si="5"/>
        <v>0</v>
      </c>
      <c r="AH21" s="82"/>
      <c r="AI21" s="77"/>
      <c r="AJ21" s="100">
        <v>1</v>
      </c>
      <c r="AK21" s="101">
        <v>0.5</v>
      </c>
      <c r="AL21" s="85">
        <f t="shared" si="6"/>
        <v>0.5</v>
      </c>
      <c r="AM21" s="102" t="s">
        <v>1503</v>
      </c>
      <c r="AN21" s="77"/>
      <c r="AO21" s="100">
        <v>1</v>
      </c>
      <c r="AP21" s="101">
        <v>0.72</v>
      </c>
      <c r="AQ21" s="85">
        <f t="shared" si="7"/>
        <v>0.72</v>
      </c>
      <c r="AR21" s="102" t="s">
        <v>903</v>
      </c>
    </row>
    <row r="22" spans="1:44" ht="94.5" x14ac:dyDescent="0.25">
      <c r="A22" s="77">
        <v>19</v>
      </c>
      <c r="B22" s="78" t="s">
        <v>6</v>
      </c>
      <c r="C22" s="78" t="s">
        <v>7</v>
      </c>
      <c r="D22" s="78" t="s">
        <v>45</v>
      </c>
      <c r="E22" s="77"/>
      <c r="F22" s="79"/>
      <c r="G22" s="80"/>
      <c r="H22" s="81">
        <f t="shared" si="0"/>
        <v>0</v>
      </c>
      <c r="I22" s="82"/>
      <c r="J22" s="77"/>
      <c r="K22" s="100">
        <v>1</v>
      </c>
      <c r="L22" s="101">
        <v>0.65</v>
      </c>
      <c r="M22" s="85">
        <f t="shared" ref="M22:M23" si="8">K22*L22</f>
        <v>0.65</v>
      </c>
      <c r="N22" s="102" t="s">
        <v>870</v>
      </c>
      <c r="O22" s="77"/>
      <c r="P22" s="100">
        <v>1</v>
      </c>
      <c r="Q22" s="101">
        <v>0.6</v>
      </c>
      <c r="R22" s="85">
        <f t="shared" ref="R22:R23" si="9">P22*Q22</f>
        <v>0.6</v>
      </c>
      <c r="S22" s="102" t="s">
        <v>883</v>
      </c>
      <c r="T22" s="77"/>
      <c r="U22" s="79"/>
      <c r="V22" s="80"/>
      <c r="W22" s="81">
        <f t="shared" si="3"/>
        <v>0</v>
      </c>
      <c r="X22" s="82"/>
      <c r="Y22" s="77"/>
      <c r="Z22" s="79"/>
      <c r="AA22" s="80"/>
      <c r="AB22" s="81">
        <f t="shared" si="4"/>
        <v>0</v>
      </c>
      <c r="AC22" s="82"/>
      <c r="AD22" s="77"/>
      <c r="AE22" s="79"/>
      <c r="AF22" s="80"/>
      <c r="AG22" s="81">
        <f t="shared" si="5"/>
        <v>0</v>
      </c>
      <c r="AH22" s="82"/>
      <c r="AI22" s="77"/>
      <c r="AJ22" s="100">
        <v>1</v>
      </c>
      <c r="AK22" s="101">
        <v>0.5</v>
      </c>
      <c r="AL22" s="85">
        <f t="shared" si="6"/>
        <v>0.5</v>
      </c>
      <c r="AM22" s="102" t="s">
        <v>894</v>
      </c>
      <c r="AN22" s="77"/>
      <c r="AO22" s="100">
        <v>1</v>
      </c>
      <c r="AP22" s="101">
        <v>0.3</v>
      </c>
      <c r="AQ22" s="85">
        <f t="shared" si="7"/>
        <v>0.3</v>
      </c>
      <c r="AR22" s="102" t="s">
        <v>904</v>
      </c>
    </row>
    <row r="23" spans="1:44" ht="110.25" x14ac:dyDescent="0.25">
      <c r="A23" s="77">
        <v>20</v>
      </c>
      <c r="B23" s="78" t="s">
        <v>6</v>
      </c>
      <c r="C23" s="78" t="s">
        <v>7</v>
      </c>
      <c r="D23" s="78" t="s">
        <v>46</v>
      </c>
      <c r="E23" s="77"/>
      <c r="F23" s="79"/>
      <c r="G23" s="80"/>
      <c r="H23" s="81">
        <f t="shared" si="0"/>
        <v>0</v>
      </c>
      <c r="I23" s="82"/>
      <c r="J23" s="77"/>
      <c r="K23" s="100">
        <v>1</v>
      </c>
      <c r="L23" s="101">
        <v>0.9</v>
      </c>
      <c r="M23" s="85">
        <f t="shared" si="8"/>
        <v>0.9</v>
      </c>
      <c r="N23" s="102" t="s">
        <v>871</v>
      </c>
      <c r="O23" s="77"/>
      <c r="P23" s="100">
        <v>1</v>
      </c>
      <c r="Q23" s="101">
        <v>0.5</v>
      </c>
      <c r="R23" s="85">
        <f t="shared" si="9"/>
        <v>0.5</v>
      </c>
      <c r="S23" s="102" t="s">
        <v>884</v>
      </c>
      <c r="T23" s="77"/>
      <c r="U23" s="79"/>
      <c r="V23" s="80"/>
      <c r="W23" s="81">
        <f t="shared" si="3"/>
        <v>0</v>
      </c>
      <c r="X23" s="82"/>
      <c r="Y23" s="77"/>
      <c r="Z23" s="79"/>
      <c r="AA23" s="80"/>
      <c r="AB23" s="81">
        <f t="shared" si="4"/>
        <v>0</v>
      </c>
      <c r="AC23" s="82"/>
      <c r="AD23" s="77"/>
      <c r="AE23" s="79"/>
      <c r="AF23" s="80"/>
      <c r="AG23" s="81">
        <f t="shared" si="5"/>
        <v>0</v>
      </c>
      <c r="AH23" s="82"/>
      <c r="AI23" s="77"/>
      <c r="AJ23" s="100">
        <v>1</v>
      </c>
      <c r="AK23" s="101">
        <v>0.4</v>
      </c>
      <c r="AL23" s="85">
        <f t="shared" si="6"/>
        <v>0.4</v>
      </c>
      <c r="AM23" s="102" t="s">
        <v>895</v>
      </c>
      <c r="AN23" s="77"/>
      <c r="AO23" s="100">
        <v>1</v>
      </c>
      <c r="AP23" s="101">
        <v>0.4</v>
      </c>
      <c r="AQ23" s="85">
        <f t="shared" si="7"/>
        <v>0.4</v>
      </c>
      <c r="AR23" s="102" t="s">
        <v>905</v>
      </c>
    </row>
    <row r="24" spans="1:44" ht="126" x14ac:dyDescent="0.25">
      <c r="A24" s="77">
        <v>21</v>
      </c>
      <c r="B24" s="78" t="s">
        <v>6</v>
      </c>
      <c r="C24" s="78" t="s">
        <v>7</v>
      </c>
      <c r="D24" s="78" t="s">
        <v>47</v>
      </c>
      <c r="E24" s="77"/>
      <c r="F24" s="79"/>
      <c r="G24" s="80"/>
      <c r="H24" s="81">
        <f t="shared" si="0"/>
        <v>0</v>
      </c>
      <c r="I24" s="82"/>
      <c r="J24" s="77" t="s">
        <v>30</v>
      </c>
      <c r="K24" s="100">
        <v>1</v>
      </c>
      <c r="L24" s="101">
        <v>0.98</v>
      </c>
      <c r="M24" s="85">
        <f t="shared" si="1"/>
        <v>0.98</v>
      </c>
      <c r="N24" s="102" t="s">
        <v>358</v>
      </c>
      <c r="O24" s="77"/>
      <c r="P24" s="100">
        <v>1</v>
      </c>
      <c r="Q24" s="101">
        <v>0.9</v>
      </c>
      <c r="R24" s="85">
        <f>P24*Q24</f>
        <v>0.9</v>
      </c>
      <c r="S24" s="102" t="s">
        <v>655</v>
      </c>
      <c r="T24" s="77"/>
      <c r="U24" s="79"/>
      <c r="V24" s="80"/>
      <c r="W24" s="81">
        <f t="shared" si="3"/>
        <v>0</v>
      </c>
      <c r="X24" s="82"/>
      <c r="Y24" s="77"/>
      <c r="Z24" s="79"/>
      <c r="AA24" s="80"/>
      <c r="AB24" s="81">
        <f t="shared" si="4"/>
        <v>0</v>
      </c>
      <c r="AC24" s="82"/>
      <c r="AD24" s="77"/>
      <c r="AE24" s="79"/>
      <c r="AF24" s="80"/>
      <c r="AG24" s="81">
        <f t="shared" si="5"/>
        <v>0</v>
      </c>
      <c r="AH24" s="82"/>
      <c r="AI24" s="77"/>
      <c r="AJ24" s="100">
        <v>1</v>
      </c>
      <c r="AK24" s="101">
        <v>0.98</v>
      </c>
      <c r="AL24" s="85">
        <f t="shared" si="6"/>
        <v>0.98</v>
      </c>
      <c r="AM24" s="102" t="s">
        <v>896</v>
      </c>
      <c r="AN24" s="77"/>
      <c r="AO24" s="100">
        <v>1</v>
      </c>
      <c r="AP24" s="101">
        <v>0.95</v>
      </c>
      <c r="AQ24" s="85">
        <f t="shared" si="7"/>
        <v>0.95</v>
      </c>
      <c r="AR24" s="102" t="s">
        <v>906</v>
      </c>
    </row>
    <row r="25" spans="1:44" s="73" customFormat="1" ht="193.5" customHeight="1" x14ac:dyDescent="0.25">
      <c r="A25" s="77">
        <v>22</v>
      </c>
      <c r="B25" s="78" t="s">
        <v>6</v>
      </c>
      <c r="C25" s="78" t="s">
        <v>8</v>
      </c>
      <c r="D25" s="78" t="s">
        <v>48</v>
      </c>
      <c r="E25" s="77"/>
      <c r="F25" s="79"/>
      <c r="G25" s="80"/>
      <c r="H25" s="81">
        <f t="shared" si="0"/>
        <v>0</v>
      </c>
      <c r="I25" s="82"/>
      <c r="J25" s="77"/>
      <c r="K25" s="100">
        <v>1</v>
      </c>
      <c r="L25" s="101">
        <v>1</v>
      </c>
      <c r="M25" s="85">
        <f t="shared" si="1"/>
        <v>1</v>
      </c>
      <c r="N25" s="102" t="s">
        <v>872</v>
      </c>
      <c r="O25" s="77"/>
      <c r="P25" s="100">
        <v>1</v>
      </c>
      <c r="Q25" s="101">
        <v>1</v>
      </c>
      <c r="R25" s="85">
        <f t="shared" ref="R25:R29" si="10">P25*Q25</f>
        <v>1</v>
      </c>
      <c r="S25" s="102" t="s">
        <v>885</v>
      </c>
      <c r="T25" s="77"/>
      <c r="U25" s="79"/>
      <c r="V25" s="80"/>
      <c r="W25" s="81">
        <f t="shared" si="3"/>
        <v>0</v>
      </c>
      <c r="X25" s="82"/>
      <c r="Y25" s="77"/>
      <c r="Z25" s="79"/>
      <c r="AA25" s="80"/>
      <c r="AB25" s="81">
        <f t="shared" si="4"/>
        <v>0</v>
      </c>
      <c r="AC25" s="82"/>
      <c r="AD25" s="77"/>
      <c r="AE25" s="79"/>
      <c r="AF25" s="80"/>
      <c r="AG25" s="81">
        <f t="shared" si="5"/>
        <v>0</v>
      </c>
      <c r="AH25" s="82"/>
      <c r="AI25" s="77"/>
      <c r="AJ25" s="100">
        <v>1</v>
      </c>
      <c r="AK25" s="101">
        <v>0.45</v>
      </c>
      <c r="AL25" s="85">
        <f t="shared" si="6"/>
        <v>0.45</v>
      </c>
      <c r="AM25" s="102" t="s">
        <v>897</v>
      </c>
      <c r="AN25" s="77"/>
      <c r="AO25" s="100">
        <v>1</v>
      </c>
      <c r="AP25" s="101">
        <v>0.5</v>
      </c>
      <c r="AQ25" s="85">
        <f t="shared" si="7"/>
        <v>0.5</v>
      </c>
      <c r="AR25" s="78" t="s">
        <v>907</v>
      </c>
    </row>
    <row r="26" spans="1:44" ht="94.5" x14ac:dyDescent="0.25">
      <c r="A26" s="77">
        <v>23</v>
      </c>
      <c r="B26" s="78" t="s">
        <v>6</v>
      </c>
      <c r="C26" s="78" t="s">
        <v>8</v>
      </c>
      <c r="D26" s="78" t="s">
        <v>49</v>
      </c>
      <c r="E26" s="77"/>
      <c r="F26" s="79"/>
      <c r="G26" s="80"/>
      <c r="H26" s="81">
        <f t="shared" si="0"/>
        <v>0</v>
      </c>
      <c r="I26" s="82"/>
      <c r="J26" s="77"/>
      <c r="K26" s="100">
        <v>1</v>
      </c>
      <c r="L26" s="101"/>
      <c r="M26" s="85">
        <f t="shared" si="1"/>
        <v>0</v>
      </c>
      <c r="N26" s="102" t="s">
        <v>873</v>
      </c>
      <c r="O26" s="77"/>
      <c r="P26" s="100">
        <v>1</v>
      </c>
      <c r="Q26" s="101">
        <v>1</v>
      </c>
      <c r="R26" s="85">
        <f t="shared" si="10"/>
        <v>1</v>
      </c>
      <c r="S26" s="102" t="s">
        <v>708</v>
      </c>
      <c r="T26" s="77"/>
      <c r="U26" s="79"/>
      <c r="V26" s="80"/>
      <c r="W26" s="81">
        <f t="shared" si="3"/>
        <v>0</v>
      </c>
      <c r="X26" s="82"/>
      <c r="Y26" s="77"/>
      <c r="Z26" s="79"/>
      <c r="AA26" s="80"/>
      <c r="AB26" s="81">
        <f t="shared" si="4"/>
        <v>0</v>
      </c>
      <c r="AC26" s="82"/>
      <c r="AD26" s="77"/>
      <c r="AE26" s="79"/>
      <c r="AF26" s="80"/>
      <c r="AG26" s="81">
        <f t="shared" si="5"/>
        <v>0</v>
      </c>
      <c r="AH26" s="82"/>
      <c r="AI26" s="77"/>
      <c r="AJ26" s="100">
        <v>1</v>
      </c>
      <c r="AK26" s="101">
        <v>0.7</v>
      </c>
      <c r="AL26" s="85">
        <f t="shared" si="6"/>
        <v>0.7</v>
      </c>
      <c r="AM26" s="102" t="s">
        <v>671</v>
      </c>
      <c r="AN26" s="77"/>
      <c r="AO26" s="100">
        <v>1</v>
      </c>
      <c r="AP26" s="101">
        <v>0.7</v>
      </c>
      <c r="AQ26" s="85">
        <f t="shared" si="7"/>
        <v>0.7</v>
      </c>
      <c r="AR26" s="78" t="s">
        <v>682</v>
      </c>
    </row>
    <row r="27" spans="1:44" ht="78.75" x14ac:dyDescent="0.25">
      <c r="A27" s="77">
        <v>24</v>
      </c>
      <c r="B27" s="78" t="s">
        <v>6</v>
      </c>
      <c r="C27" s="78" t="s">
        <v>8</v>
      </c>
      <c r="D27" s="78" t="s">
        <v>50</v>
      </c>
      <c r="E27" s="77"/>
      <c r="F27" s="79"/>
      <c r="G27" s="80"/>
      <c r="H27" s="81">
        <f t="shared" si="0"/>
        <v>0</v>
      </c>
      <c r="I27" s="82"/>
      <c r="J27" s="77"/>
      <c r="K27" s="100">
        <v>1</v>
      </c>
      <c r="L27" s="101">
        <v>0.99</v>
      </c>
      <c r="M27" s="85">
        <f t="shared" si="1"/>
        <v>0.99</v>
      </c>
      <c r="N27" s="102" t="s">
        <v>641</v>
      </c>
      <c r="O27" s="77"/>
      <c r="P27" s="100">
        <v>1</v>
      </c>
      <c r="Q27" s="101">
        <v>1</v>
      </c>
      <c r="R27" s="85">
        <f t="shared" si="10"/>
        <v>1</v>
      </c>
      <c r="S27" s="102" t="s">
        <v>279</v>
      </c>
      <c r="T27" s="77"/>
      <c r="U27" s="79"/>
      <c r="V27" s="80"/>
      <c r="W27" s="81">
        <f t="shared" si="3"/>
        <v>0</v>
      </c>
      <c r="X27" s="82"/>
      <c r="Y27" s="77"/>
      <c r="Z27" s="79"/>
      <c r="AA27" s="80"/>
      <c r="AB27" s="81">
        <f t="shared" si="4"/>
        <v>0</v>
      </c>
      <c r="AC27" s="82"/>
      <c r="AD27" s="77"/>
      <c r="AE27" s="79"/>
      <c r="AF27" s="80"/>
      <c r="AG27" s="81">
        <f t="shared" si="5"/>
        <v>0</v>
      </c>
      <c r="AH27" s="82"/>
      <c r="AI27" s="77"/>
      <c r="AJ27" s="100">
        <v>1</v>
      </c>
      <c r="AK27" s="101">
        <v>0.65</v>
      </c>
      <c r="AL27" s="85">
        <f t="shared" si="6"/>
        <v>0.65</v>
      </c>
      <c r="AM27" s="102" t="s">
        <v>898</v>
      </c>
      <c r="AN27" s="77"/>
      <c r="AO27" s="100">
        <v>1</v>
      </c>
      <c r="AP27" s="101">
        <v>0.7</v>
      </c>
      <c r="AQ27" s="85">
        <f t="shared" si="7"/>
        <v>0.7</v>
      </c>
      <c r="AR27" s="78" t="s">
        <v>770</v>
      </c>
    </row>
    <row r="28" spans="1:44" ht="315" x14ac:dyDescent="0.25">
      <c r="A28" s="77">
        <v>25</v>
      </c>
      <c r="B28" s="78" t="s">
        <v>6</v>
      </c>
      <c r="C28" s="78" t="s">
        <v>8</v>
      </c>
      <c r="D28" s="78" t="s">
        <v>51</v>
      </c>
      <c r="E28" s="77"/>
      <c r="F28" s="79"/>
      <c r="G28" s="80"/>
      <c r="H28" s="81">
        <f t="shared" si="0"/>
        <v>0</v>
      </c>
      <c r="I28" s="82"/>
      <c r="J28" s="77"/>
      <c r="K28" s="100">
        <v>1</v>
      </c>
      <c r="L28" s="101">
        <v>0.85</v>
      </c>
      <c r="M28" s="85">
        <f t="shared" si="1"/>
        <v>0.85</v>
      </c>
      <c r="N28" s="102" t="s">
        <v>1504</v>
      </c>
      <c r="O28" s="77"/>
      <c r="P28" s="100">
        <v>1</v>
      </c>
      <c r="Q28" s="101">
        <v>0.65</v>
      </c>
      <c r="R28" s="85">
        <f t="shared" si="10"/>
        <v>0.65</v>
      </c>
      <c r="S28" s="102" t="s">
        <v>886</v>
      </c>
      <c r="T28" s="77"/>
      <c r="U28" s="79"/>
      <c r="V28" s="80"/>
      <c r="W28" s="81">
        <f t="shared" si="3"/>
        <v>0</v>
      </c>
      <c r="X28" s="82"/>
      <c r="Y28" s="77"/>
      <c r="Z28" s="79"/>
      <c r="AA28" s="80"/>
      <c r="AB28" s="81">
        <f t="shared" si="4"/>
        <v>0</v>
      </c>
      <c r="AC28" s="82"/>
      <c r="AD28" s="77"/>
      <c r="AE28" s="79"/>
      <c r="AF28" s="80"/>
      <c r="AG28" s="81">
        <f t="shared" si="5"/>
        <v>0</v>
      </c>
      <c r="AH28" s="82"/>
      <c r="AI28" s="77"/>
      <c r="AJ28" s="100">
        <v>1</v>
      </c>
      <c r="AK28" s="101">
        <v>0.1</v>
      </c>
      <c r="AL28" s="85">
        <f t="shared" si="6"/>
        <v>0.1</v>
      </c>
      <c r="AM28" s="102" t="s">
        <v>604</v>
      </c>
      <c r="AN28" s="77"/>
      <c r="AO28" s="100">
        <v>1</v>
      </c>
      <c r="AP28" s="101">
        <v>0.6</v>
      </c>
      <c r="AQ28" s="85">
        <f t="shared" si="7"/>
        <v>0.6</v>
      </c>
      <c r="AR28" s="102" t="s">
        <v>908</v>
      </c>
    </row>
    <row r="29" spans="1:44" ht="78.75" x14ac:dyDescent="0.25">
      <c r="A29" s="77">
        <v>26</v>
      </c>
      <c r="B29" s="78" t="s">
        <v>6</v>
      </c>
      <c r="C29" s="78" t="s">
        <v>8</v>
      </c>
      <c r="D29" s="78" t="s">
        <v>52</v>
      </c>
      <c r="E29" s="77"/>
      <c r="F29" s="79"/>
      <c r="G29" s="80"/>
      <c r="H29" s="81">
        <f t="shared" si="0"/>
        <v>0</v>
      </c>
      <c r="I29" s="82"/>
      <c r="J29" s="77"/>
      <c r="K29" s="100">
        <v>1</v>
      </c>
      <c r="L29" s="101">
        <v>1</v>
      </c>
      <c r="M29" s="85">
        <f t="shared" si="1"/>
        <v>1</v>
      </c>
      <c r="N29" s="102" t="s">
        <v>147</v>
      </c>
      <c r="O29" s="77"/>
      <c r="P29" s="100">
        <v>1</v>
      </c>
      <c r="Q29" s="101">
        <v>0.85</v>
      </c>
      <c r="R29" s="85">
        <f t="shared" si="10"/>
        <v>0.85</v>
      </c>
      <c r="S29" s="102" t="s">
        <v>887</v>
      </c>
      <c r="T29" s="77"/>
      <c r="U29" s="79"/>
      <c r="V29" s="80"/>
      <c r="W29" s="81">
        <f t="shared" si="3"/>
        <v>0</v>
      </c>
      <c r="X29" s="78"/>
      <c r="Y29" s="77"/>
      <c r="Z29" s="79"/>
      <c r="AA29" s="80"/>
      <c r="AB29" s="81">
        <f t="shared" si="4"/>
        <v>0</v>
      </c>
      <c r="AC29" s="78"/>
      <c r="AD29" s="77"/>
      <c r="AE29" s="79"/>
      <c r="AF29" s="80"/>
      <c r="AG29" s="81">
        <f t="shared" si="5"/>
        <v>0</v>
      </c>
      <c r="AH29" s="78"/>
      <c r="AI29" s="77"/>
      <c r="AJ29" s="100">
        <v>1</v>
      </c>
      <c r="AK29" s="101">
        <v>0.1</v>
      </c>
      <c r="AL29" s="85">
        <f t="shared" si="6"/>
        <v>0.1</v>
      </c>
      <c r="AM29" s="102" t="s">
        <v>605</v>
      </c>
      <c r="AN29" s="77"/>
      <c r="AO29" s="100">
        <v>1</v>
      </c>
      <c r="AP29" s="101">
        <v>0.75</v>
      </c>
      <c r="AQ29" s="85">
        <f t="shared" si="7"/>
        <v>0.75</v>
      </c>
      <c r="AR29" s="102" t="s">
        <v>861</v>
      </c>
    </row>
    <row r="30" spans="1:44" ht="252" x14ac:dyDescent="0.25">
      <c r="A30" s="77">
        <v>27</v>
      </c>
      <c r="B30" s="78" t="s">
        <v>6</v>
      </c>
      <c r="C30" s="78" t="s">
        <v>8</v>
      </c>
      <c r="D30" s="78" t="s">
        <v>53</v>
      </c>
      <c r="E30" s="77"/>
      <c r="F30" s="79"/>
      <c r="G30" s="80"/>
      <c r="H30" s="81">
        <f t="shared" si="0"/>
        <v>0</v>
      </c>
      <c r="I30" s="82"/>
      <c r="J30" s="77"/>
      <c r="K30" s="100">
        <v>1</v>
      </c>
      <c r="L30" s="101">
        <v>1</v>
      </c>
      <c r="M30" s="85">
        <f t="shared" si="1"/>
        <v>1</v>
      </c>
      <c r="N30" s="102"/>
      <c r="O30" s="77"/>
      <c r="P30" s="100">
        <v>1</v>
      </c>
      <c r="Q30" s="101">
        <v>0.6</v>
      </c>
      <c r="R30" s="85">
        <f t="shared" si="2"/>
        <v>0.6</v>
      </c>
      <c r="S30" s="102" t="s">
        <v>464</v>
      </c>
      <c r="T30" s="77"/>
      <c r="U30" s="79"/>
      <c r="V30" s="80"/>
      <c r="W30" s="81">
        <f t="shared" si="3"/>
        <v>0</v>
      </c>
      <c r="X30" s="82"/>
      <c r="Y30" s="77"/>
      <c r="Z30" s="79"/>
      <c r="AA30" s="80"/>
      <c r="AB30" s="81">
        <f t="shared" si="4"/>
        <v>0</v>
      </c>
      <c r="AC30" s="82"/>
      <c r="AD30" s="77"/>
      <c r="AE30" s="79"/>
      <c r="AF30" s="80"/>
      <c r="AG30" s="81">
        <f t="shared" si="5"/>
        <v>0</v>
      </c>
      <c r="AH30" s="82"/>
      <c r="AI30" s="77"/>
      <c r="AJ30" s="100">
        <v>1</v>
      </c>
      <c r="AK30" s="101">
        <v>0.85</v>
      </c>
      <c r="AL30" s="85">
        <f t="shared" si="6"/>
        <v>0.85</v>
      </c>
      <c r="AM30" s="102" t="s">
        <v>606</v>
      </c>
      <c r="AN30" s="77"/>
      <c r="AO30" s="100">
        <v>1</v>
      </c>
      <c r="AP30" s="101">
        <v>1</v>
      </c>
      <c r="AQ30" s="85">
        <f t="shared" si="7"/>
        <v>1</v>
      </c>
      <c r="AR30" s="102"/>
    </row>
    <row r="31" spans="1:44" ht="63" x14ac:dyDescent="0.25">
      <c r="A31" s="77">
        <v>28</v>
      </c>
      <c r="B31" s="78" t="s">
        <v>6</v>
      </c>
      <c r="C31" s="78" t="s">
        <v>8</v>
      </c>
      <c r="D31" s="78" t="s">
        <v>54</v>
      </c>
      <c r="E31" s="77"/>
      <c r="F31" s="79"/>
      <c r="G31" s="80"/>
      <c r="H31" s="81">
        <f t="shared" si="0"/>
        <v>0</v>
      </c>
      <c r="I31" s="82"/>
      <c r="J31" s="77"/>
      <c r="K31" s="100">
        <v>1</v>
      </c>
      <c r="L31" s="101">
        <v>1</v>
      </c>
      <c r="M31" s="85">
        <f t="shared" si="1"/>
        <v>1</v>
      </c>
      <c r="N31" s="102" t="s">
        <v>874</v>
      </c>
      <c r="O31" s="77"/>
      <c r="P31" s="100">
        <v>1</v>
      </c>
      <c r="Q31" s="101">
        <v>1</v>
      </c>
      <c r="R31" s="85">
        <f t="shared" si="2"/>
        <v>1</v>
      </c>
      <c r="S31" s="102" t="s">
        <v>660</v>
      </c>
      <c r="T31" s="77"/>
      <c r="U31" s="79"/>
      <c r="V31" s="80"/>
      <c r="W31" s="81">
        <f t="shared" si="3"/>
        <v>0</v>
      </c>
      <c r="X31" s="82"/>
      <c r="Y31" s="77"/>
      <c r="Z31" s="79"/>
      <c r="AA31" s="80"/>
      <c r="AB31" s="81">
        <f t="shared" si="4"/>
        <v>0</v>
      </c>
      <c r="AC31" s="82"/>
      <c r="AD31" s="77"/>
      <c r="AE31" s="79"/>
      <c r="AF31" s="80"/>
      <c r="AG31" s="81">
        <f t="shared" si="5"/>
        <v>0</v>
      </c>
      <c r="AH31" s="82"/>
      <c r="AI31" s="77"/>
      <c r="AJ31" s="100">
        <v>1</v>
      </c>
      <c r="AK31" s="101">
        <v>1</v>
      </c>
      <c r="AL31" s="85">
        <f t="shared" si="6"/>
        <v>1</v>
      </c>
      <c r="AM31" s="102" t="s">
        <v>672</v>
      </c>
      <c r="AN31" s="77"/>
      <c r="AO31" s="100">
        <v>1</v>
      </c>
      <c r="AP31" s="101">
        <v>1</v>
      </c>
      <c r="AQ31" s="85">
        <f t="shared" si="7"/>
        <v>1</v>
      </c>
      <c r="AR31" s="102" t="s">
        <v>686</v>
      </c>
    </row>
    <row r="32" spans="1:44" ht="78.75" x14ac:dyDescent="0.25">
      <c r="A32" s="77">
        <v>29</v>
      </c>
      <c r="B32" s="78" t="s">
        <v>6</v>
      </c>
      <c r="C32" s="78" t="s">
        <v>8</v>
      </c>
      <c r="D32" s="78" t="s">
        <v>55</v>
      </c>
      <c r="E32" s="77"/>
      <c r="F32" s="79"/>
      <c r="G32" s="80"/>
      <c r="H32" s="81">
        <f t="shared" si="0"/>
        <v>0</v>
      </c>
      <c r="I32" s="82"/>
      <c r="J32" s="77"/>
      <c r="K32" s="100">
        <v>1</v>
      </c>
      <c r="L32" s="101">
        <v>1</v>
      </c>
      <c r="M32" s="85">
        <f t="shared" si="1"/>
        <v>1</v>
      </c>
      <c r="N32" s="102" t="s">
        <v>786</v>
      </c>
      <c r="O32" s="77"/>
      <c r="P32" s="100">
        <v>1</v>
      </c>
      <c r="Q32" s="101">
        <v>1</v>
      </c>
      <c r="R32" s="85">
        <f t="shared" si="2"/>
        <v>1</v>
      </c>
      <c r="S32" s="102" t="s">
        <v>888</v>
      </c>
      <c r="T32" s="77"/>
      <c r="U32" s="79"/>
      <c r="V32" s="80"/>
      <c r="W32" s="81">
        <f t="shared" si="3"/>
        <v>0</v>
      </c>
      <c r="X32" s="82"/>
      <c r="Y32" s="77"/>
      <c r="Z32" s="79"/>
      <c r="AA32" s="80"/>
      <c r="AB32" s="81">
        <f t="shared" si="4"/>
        <v>0</v>
      </c>
      <c r="AC32" s="82"/>
      <c r="AD32" s="77"/>
      <c r="AE32" s="79"/>
      <c r="AF32" s="80"/>
      <c r="AG32" s="81">
        <f t="shared" si="5"/>
        <v>0</v>
      </c>
      <c r="AH32" s="82"/>
      <c r="AI32" s="77"/>
      <c r="AJ32" s="100">
        <v>1</v>
      </c>
      <c r="AK32" s="101">
        <v>1</v>
      </c>
      <c r="AL32" s="85">
        <f t="shared" si="6"/>
        <v>1</v>
      </c>
      <c r="AM32" s="102" t="s">
        <v>673</v>
      </c>
      <c r="AN32" s="77"/>
      <c r="AO32" s="100">
        <v>1</v>
      </c>
      <c r="AP32" s="101">
        <v>1</v>
      </c>
      <c r="AQ32" s="85">
        <f t="shared" si="7"/>
        <v>1</v>
      </c>
      <c r="AR32" s="102" t="s">
        <v>909</v>
      </c>
    </row>
    <row r="33" spans="1:44" ht="94.5" x14ac:dyDescent="0.25">
      <c r="A33" s="77">
        <v>30</v>
      </c>
      <c r="B33" s="78" t="s">
        <v>6</v>
      </c>
      <c r="C33" s="78" t="s">
        <v>8</v>
      </c>
      <c r="D33" s="78" t="s">
        <v>56</v>
      </c>
      <c r="E33" s="77"/>
      <c r="F33" s="79"/>
      <c r="G33" s="80"/>
      <c r="H33" s="81">
        <f t="shared" si="0"/>
        <v>0</v>
      </c>
      <c r="I33" s="82"/>
      <c r="J33" s="77"/>
      <c r="K33" s="100">
        <v>1</v>
      </c>
      <c r="L33" s="101">
        <v>1</v>
      </c>
      <c r="M33" s="85">
        <f t="shared" si="1"/>
        <v>1</v>
      </c>
      <c r="N33" s="102" t="s">
        <v>875</v>
      </c>
      <c r="O33" s="77"/>
      <c r="P33" s="100">
        <v>1</v>
      </c>
      <c r="Q33" s="101">
        <v>0.5</v>
      </c>
      <c r="R33" s="85">
        <f t="shared" si="2"/>
        <v>0.5</v>
      </c>
      <c r="S33" s="102" t="s">
        <v>465</v>
      </c>
      <c r="T33" s="77"/>
      <c r="U33" s="79"/>
      <c r="V33" s="80"/>
      <c r="W33" s="81">
        <f t="shared" si="3"/>
        <v>0</v>
      </c>
      <c r="X33" s="82"/>
      <c r="Y33" s="77"/>
      <c r="Z33" s="79"/>
      <c r="AA33" s="80"/>
      <c r="AB33" s="81">
        <f t="shared" si="4"/>
        <v>0</v>
      </c>
      <c r="AC33" s="82"/>
      <c r="AD33" s="77"/>
      <c r="AE33" s="79"/>
      <c r="AF33" s="80"/>
      <c r="AG33" s="81">
        <f t="shared" si="5"/>
        <v>0</v>
      </c>
      <c r="AH33" s="82"/>
      <c r="AI33" s="77"/>
      <c r="AJ33" s="100">
        <v>1</v>
      </c>
      <c r="AK33" s="101">
        <v>0.3</v>
      </c>
      <c r="AL33" s="85">
        <f t="shared" si="6"/>
        <v>0.3</v>
      </c>
      <c r="AM33" s="102" t="s">
        <v>809</v>
      </c>
      <c r="AN33" s="77"/>
      <c r="AO33" s="100">
        <v>1</v>
      </c>
      <c r="AP33" s="101">
        <v>0.5</v>
      </c>
      <c r="AQ33" s="85">
        <f t="shared" si="7"/>
        <v>0.5</v>
      </c>
      <c r="AR33" s="102" t="s">
        <v>910</v>
      </c>
    </row>
    <row r="34" spans="1:44" ht="94.5" customHeight="1" x14ac:dyDescent="0.25">
      <c r="A34" s="77">
        <v>31</v>
      </c>
      <c r="B34" s="78" t="s">
        <v>6</v>
      </c>
      <c r="C34" s="78" t="s">
        <v>9</v>
      </c>
      <c r="D34" s="102" t="s">
        <v>57</v>
      </c>
      <c r="E34" s="77"/>
      <c r="F34" s="79"/>
      <c r="G34" s="80"/>
      <c r="H34" s="81">
        <f t="shared" si="0"/>
        <v>0</v>
      </c>
      <c r="I34" s="82"/>
      <c r="J34" s="77"/>
      <c r="K34" s="100">
        <v>1</v>
      </c>
      <c r="L34" s="101">
        <v>0.65</v>
      </c>
      <c r="M34" s="85">
        <f t="shared" si="1"/>
        <v>0.65</v>
      </c>
      <c r="N34" s="102" t="s">
        <v>876</v>
      </c>
      <c r="O34" s="77"/>
      <c r="P34" s="100">
        <v>1</v>
      </c>
      <c r="Q34" s="101">
        <v>0.3</v>
      </c>
      <c r="R34" s="85">
        <f t="shared" si="2"/>
        <v>0.3</v>
      </c>
      <c r="S34" s="102" t="s">
        <v>173</v>
      </c>
      <c r="T34" s="77"/>
      <c r="U34" s="79"/>
      <c r="V34" s="80"/>
      <c r="W34" s="81">
        <f t="shared" si="3"/>
        <v>0</v>
      </c>
      <c r="X34" s="82"/>
      <c r="Y34" s="77"/>
      <c r="Z34" s="79"/>
      <c r="AA34" s="80"/>
      <c r="AB34" s="81">
        <f t="shared" si="4"/>
        <v>0</v>
      </c>
      <c r="AC34" s="82"/>
      <c r="AD34" s="77"/>
      <c r="AE34" s="79"/>
      <c r="AF34" s="80"/>
      <c r="AG34" s="81">
        <f t="shared" si="5"/>
        <v>0</v>
      </c>
      <c r="AH34" s="82"/>
      <c r="AI34" s="77"/>
      <c r="AJ34" s="100">
        <v>1</v>
      </c>
      <c r="AK34" s="101">
        <v>0.3</v>
      </c>
      <c r="AL34" s="85">
        <f t="shared" si="6"/>
        <v>0.3</v>
      </c>
      <c r="AM34" s="102" t="s">
        <v>610</v>
      </c>
      <c r="AN34" s="77"/>
      <c r="AO34" s="100">
        <v>1</v>
      </c>
      <c r="AP34" s="101">
        <v>0.5</v>
      </c>
      <c r="AQ34" s="85">
        <f t="shared" si="7"/>
        <v>0.5</v>
      </c>
      <c r="AR34" s="102" t="s">
        <v>911</v>
      </c>
    </row>
    <row r="35" spans="1:44" ht="189" x14ac:dyDescent="0.25">
      <c r="A35" s="77">
        <v>32</v>
      </c>
      <c r="B35" s="78" t="s">
        <v>6</v>
      </c>
      <c r="C35" s="78" t="s">
        <v>9</v>
      </c>
      <c r="D35" s="102" t="s">
        <v>58</v>
      </c>
      <c r="E35" s="77"/>
      <c r="F35" s="79"/>
      <c r="G35" s="80"/>
      <c r="H35" s="81">
        <f t="shared" si="0"/>
        <v>0</v>
      </c>
      <c r="I35" s="78"/>
      <c r="J35" s="77"/>
      <c r="K35" s="100">
        <v>1</v>
      </c>
      <c r="L35" s="101">
        <v>0.9</v>
      </c>
      <c r="M35" s="85">
        <f t="shared" si="1"/>
        <v>0.9</v>
      </c>
      <c r="N35" s="102" t="s">
        <v>152</v>
      </c>
      <c r="O35" s="77"/>
      <c r="P35" s="100">
        <v>1</v>
      </c>
      <c r="Q35" s="101">
        <v>0.7</v>
      </c>
      <c r="R35" s="85">
        <f t="shared" si="2"/>
        <v>0.7</v>
      </c>
      <c r="S35" s="102" t="s">
        <v>332</v>
      </c>
      <c r="T35" s="77"/>
      <c r="U35" s="79"/>
      <c r="V35" s="80"/>
      <c r="W35" s="81">
        <f t="shared" si="3"/>
        <v>0</v>
      </c>
      <c r="X35" s="82"/>
      <c r="Y35" s="77"/>
      <c r="Z35" s="79"/>
      <c r="AA35" s="80"/>
      <c r="AB35" s="81">
        <f t="shared" si="4"/>
        <v>0</v>
      </c>
      <c r="AC35" s="82"/>
      <c r="AD35" s="77"/>
      <c r="AE35" s="79"/>
      <c r="AF35" s="80"/>
      <c r="AG35" s="81">
        <f t="shared" si="5"/>
        <v>0</v>
      </c>
      <c r="AH35" s="82"/>
      <c r="AI35" s="77"/>
      <c r="AJ35" s="100">
        <v>1</v>
      </c>
      <c r="AK35" s="101">
        <v>0.1</v>
      </c>
      <c r="AL35" s="85">
        <f t="shared" si="6"/>
        <v>0.1</v>
      </c>
      <c r="AM35" s="102" t="s">
        <v>611</v>
      </c>
      <c r="AN35" s="77"/>
      <c r="AO35" s="100">
        <v>1</v>
      </c>
      <c r="AP35" s="101">
        <v>0.5</v>
      </c>
      <c r="AQ35" s="85">
        <f t="shared" si="7"/>
        <v>0.5</v>
      </c>
      <c r="AR35" s="102" t="s">
        <v>348</v>
      </c>
    </row>
    <row r="36" spans="1:44" ht="141.75" x14ac:dyDescent="0.25">
      <c r="A36" s="77">
        <v>33</v>
      </c>
      <c r="B36" s="78" t="s">
        <v>6</v>
      </c>
      <c r="C36" s="78" t="s">
        <v>9</v>
      </c>
      <c r="D36" s="78" t="s">
        <v>59</v>
      </c>
      <c r="E36" s="77"/>
      <c r="F36" s="79"/>
      <c r="G36" s="80"/>
      <c r="H36" s="81">
        <f t="shared" si="0"/>
        <v>0</v>
      </c>
      <c r="I36" s="82"/>
      <c r="J36" s="77"/>
      <c r="K36" s="100">
        <v>1</v>
      </c>
      <c r="L36" s="101">
        <v>1</v>
      </c>
      <c r="M36" s="85">
        <f t="shared" si="1"/>
        <v>1</v>
      </c>
      <c r="N36" s="102"/>
      <c r="O36" s="77"/>
      <c r="P36" s="100">
        <v>1</v>
      </c>
      <c r="Q36" s="101">
        <v>0.5</v>
      </c>
      <c r="R36" s="85">
        <f t="shared" si="2"/>
        <v>0.5</v>
      </c>
      <c r="S36" s="102" t="s">
        <v>889</v>
      </c>
      <c r="T36" s="77"/>
      <c r="U36" s="79"/>
      <c r="V36" s="80"/>
      <c r="W36" s="81">
        <f t="shared" si="3"/>
        <v>0</v>
      </c>
      <c r="X36" s="82"/>
      <c r="Y36" s="77"/>
      <c r="Z36" s="79"/>
      <c r="AA36" s="80"/>
      <c r="AB36" s="81">
        <f t="shared" si="4"/>
        <v>0</v>
      </c>
      <c r="AC36" s="82"/>
      <c r="AD36" s="77"/>
      <c r="AE36" s="79"/>
      <c r="AF36" s="80"/>
      <c r="AG36" s="81">
        <f t="shared" si="5"/>
        <v>0</v>
      </c>
      <c r="AH36" s="82"/>
      <c r="AI36" s="77"/>
      <c r="AJ36" s="100">
        <v>1</v>
      </c>
      <c r="AK36" s="101">
        <v>0.5</v>
      </c>
      <c r="AL36" s="85">
        <f t="shared" si="6"/>
        <v>0.5</v>
      </c>
      <c r="AM36" s="102" t="s">
        <v>612</v>
      </c>
      <c r="AN36" s="77"/>
      <c r="AO36" s="100">
        <v>1</v>
      </c>
      <c r="AP36" s="101">
        <v>0.8</v>
      </c>
      <c r="AQ36" s="85">
        <f t="shared" si="7"/>
        <v>0.8</v>
      </c>
      <c r="AR36" s="102" t="s">
        <v>689</v>
      </c>
    </row>
    <row r="37" spans="1:44" ht="78.75" x14ac:dyDescent="0.25">
      <c r="A37" s="77">
        <v>34</v>
      </c>
      <c r="B37" s="78" t="s">
        <v>6</v>
      </c>
      <c r="C37" s="78" t="s">
        <v>9</v>
      </c>
      <c r="D37" s="78" t="s">
        <v>60</v>
      </c>
      <c r="E37" s="77"/>
      <c r="F37" s="79"/>
      <c r="G37" s="80"/>
      <c r="H37" s="81">
        <f t="shared" si="0"/>
        <v>0</v>
      </c>
      <c r="I37" s="82"/>
      <c r="J37" s="77"/>
      <c r="K37" s="100">
        <v>1</v>
      </c>
      <c r="L37" s="101">
        <v>1</v>
      </c>
      <c r="M37" s="85">
        <f t="shared" si="1"/>
        <v>1</v>
      </c>
      <c r="N37" s="102" t="s">
        <v>877</v>
      </c>
      <c r="O37" s="77"/>
      <c r="P37" s="100">
        <v>1</v>
      </c>
      <c r="Q37" s="101">
        <v>1</v>
      </c>
      <c r="R37" s="85">
        <f t="shared" si="2"/>
        <v>1</v>
      </c>
      <c r="S37" s="102" t="s">
        <v>176</v>
      </c>
      <c r="T37" s="77"/>
      <c r="U37" s="79"/>
      <c r="V37" s="80"/>
      <c r="W37" s="81">
        <f t="shared" si="3"/>
        <v>0</v>
      </c>
      <c r="X37" s="82"/>
      <c r="Y37" s="77"/>
      <c r="Z37" s="79"/>
      <c r="AA37" s="80"/>
      <c r="AB37" s="81">
        <f t="shared" si="4"/>
        <v>0</v>
      </c>
      <c r="AC37" s="82"/>
      <c r="AD37" s="77"/>
      <c r="AE37" s="79"/>
      <c r="AF37" s="80"/>
      <c r="AG37" s="81">
        <f t="shared" si="5"/>
        <v>0</v>
      </c>
      <c r="AH37" s="82"/>
      <c r="AI37" s="77"/>
      <c r="AJ37" s="100">
        <v>1</v>
      </c>
      <c r="AK37" s="101">
        <v>1</v>
      </c>
      <c r="AL37" s="85">
        <f t="shared" si="6"/>
        <v>1</v>
      </c>
      <c r="AM37" s="102" t="s">
        <v>613</v>
      </c>
      <c r="AN37" s="77"/>
      <c r="AO37" s="100">
        <v>0</v>
      </c>
      <c r="AP37" s="101"/>
      <c r="AQ37" s="85">
        <f t="shared" si="7"/>
        <v>0</v>
      </c>
      <c r="AR37" s="102" t="s">
        <v>297</v>
      </c>
    </row>
    <row r="38" spans="1:44" ht="220.5" x14ac:dyDescent="0.25">
      <c r="A38" s="77">
        <v>35</v>
      </c>
      <c r="B38" s="78" t="s">
        <v>6</v>
      </c>
      <c r="C38" s="78" t="s">
        <v>9</v>
      </c>
      <c r="D38" s="78" t="s">
        <v>61</v>
      </c>
      <c r="E38" s="77"/>
      <c r="F38" s="79"/>
      <c r="G38" s="80"/>
      <c r="H38" s="81">
        <f t="shared" si="0"/>
        <v>0</v>
      </c>
      <c r="I38" s="82"/>
      <c r="J38" s="77"/>
      <c r="K38" s="100">
        <v>1</v>
      </c>
      <c r="L38" s="101">
        <v>0.9</v>
      </c>
      <c r="M38" s="85">
        <f t="shared" si="1"/>
        <v>0.9</v>
      </c>
      <c r="N38" s="102" t="s">
        <v>647</v>
      </c>
      <c r="O38" s="77"/>
      <c r="P38" s="100">
        <v>1</v>
      </c>
      <c r="Q38" s="101">
        <v>0.98</v>
      </c>
      <c r="R38" s="85">
        <f t="shared" si="2"/>
        <v>0.98</v>
      </c>
      <c r="S38" s="102" t="s">
        <v>234</v>
      </c>
      <c r="T38" s="77"/>
      <c r="U38" s="79"/>
      <c r="V38" s="80"/>
      <c r="W38" s="81">
        <f t="shared" si="3"/>
        <v>0</v>
      </c>
      <c r="X38" s="82"/>
      <c r="Y38" s="77"/>
      <c r="Z38" s="79"/>
      <c r="AA38" s="80"/>
      <c r="AB38" s="81">
        <f t="shared" si="4"/>
        <v>0</v>
      </c>
      <c r="AC38" s="82"/>
      <c r="AD38" s="77"/>
      <c r="AE38" s="79"/>
      <c r="AF38" s="80"/>
      <c r="AG38" s="81">
        <f t="shared" si="5"/>
        <v>0</v>
      </c>
      <c r="AH38" s="82"/>
      <c r="AI38" s="77"/>
      <c r="AJ38" s="100">
        <v>1</v>
      </c>
      <c r="AK38" s="101">
        <v>0.1</v>
      </c>
      <c r="AL38" s="85">
        <f t="shared" si="6"/>
        <v>0.1</v>
      </c>
      <c r="AM38" s="102" t="s">
        <v>674</v>
      </c>
      <c r="AN38" s="77"/>
      <c r="AO38" s="100">
        <v>1</v>
      </c>
      <c r="AP38" s="101">
        <v>0.65</v>
      </c>
      <c r="AQ38" s="85">
        <f t="shared" si="7"/>
        <v>0.65</v>
      </c>
      <c r="AR38" s="102" t="s">
        <v>912</v>
      </c>
    </row>
    <row r="39" spans="1:44" ht="283.5" x14ac:dyDescent="0.25">
      <c r="A39" s="77">
        <v>36</v>
      </c>
      <c r="B39" s="78" t="s">
        <v>6</v>
      </c>
      <c r="C39" s="78" t="s">
        <v>9</v>
      </c>
      <c r="D39" s="78" t="s">
        <v>62</v>
      </c>
      <c r="E39" s="77"/>
      <c r="F39" s="79"/>
      <c r="G39" s="80"/>
      <c r="H39" s="81">
        <f t="shared" si="0"/>
        <v>0</v>
      </c>
      <c r="I39" s="82"/>
      <c r="J39" s="77"/>
      <c r="K39" s="100">
        <v>1</v>
      </c>
      <c r="L39" s="101">
        <v>0.9</v>
      </c>
      <c r="M39" s="85">
        <f t="shared" si="1"/>
        <v>0.9</v>
      </c>
      <c r="N39" s="102" t="s">
        <v>578</v>
      </c>
      <c r="O39" s="77"/>
      <c r="P39" s="100">
        <v>1</v>
      </c>
      <c r="Q39" s="101">
        <v>0.96</v>
      </c>
      <c r="R39" s="85">
        <f t="shared" si="2"/>
        <v>0.96</v>
      </c>
      <c r="S39" s="102" t="s">
        <v>177</v>
      </c>
      <c r="T39" s="77"/>
      <c r="U39" s="79"/>
      <c r="V39" s="80"/>
      <c r="W39" s="81">
        <f t="shared" si="3"/>
        <v>0</v>
      </c>
      <c r="X39" s="82"/>
      <c r="Y39" s="77"/>
      <c r="Z39" s="79"/>
      <c r="AA39" s="80"/>
      <c r="AB39" s="81">
        <f t="shared" si="4"/>
        <v>0</v>
      </c>
      <c r="AC39" s="82"/>
      <c r="AD39" s="77"/>
      <c r="AE39" s="79"/>
      <c r="AF39" s="80"/>
      <c r="AG39" s="81">
        <f t="shared" si="5"/>
        <v>0</v>
      </c>
      <c r="AH39" s="82"/>
      <c r="AI39" s="77"/>
      <c r="AJ39" s="100">
        <v>1</v>
      </c>
      <c r="AK39" s="101">
        <v>0.4</v>
      </c>
      <c r="AL39" s="85">
        <f t="shared" si="6"/>
        <v>0.4</v>
      </c>
      <c r="AM39" s="102" t="s">
        <v>761</v>
      </c>
      <c r="AN39" s="77"/>
      <c r="AO39" s="100">
        <v>1</v>
      </c>
      <c r="AP39" s="101">
        <v>0.6</v>
      </c>
      <c r="AQ39" s="85">
        <f t="shared" si="7"/>
        <v>0.6</v>
      </c>
      <c r="AR39" s="102" t="s">
        <v>632</v>
      </c>
    </row>
    <row r="40" spans="1:44" ht="94.5" x14ac:dyDescent="0.25">
      <c r="A40" s="77">
        <v>37</v>
      </c>
      <c r="B40" s="78" t="s">
        <v>6</v>
      </c>
      <c r="C40" s="78" t="s">
        <v>9</v>
      </c>
      <c r="D40" s="78" t="s">
        <v>63</v>
      </c>
      <c r="E40" s="77"/>
      <c r="F40" s="79"/>
      <c r="G40" s="80"/>
      <c r="H40" s="81">
        <f t="shared" si="0"/>
        <v>0</v>
      </c>
      <c r="I40" s="82"/>
      <c r="J40" s="77"/>
      <c r="K40" s="100">
        <v>1</v>
      </c>
      <c r="L40" s="101">
        <v>0.65</v>
      </c>
      <c r="M40" s="85">
        <f t="shared" si="1"/>
        <v>0.65</v>
      </c>
      <c r="N40" s="102" t="s">
        <v>878</v>
      </c>
      <c r="O40" s="77"/>
      <c r="P40" s="100">
        <v>1</v>
      </c>
      <c r="Q40" s="101">
        <v>1</v>
      </c>
      <c r="R40" s="85">
        <f t="shared" si="2"/>
        <v>1</v>
      </c>
      <c r="S40" s="102" t="s">
        <v>285</v>
      </c>
      <c r="T40" s="77"/>
      <c r="U40" s="79"/>
      <c r="V40" s="80"/>
      <c r="W40" s="81">
        <f t="shared" si="3"/>
        <v>0</v>
      </c>
      <c r="X40" s="82"/>
      <c r="Y40" s="77"/>
      <c r="Z40" s="79"/>
      <c r="AA40" s="80"/>
      <c r="AB40" s="81">
        <f t="shared" si="4"/>
        <v>0</v>
      </c>
      <c r="AC40" s="82"/>
      <c r="AD40" s="77"/>
      <c r="AE40" s="79"/>
      <c r="AF40" s="80"/>
      <c r="AG40" s="81">
        <f t="shared" si="5"/>
        <v>0</v>
      </c>
      <c r="AH40" s="82"/>
      <c r="AI40" s="77"/>
      <c r="AJ40" s="100">
        <v>1</v>
      </c>
      <c r="AK40" s="101">
        <v>0.99</v>
      </c>
      <c r="AL40" s="85">
        <f t="shared" si="6"/>
        <v>0.99</v>
      </c>
      <c r="AM40" s="102" t="s">
        <v>616</v>
      </c>
      <c r="AN40" s="77"/>
      <c r="AO40" s="100">
        <v>1</v>
      </c>
      <c r="AP40" s="101">
        <v>0.6</v>
      </c>
      <c r="AQ40" s="85">
        <f t="shared" si="7"/>
        <v>0.6</v>
      </c>
      <c r="AR40" s="102" t="s">
        <v>199</v>
      </c>
    </row>
    <row r="41" spans="1:44" ht="189" x14ac:dyDescent="0.25">
      <c r="A41" s="77">
        <v>38</v>
      </c>
      <c r="B41" s="78" t="s">
        <v>10</v>
      </c>
      <c r="C41" s="78" t="s">
        <v>11</v>
      </c>
      <c r="D41" s="78" t="s">
        <v>65</v>
      </c>
      <c r="E41" s="77"/>
      <c r="F41" s="79"/>
      <c r="G41" s="80"/>
      <c r="H41" s="81">
        <f t="shared" si="0"/>
        <v>0</v>
      </c>
      <c r="I41" s="82"/>
      <c r="J41" s="77"/>
      <c r="K41" s="100">
        <v>1</v>
      </c>
      <c r="L41" s="101">
        <v>0.95</v>
      </c>
      <c r="M41" s="85">
        <f t="shared" si="1"/>
        <v>0.95</v>
      </c>
      <c r="N41" s="78" t="s">
        <v>1485</v>
      </c>
      <c r="O41" s="77"/>
      <c r="P41" s="100">
        <v>1</v>
      </c>
      <c r="Q41" s="101">
        <v>0.87</v>
      </c>
      <c r="R41" s="85">
        <f t="shared" si="2"/>
        <v>0.87</v>
      </c>
      <c r="S41" s="78" t="s">
        <v>1505</v>
      </c>
      <c r="T41" s="77"/>
      <c r="U41" s="79"/>
      <c r="V41" s="80"/>
      <c r="W41" s="81">
        <f t="shared" si="3"/>
        <v>0</v>
      </c>
      <c r="X41" s="82"/>
      <c r="Y41" s="77"/>
      <c r="Z41" s="79"/>
      <c r="AA41" s="80"/>
      <c r="AB41" s="81">
        <f t="shared" si="4"/>
        <v>0</v>
      </c>
      <c r="AC41" s="82"/>
      <c r="AD41" s="77"/>
      <c r="AE41" s="79"/>
      <c r="AF41" s="80"/>
      <c r="AG41" s="81">
        <f t="shared" si="5"/>
        <v>0</v>
      </c>
      <c r="AH41" s="82"/>
      <c r="AI41" s="77"/>
      <c r="AJ41" s="100">
        <v>1</v>
      </c>
      <c r="AK41" s="101">
        <v>0.73</v>
      </c>
      <c r="AL41" s="85">
        <f t="shared" si="6"/>
        <v>0.73</v>
      </c>
      <c r="AM41" s="78" t="s">
        <v>1506</v>
      </c>
      <c r="AN41" s="77"/>
      <c r="AO41" s="100">
        <v>1</v>
      </c>
      <c r="AP41" s="101">
        <v>0.87</v>
      </c>
      <c r="AQ41" s="85">
        <f t="shared" si="7"/>
        <v>0.87</v>
      </c>
      <c r="AR41" s="78" t="s">
        <v>1507</v>
      </c>
    </row>
    <row r="42" spans="1:44" ht="105.75" customHeight="1" x14ac:dyDescent="0.25">
      <c r="A42" s="77">
        <v>39</v>
      </c>
      <c r="B42" s="78" t="s">
        <v>10</v>
      </c>
      <c r="C42" s="78" t="s">
        <v>11</v>
      </c>
      <c r="D42" s="78" t="s">
        <v>66</v>
      </c>
      <c r="E42" s="77"/>
      <c r="F42" s="79"/>
      <c r="G42" s="80"/>
      <c r="H42" s="81">
        <f t="shared" si="0"/>
        <v>0</v>
      </c>
      <c r="I42" s="82"/>
      <c r="J42" s="77"/>
      <c r="K42" s="100">
        <v>1</v>
      </c>
      <c r="L42" s="101">
        <v>1</v>
      </c>
      <c r="M42" s="85">
        <f t="shared" si="1"/>
        <v>1</v>
      </c>
      <c r="N42" s="78" t="s">
        <v>1058</v>
      </c>
      <c r="O42" s="77"/>
      <c r="P42" s="100">
        <v>1</v>
      </c>
      <c r="Q42" s="101">
        <v>1</v>
      </c>
      <c r="R42" s="85">
        <f t="shared" si="2"/>
        <v>1</v>
      </c>
      <c r="S42" s="78" t="s">
        <v>1075</v>
      </c>
      <c r="T42" s="77"/>
      <c r="U42" s="79"/>
      <c r="V42" s="80"/>
      <c r="W42" s="81">
        <f t="shared" si="3"/>
        <v>0</v>
      </c>
      <c r="X42" s="82"/>
      <c r="Y42" s="77"/>
      <c r="Z42" s="79"/>
      <c r="AA42" s="80"/>
      <c r="AB42" s="81">
        <f t="shared" si="4"/>
        <v>0</v>
      </c>
      <c r="AC42" s="82"/>
      <c r="AD42" s="77"/>
      <c r="AE42" s="79"/>
      <c r="AF42" s="80"/>
      <c r="AG42" s="81">
        <f t="shared" si="5"/>
        <v>0</v>
      </c>
      <c r="AH42" s="82"/>
      <c r="AI42" s="77"/>
      <c r="AJ42" s="100">
        <v>1</v>
      </c>
      <c r="AK42" s="101">
        <v>1</v>
      </c>
      <c r="AL42" s="85">
        <f t="shared" si="6"/>
        <v>1</v>
      </c>
      <c r="AM42" s="78" t="s">
        <v>1079</v>
      </c>
      <c r="AN42" s="77"/>
      <c r="AO42" s="100">
        <v>1</v>
      </c>
      <c r="AP42" s="101">
        <v>1</v>
      </c>
      <c r="AQ42" s="85">
        <f t="shared" si="7"/>
        <v>1</v>
      </c>
      <c r="AR42" s="78" t="s">
        <v>1072</v>
      </c>
    </row>
    <row r="43" spans="1:44" ht="45.75" customHeight="1" x14ac:dyDescent="0.25">
      <c r="A43" s="77">
        <v>40</v>
      </c>
      <c r="B43" s="78" t="s">
        <v>10</v>
      </c>
      <c r="C43" s="78" t="s">
        <v>11</v>
      </c>
      <c r="D43" s="78" t="s">
        <v>67</v>
      </c>
      <c r="E43" s="77"/>
      <c r="F43" s="79"/>
      <c r="G43" s="80"/>
      <c r="H43" s="81">
        <f t="shared" si="0"/>
        <v>0</v>
      </c>
      <c r="I43" s="82"/>
      <c r="J43" s="77"/>
      <c r="K43" s="100">
        <v>1</v>
      </c>
      <c r="L43" s="101">
        <v>0.8</v>
      </c>
      <c r="M43" s="85">
        <f t="shared" si="1"/>
        <v>0.8</v>
      </c>
      <c r="N43" s="78" t="s">
        <v>1478</v>
      </c>
      <c r="O43" s="77"/>
      <c r="P43" s="100">
        <v>1</v>
      </c>
      <c r="Q43" s="101">
        <v>0.9</v>
      </c>
      <c r="R43" s="85">
        <f t="shared" si="2"/>
        <v>0.9</v>
      </c>
      <c r="S43" s="78" t="s">
        <v>1508</v>
      </c>
      <c r="T43" s="77"/>
      <c r="U43" s="79"/>
      <c r="V43" s="80"/>
      <c r="W43" s="81">
        <f t="shared" si="3"/>
        <v>0</v>
      </c>
      <c r="X43" s="82"/>
      <c r="Y43" s="77"/>
      <c r="Z43" s="79"/>
      <c r="AA43" s="80"/>
      <c r="AB43" s="81">
        <f t="shared" si="4"/>
        <v>0</v>
      </c>
      <c r="AC43" s="82"/>
      <c r="AD43" s="77"/>
      <c r="AE43" s="79"/>
      <c r="AF43" s="80"/>
      <c r="AG43" s="81">
        <f t="shared" si="5"/>
        <v>0</v>
      </c>
      <c r="AH43" s="82"/>
      <c r="AI43" s="77"/>
      <c r="AJ43" s="100">
        <v>1</v>
      </c>
      <c r="AK43" s="101">
        <v>0.4</v>
      </c>
      <c r="AL43" s="85">
        <f t="shared" si="6"/>
        <v>0.4</v>
      </c>
      <c r="AM43" s="78" t="s">
        <v>1509</v>
      </c>
      <c r="AN43" s="77"/>
      <c r="AO43" s="100">
        <v>1</v>
      </c>
      <c r="AP43" s="101">
        <v>0.6</v>
      </c>
      <c r="AQ43" s="85">
        <f t="shared" si="7"/>
        <v>0.6</v>
      </c>
      <c r="AR43" s="78" t="s">
        <v>1510</v>
      </c>
    </row>
    <row r="44" spans="1:44" ht="78.75" x14ac:dyDescent="0.25">
      <c r="A44" s="77">
        <v>41</v>
      </c>
      <c r="B44" s="78" t="s">
        <v>10</v>
      </c>
      <c r="C44" s="78" t="s">
        <v>11</v>
      </c>
      <c r="D44" s="78" t="s">
        <v>68</v>
      </c>
      <c r="E44" s="77"/>
      <c r="F44" s="79"/>
      <c r="G44" s="80"/>
      <c r="H44" s="81">
        <f t="shared" si="0"/>
        <v>0</v>
      </c>
      <c r="I44" s="82"/>
      <c r="J44" s="77"/>
      <c r="K44" s="100">
        <v>1</v>
      </c>
      <c r="L44" s="101">
        <v>1</v>
      </c>
      <c r="M44" s="85">
        <f t="shared" si="1"/>
        <v>1</v>
      </c>
      <c r="N44" s="78" t="s">
        <v>1059</v>
      </c>
      <c r="O44" s="77"/>
      <c r="P44" s="100">
        <v>1</v>
      </c>
      <c r="Q44" s="101">
        <v>0.87</v>
      </c>
      <c r="R44" s="85">
        <f t="shared" si="2"/>
        <v>0.87</v>
      </c>
      <c r="S44" s="78" t="s">
        <v>1346</v>
      </c>
      <c r="T44" s="77"/>
      <c r="U44" s="79"/>
      <c r="V44" s="80"/>
      <c r="W44" s="81">
        <f t="shared" si="3"/>
        <v>0</v>
      </c>
      <c r="X44" s="82"/>
      <c r="Y44" s="77"/>
      <c r="Z44" s="79"/>
      <c r="AA44" s="80"/>
      <c r="AB44" s="81">
        <f t="shared" si="4"/>
        <v>0</v>
      </c>
      <c r="AC44" s="82"/>
      <c r="AD44" s="77"/>
      <c r="AE44" s="79"/>
      <c r="AF44" s="80"/>
      <c r="AG44" s="81">
        <f t="shared" si="5"/>
        <v>0</v>
      </c>
      <c r="AH44" s="82"/>
      <c r="AI44" s="77"/>
      <c r="AJ44" s="100">
        <v>1</v>
      </c>
      <c r="AK44" s="101">
        <v>0.83</v>
      </c>
      <c r="AL44" s="85">
        <f t="shared" si="6"/>
        <v>0.83</v>
      </c>
      <c r="AM44" s="78" t="s">
        <v>1408</v>
      </c>
      <c r="AN44" s="77"/>
      <c r="AO44" s="100">
        <v>1</v>
      </c>
      <c r="AP44" s="101">
        <v>0.87</v>
      </c>
      <c r="AQ44" s="85">
        <f t="shared" si="7"/>
        <v>0.87</v>
      </c>
      <c r="AR44" s="78" t="s">
        <v>1382</v>
      </c>
    </row>
    <row r="45" spans="1:44" ht="47.25" x14ac:dyDescent="0.25">
      <c r="A45" s="77">
        <v>42</v>
      </c>
      <c r="B45" s="78" t="s">
        <v>10</v>
      </c>
      <c r="C45" s="78" t="s">
        <v>11</v>
      </c>
      <c r="D45" s="78" t="s">
        <v>69</v>
      </c>
      <c r="E45" s="77"/>
      <c r="F45" s="79"/>
      <c r="G45" s="80"/>
      <c r="H45" s="81">
        <f t="shared" si="0"/>
        <v>0</v>
      </c>
      <c r="I45" s="82"/>
      <c r="J45" s="77"/>
      <c r="K45" s="100">
        <v>1</v>
      </c>
      <c r="L45" s="101">
        <v>1</v>
      </c>
      <c r="M45" s="85">
        <f t="shared" si="1"/>
        <v>1</v>
      </c>
      <c r="N45" s="78" t="s">
        <v>1060</v>
      </c>
      <c r="O45" s="77"/>
      <c r="P45" s="100">
        <v>1</v>
      </c>
      <c r="Q45" s="101">
        <v>0.7</v>
      </c>
      <c r="R45" s="85">
        <f t="shared" si="2"/>
        <v>0.7</v>
      </c>
      <c r="S45" s="78" t="s">
        <v>1276</v>
      </c>
      <c r="T45" s="77"/>
      <c r="U45" s="79"/>
      <c r="V45" s="80"/>
      <c r="W45" s="81">
        <f t="shared" si="3"/>
        <v>0</v>
      </c>
      <c r="X45" s="82"/>
      <c r="Y45" s="77"/>
      <c r="Z45" s="79"/>
      <c r="AA45" s="80"/>
      <c r="AB45" s="81">
        <f t="shared" si="4"/>
        <v>0</v>
      </c>
      <c r="AC45" s="82"/>
      <c r="AD45" s="77"/>
      <c r="AE45" s="79"/>
      <c r="AF45" s="80"/>
      <c r="AG45" s="81">
        <f t="shared" si="5"/>
        <v>0</v>
      </c>
      <c r="AH45" s="82"/>
      <c r="AI45" s="77"/>
      <c r="AJ45" s="100">
        <v>1</v>
      </c>
      <c r="AK45" s="101">
        <v>0.7</v>
      </c>
      <c r="AL45" s="85">
        <f t="shared" si="6"/>
        <v>0.7</v>
      </c>
      <c r="AM45" s="78" t="s">
        <v>1409</v>
      </c>
      <c r="AN45" s="77"/>
      <c r="AO45" s="100">
        <v>1</v>
      </c>
      <c r="AP45" s="101">
        <v>0.95</v>
      </c>
      <c r="AQ45" s="85">
        <f t="shared" si="7"/>
        <v>0.95</v>
      </c>
      <c r="AR45" s="78" t="s">
        <v>1277</v>
      </c>
    </row>
    <row r="46" spans="1:44" ht="78.75" x14ac:dyDescent="0.25">
      <c r="A46" s="77">
        <v>43</v>
      </c>
      <c r="B46" s="78" t="s">
        <v>10</v>
      </c>
      <c r="C46" s="78" t="s">
        <v>11</v>
      </c>
      <c r="D46" s="78" t="s">
        <v>70</v>
      </c>
      <c r="E46" s="77"/>
      <c r="F46" s="79"/>
      <c r="G46" s="80"/>
      <c r="H46" s="81">
        <f t="shared" si="0"/>
        <v>0</v>
      </c>
      <c r="I46" s="82"/>
      <c r="J46" s="77"/>
      <c r="K46" s="100">
        <v>1</v>
      </c>
      <c r="L46" s="101">
        <v>1</v>
      </c>
      <c r="M46" s="85">
        <f t="shared" si="1"/>
        <v>1</v>
      </c>
      <c r="N46" s="78" t="s">
        <v>1511</v>
      </c>
      <c r="O46" s="77"/>
      <c r="P46" s="100">
        <v>1</v>
      </c>
      <c r="Q46" s="101">
        <v>0.9</v>
      </c>
      <c r="R46" s="85">
        <f t="shared" si="2"/>
        <v>0.9</v>
      </c>
      <c r="S46" s="78" t="s">
        <v>1334</v>
      </c>
      <c r="T46" s="77"/>
      <c r="U46" s="79"/>
      <c r="V46" s="80"/>
      <c r="W46" s="81">
        <f t="shared" si="3"/>
        <v>0</v>
      </c>
      <c r="X46" s="82"/>
      <c r="Y46" s="77"/>
      <c r="Z46" s="79"/>
      <c r="AA46" s="80"/>
      <c r="AB46" s="81">
        <f t="shared" si="4"/>
        <v>0</v>
      </c>
      <c r="AC46" s="82"/>
      <c r="AD46" s="77"/>
      <c r="AE46" s="79"/>
      <c r="AF46" s="80"/>
      <c r="AG46" s="81">
        <f t="shared" si="5"/>
        <v>0</v>
      </c>
      <c r="AH46" s="82"/>
      <c r="AI46" s="77"/>
      <c r="AJ46" s="100">
        <v>1</v>
      </c>
      <c r="AK46" s="101">
        <v>0.75</v>
      </c>
      <c r="AL46" s="85">
        <f t="shared" si="6"/>
        <v>0.75</v>
      </c>
      <c r="AM46" s="78" t="s">
        <v>1512</v>
      </c>
      <c r="AN46" s="77"/>
      <c r="AO46" s="100">
        <v>1</v>
      </c>
      <c r="AP46" s="101">
        <v>0.95</v>
      </c>
      <c r="AQ46" s="85">
        <f t="shared" si="7"/>
        <v>0.95</v>
      </c>
      <c r="AR46" s="78" t="s">
        <v>1513</v>
      </c>
    </row>
    <row r="47" spans="1:44" ht="47.25" x14ac:dyDescent="0.25">
      <c r="A47" s="77">
        <v>44</v>
      </c>
      <c r="B47" s="78" t="s">
        <v>10</v>
      </c>
      <c r="C47" s="78" t="s">
        <v>11</v>
      </c>
      <c r="D47" s="78" t="s">
        <v>12</v>
      </c>
      <c r="E47" s="77"/>
      <c r="F47" s="79"/>
      <c r="G47" s="80"/>
      <c r="H47" s="81">
        <f t="shared" si="0"/>
        <v>0</v>
      </c>
      <c r="I47" s="82"/>
      <c r="J47" s="77"/>
      <c r="K47" s="100">
        <v>1</v>
      </c>
      <c r="L47" s="101">
        <v>1</v>
      </c>
      <c r="M47" s="85">
        <f t="shared" si="1"/>
        <v>1</v>
      </c>
      <c r="N47" s="78" t="s">
        <v>1062</v>
      </c>
      <c r="O47" s="77"/>
      <c r="P47" s="100">
        <v>1</v>
      </c>
      <c r="Q47" s="101">
        <v>1</v>
      </c>
      <c r="R47" s="85">
        <f t="shared" si="2"/>
        <v>1</v>
      </c>
      <c r="S47" s="116" t="s">
        <v>1065</v>
      </c>
      <c r="T47" s="77"/>
      <c r="U47" s="79"/>
      <c r="V47" s="80"/>
      <c r="W47" s="81">
        <f t="shared" si="3"/>
        <v>0</v>
      </c>
      <c r="X47" s="82"/>
      <c r="Y47" s="77"/>
      <c r="Z47" s="79"/>
      <c r="AA47" s="80"/>
      <c r="AB47" s="81">
        <f t="shared" si="4"/>
        <v>0</v>
      </c>
      <c r="AC47" s="82"/>
      <c r="AD47" s="77"/>
      <c r="AE47" s="79"/>
      <c r="AF47" s="80"/>
      <c r="AG47" s="81">
        <f t="shared" si="5"/>
        <v>0</v>
      </c>
      <c r="AH47" s="82"/>
      <c r="AI47" s="77"/>
      <c r="AJ47" s="100">
        <v>1</v>
      </c>
      <c r="AK47" s="101">
        <v>0.5</v>
      </c>
      <c r="AL47" s="85">
        <f t="shared" si="6"/>
        <v>0.5</v>
      </c>
      <c r="AM47" s="78" t="s">
        <v>1493</v>
      </c>
      <c r="AN47" s="77"/>
      <c r="AO47" s="100">
        <v>1</v>
      </c>
      <c r="AP47" s="101">
        <v>1</v>
      </c>
      <c r="AQ47" s="85">
        <f t="shared" si="7"/>
        <v>1</v>
      </c>
      <c r="AR47" s="78" t="s">
        <v>1058</v>
      </c>
    </row>
    <row r="48" spans="1:44" ht="94.5" x14ac:dyDescent="0.25">
      <c r="A48" s="77">
        <v>45</v>
      </c>
      <c r="B48" s="78" t="s">
        <v>10</v>
      </c>
      <c r="C48" s="78" t="s">
        <v>71</v>
      </c>
      <c r="D48" s="78" t="s">
        <v>72</v>
      </c>
      <c r="E48" s="77"/>
      <c r="F48" s="79"/>
      <c r="G48" s="80"/>
      <c r="H48" s="81">
        <f t="shared" si="0"/>
        <v>0</v>
      </c>
      <c r="I48" s="82"/>
      <c r="J48" s="77"/>
      <c r="K48" s="100">
        <v>1</v>
      </c>
      <c r="L48" s="101">
        <v>0.95</v>
      </c>
      <c r="M48" s="85">
        <f t="shared" si="1"/>
        <v>0.95</v>
      </c>
      <c r="N48" s="78" t="s">
        <v>1280</v>
      </c>
      <c r="O48" s="77"/>
      <c r="P48" s="100">
        <v>1</v>
      </c>
      <c r="Q48" s="101">
        <v>0.85</v>
      </c>
      <c r="R48" s="85">
        <f t="shared" si="2"/>
        <v>0.85</v>
      </c>
      <c r="S48" s="78" t="s">
        <v>1514</v>
      </c>
      <c r="T48" s="77"/>
      <c r="U48" s="79"/>
      <c r="V48" s="80"/>
      <c r="W48" s="81">
        <f t="shared" si="3"/>
        <v>0</v>
      </c>
      <c r="X48" s="82"/>
      <c r="Y48" s="77"/>
      <c r="Z48" s="79"/>
      <c r="AA48" s="80"/>
      <c r="AB48" s="81">
        <f t="shared" si="4"/>
        <v>0</v>
      </c>
      <c r="AC48" s="82"/>
      <c r="AD48" s="77"/>
      <c r="AE48" s="79"/>
      <c r="AF48" s="80"/>
      <c r="AG48" s="81">
        <f t="shared" si="5"/>
        <v>0</v>
      </c>
      <c r="AH48" s="82"/>
      <c r="AI48" s="77"/>
      <c r="AJ48" s="100">
        <v>1</v>
      </c>
      <c r="AK48" s="101">
        <v>0.75</v>
      </c>
      <c r="AL48" s="85">
        <f t="shared" si="6"/>
        <v>0.75</v>
      </c>
      <c r="AM48" s="78" t="s">
        <v>1515</v>
      </c>
      <c r="AN48" s="77"/>
      <c r="AO48" s="100">
        <v>1</v>
      </c>
      <c r="AP48" s="101">
        <v>0.8</v>
      </c>
      <c r="AQ48" s="85">
        <f t="shared" si="7"/>
        <v>0.8</v>
      </c>
      <c r="AR48" s="78" t="s">
        <v>1336</v>
      </c>
    </row>
    <row r="49" spans="1:44" ht="31.5" x14ac:dyDescent="0.25">
      <c r="A49" s="77">
        <v>46</v>
      </c>
      <c r="B49" s="78" t="s">
        <v>10</v>
      </c>
      <c r="C49" s="78" t="s">
        <v>11</v>
      </c>
      <c r="D49" s="78" t="s">
        <v>13</v>
      </c>
      <c r="E49" s="77"/>
      <c r="F49" s="79"/>
      <c r="G49" s="80"/>
      <c r="H49" s="81">
        <f t="shared" si="0"/>
        <v>0</v>
      </c>
      <c r="I49" s="82"/>
      <c r="J49" s="77"/>
      <c r="K49" s="100">
        <v>1</v>
      </c>
      <c r="L49" s="101">
        <v>1</v>
      </c>
      <c r="M49" s="85">
        <f t="shared" si="1"/>
        <v>1</v>
      </c>
      <c r="N49" s="78" t="s">
        <v>1060</v>
      </c>
      <c r="O49" s="77"/>
      <c r="P49" s="100">
        <v>1</v>
      </c>
      <c r="Q49" s="101">
        <v>1</v>
      </c>
      <c r="R49" s="85">
        <f t="shared" si="2"/>
        <v>1</v>
      </c>
      <c r="S49" s="78" t="s">
        <v>1062</v>
      </c>
      <c r="T49" s="77"/>
      <c r="U49" s="79"/>
      <c r="V49" s="80"/>
      <c r="W49" s="81">
        <f t="shared" si="3"/>
        <v>0</v>
      </c>
      <c r="X49" s="82"/>
      <c r="Y49" s="77"/>
      <c r="Z49" s="79"/>
      <c r="AA49" s="80"/>
      <c r="AB49" s="81">
        <f t="shared" si="4"/>
        <v>0</v>
      </c>
      <c r="AC49" s="82"/>
      <c r="AD49" s="77"/>
      <c r="AE49" s="79"/>
      <c r="AF49" s="80"/>
      <c r="AG49" s="81">
        <f t="shared" si="5"/>
        <v>0</v>
      </c>
      <c r="AH49" s="82"/>
      <c r="AI49" s="77"/>
      <c r="AJ49" s="100">
        <v>1</v>
      </c>
      <c r="AK49" s="101">
        <v>1</v>
      </c>
      <c r="AL49" s="85">
        <f t="shared" si="6"/>
        <v>1</v>
      </c>
      <c r="AM49" s="78" t="s">
        <v>1072</v>
      </c>
      <c r="AN49" s="77"/>
      <c r="AO49" s="100">
        <v>1</v>
      </c>
      <c r="AP49" s="101">
        <v>1</v>
      </c>
      <c r="AQ49" s="85">
        <f t="shared" si="7"/>
        <v>1</v>
      </c>
      <c r="AR49" s="78" t="s">
        <v>1395</v>
      </c>
    </row>
    <row r="50" spans="1:44" ht="63" x14ac:dyDescent="0.25">
      <c r="A50" s="77">
        <v>47</v>
      </c>
      <c r="B50" s="78" t="s">
        <v>14</v>
      </c>
      <c r="C50" s="78" t="s">
        <v>14</v>
      </c>
      <c r="D50" s="78" t="s">
        <v>15</v>
      </c>
      <c r="E50" s="77"/>
      <c r="F50" s="79"/>
      <c r="G50" s="80"/>
      <c r="H50" s="81">
        <f t="shared" si="0"/>
        <v>0</v>
      </c>
      <c r="I50" s="82"/>
      <c r="J50" s="77"/>
      <c r="K50" s="100">
        <v>1</v>
      </c>
      <c r="L50" s="101">
        <v>1</v>
      </c>
      <c r="M50" s="85">
        <f t="shared" si="1"/>
        <v>1</v>
      </c>
      <c r="N50" s="78" t="s">
        <v>1087</v>
      </c>
      <c r="O50" s="77"/>
      <c r="P50" s="100">
        <v>1</v>
      </c>
      <c r="Q50" s="101">
        <v>1</v>
      </c>
      <c r="R50" s="85">
        <f t="shared" si="2"/>
        <v>1</v>
      </c>
      <c r="S50" s="78" t="s">
        <v>1087</v>
      </c>
      <c r="T50" s="77"/>
      <c r="U50" s="79"/>
      <c r="V50" s="80"/>
      <c r="W50" s="81">
        <f t="shared" si="3"/>
        <v>0</v>
      </c>
      <c r="X50" s="82"/>
      <c r="Y50" s="77"/>
      <c r="Z50" s="79"/>
      <c r="AA50" s="80"/>
      <c r="AB50" s="81">
        <f t="shared" si="4"/>
        <v>0</v>
      </c>
      <c r="AC50" s="82"/>
      <c r="AD50" s="77"/>
      <c r="AE50" s="79"/>
      <c r="AF50" s="80"/>
      <c r="AG50" s="81">
        <f t="shared" si="5"/>
        <v>0</v>
      </c>
      <c r="AH50" s="82"/>
      <c r="AI50" s="77"/>
      <c r="AJ50" s="100">
        <v>1</v>
      </c>
      <c r="AK50" s="101">
        <v>0.9</v>
      </c>
      <c r="AL50" s="85">
        <f t="shared" si="6"/>
        <v>0.9</v>
      </c>
      <c r="AM50" s="78" t="s">
        <v>1133</v>
      </c>
      <c r="AN50" s="77"/>
      <c r="AO50" s="100">
        <v>1</v>
      </c>
      <c r="AP50" s="101">
        <v>1</v>
      </c>
      <c r="AQ50" s="85">
        <f t="shared" si="7"/>
        <v>1</v>
      </c>
      <c r="AR50" s="78" t="s">
        <v>1087</v>
      </c>
    </row>
    <row r="51" spans="1:44" ht="142.5" customHeight="1" x14ac:dyDescent="0.25">
      <c r="A51" s="77">
        <v>48</v>
      </c>
      <c r="B51" s="78" t="s">
        <v>14</v>
      </c>
      <c r="C51" s="78" t="s">
        <v>14</v>
      </c>
      <c r="D51" s="78" t="s">
        <v>73</v>
      </c>
      <c r="E51" s="77"/>
      <c r="F51" s="79"/>
      <c r="G51" s="80"/>
      <c r="H51" s="81">
        <f t="shared" si="0"/>
        <v>0</v>
      </c>
      <c r="I51" s="82"/>
      <c r="J51" s="77"/>
      <c r="K51" s="100">
        <v>1</v>
      </c>
      <c r="L51" s="101">
        <v>0.65</v>
      </c>
      <c r="M51" s="85">
        <f t="shared" si="1"/>
        <v>0.65</v>
      </c>
      <c r="N51" s="78" t="s">
        <v>1107</v>
      </c>
      <c r="O51" s="77"/>
      <c r="P51" s="100">
        <v>1</v>
      </c>
      <c r="Q51" s="101">
        <v>0.95</v>
      </c>
      <c r="R51" s="85">
        <f t="shared" si="2"/>
        <v>0.95</v>
      </c>
      <c r="S51" s="78" t="s">
        <v>1100</v>
      </c>
      <c r="T51" s="77"/>
      <c r="U51" s="79"/>
      <c r="V51" s="80"/>
      <c r="W51" s="81">
        <f t="shared" si="3"/>
        <v>0</v>
      </c>
      <c r="X51" s="82"/>
      <c r="Y51" s="77"/>
      <c r="Z51" s="79"/>
      <c r="AA51" s="80"/>
      <c r="AB51" s="81">
        <f t="shared" si="4"/>
        <v>0</v>
      </c>
      <c r="AC51" s="82"/>
      <c r="AD51" s="77"/>
      <c r="AE51" s="79"/>
      <c r="AF51" s="80"/>
      <c r="AG51" s="81">
        <f t="shared" si="5"/>
        <v>0</v>
      </c>
      <c r="AH51" s="82"/>
      <c r="AI51" s="77"/>
      <c r="AJ51" s="100">
        <v>1</v>
      </c>
      <c r="AK51" s="101">
        <v>0.15</v>
      </c>
      <c r="AL51" s="85">
        <f t="shared" si="6"/>
        <v>0.15</v>
      </c>
      <c r="AM51" s="78" t="s">
        <v>1155</v>
      </c>
      <c r="AN51" s="77"/>
      <c r="AO51" s="100">
        <v>1</v>
      </c>
      <c r="AP51" s="101">
        <v>0.4</v>
      </c>
      <c r="AQ51" s="85">
        <f t="shared" si="7"/>
        <v>0.4</v>
      </c>
      <c r="AR51" s="78" t="s">
        <v>1138</v>
      </c>
    </row>
    <row r="52" spans="1:44" ht="124.5" customHeight="1" x14ac:dyDescent="0.25">
      <c r="A52" s="77">
        <v>49</v>
      </c>
      <c r="B52" s="78" t="s">
        <v>14</v>
      </c>
      <c r="C52" s="78" t="s">
        <v>14</v>
      </c>
      <c r="D52" s="78" t="s">
        <v>74</v>
      </c>
      <c r="E52" s="77"/>
      <c r="F52" s="79"/>
      <c r="G52" s="80"/>
      <c r="H52" s="81">
        <f t="shared" si="0"/>
        <v>0</v>
      </c>
      <c r="I52" s="82"/>
      <c r="J52" s="77"/>
      <c r="K52" s="100">
        <v>1</v>
      </c>
      <c r="L52" s="101">
        <v>0.9</v>
      </c>
      <c r="M52" s="85">
        <f t="shared" si="1"/>
        <v>0.9</v>
      </c>
      <c r="N52" s="78" t="s">
        <v>1154</v>
      </c>
      <c r="O52" s="77"/>
      <c r="P52" s="100">
        <v>1</v>
      </c>
      <c r="Q52" s="101">
        <v>0.7</v>
      </c>
      <c r="R52" s="85">
        <f t="shared" si="2"/>
        <v>0.7</v>
      </c>
      <c r="S52" s="78" t="s">
        <v>1121</v>
      </c>
      <c r="T52" s="77"/>
      <c r="U52" s="79"/>
      <c r="V52" s="80"/>
      <c r="W52" s="81">
        <f t="shared" si="3"/>
        <v>0</v>
      </c>
      <c r="X52" s="82"/>
      <c r="Y52" s="77"/>
      <c r="Z52" s="79"/>
      <c r="AA52" s="80"/>
      <c r="AB52" s="81">
        <f t="shared" si="4"/>
        <v>0</v>
      </c>
      <c r="AC52" s="82"/>
      <c r="AD52" s="77"/>
      <c r="AE52" s="79"/>
      <c r="AF52" s="80"/>
      <c r="AG52" s="81">
        <f t="shared" si="5"/>
        <v>0</v>
      </c>
      <c r="AH52" s="82"/>
      <c r="AI52" s="77"/>
      <c r="AJ52" s="100">
        <v>1</v>
      </c>
      <c r="AK52" s="101">
        <v>0.15</v>
      </c>
      <c r="AL52" s="85">
        <f t="shared" si="6"/>
        <v>0.15</v>
      </c>
      <c r="AM52" s="78" t="s">
        <v>1156</v>
      </c>
      <c r="AN52" s="77"/>
      <c r="AO52" s="100">
        <v>1</v>
      </c>
      <c r="AP52" s="101">
        <v>0.7</v>
      </c>
      <c r="AQ52" s="85">
        <f t="shared" si="7"/>
        <v>0.7</v>
      </c>
      <c r="AR52" s="78" t="s">
        <v>1157</v>
      </c>
    </row>
    <row r="53" spans="1:44" ht="138" customHeight="1" x14ac:dyDescent="0.25">
      <c r="A53" s="77">
        <v>50</v>
      </c>
      <c r="B53" s="78" t="s">
        <v>14</v>
      </c>
      <c r="C53" s="78" t="s">
        <v>14</v>
      </c>
      <c r="D53" s="78" t="s">
        <v>75</v>
      </c>
      <c r="E53" s="77"/>
      <c r="F53" s="79"/>
      <c r="G53" s="80"/>
      <c r="H53" s="81">
        <f t="shared" si="0"/>
        <v>0</v>
      </c>
      <c r="I53" s="82"/>
      <c r="J53" s="77"/>
      <c r="K53" s="100">
        <v>1</v>
      </c>
      <c r="L53" s="101">
        <v>1</v>
      </c>
      <c r="M53" s="85">
        <f t="shared" si="1"/>
        <v>1</v>
      </c>
      <c r="N53" s="78" t="s">
        <v>1087</v>
      </c>
      <c r="O53" s="77"/>
      <c r="P53" s="100">
        <v>1</v>
      </c>
      <c r="Q53" s="101">
        <v>1</v>
      </c>
      <c r="R53" s="85">
        <f t="shared" si="2"/>
        <v>1</v>
      </c>
      <c r="S53" s="78" t="s">
        <v>1087</v>
      </c>
      <c r="T53" s="77"/>
      <c r="U53" s="79"/>
      <c r="V53" s="80"/>
      <c r="W53" s="81">
        <f t="shared" si="3"/>
        <v>0</v>
      </c>
      <c r="X53" s="82"/>
      <c r="Y53" s="77"/>
      <c r="Z53" s="79"/>
      <c r="AA53" s="80"/>
      <c r="AB53" s="81">
        <f t="shared" si="4"/>
        <v>0</v>
      </c>
      <c r="AC53" s="82"/>
      <c r="AD53" s="77"/>
      <c r="AE53" s="79"/>
      <c r="AF53" s="80"/>
      <c r="AG53" s="81">
        <f t="shared" si="5"/>
        <v>0</v>
      </c>
      <c r="AH53" s="82"/>
      <c r="AI53" s="77"/>
      <c r="AJ53" s="100">
        <v>1</v>
      </c>
      <c r="AK53" s="101">
        <v>0.85</v>
      </c>
      <c r="AL53" s="85">
        <f t="shared" si="6"/>
        <v>0.85</v>
      </c>
      <c r="AM53" s="78" t="s">
        <v>1136</v>
      </c>
      <c r="AN53" s="77"/>
      <c r="AO53" s="100">
        <v>1</v>
      </c>
      <c r="AP53" s="101">
        <v>1</v>
      </c>
      <c r="AQ53" s="85">
        <f t="shared" si="7"/>
        <v>1</v>
      </c>
      <c r="AR53" s="78" t="s">
        <v>1087</v>
      </c>
    </row>
    <row r="54" spans="1:44" ht="109.5" customHeight="1" x14ac:dyDescent="0.25">
      <c r="A54" s="77">
        <v>51</v>
      </c>
      <c r="B54" s="78" t="s">
        <v>14</v>
      </c>
      <c r="C54" s="78" t="s">
        <v>14</v>
      </c>
      <c r="D54" s="78" t="s">
        <v>76</v>
      </c>
      <c r="E54" s="77"/>
      <c r="F54" s="79"/>
      <c r="G54" s="80"/>
      <c r="H54" s="81">
        <f t="shared" si="0"/>
        <v>0</v>
      </c>
      <c r="I54" s="82"/>
      <c r="J54" s="77"/>
      <c r="K54" s="100">
        <v>1</v>
      </c>
      <c r="L54" s="101">
        <v>1</v>
      </c>
      <c r="M54" s="85">
        <f t="shared" si="1"/>
        <v>1</v>
      </c>
      <c r="N54" s="78" t="s">
        <v>1087</v>
      </c>
      <c r="O54" s="77"/>
      <c r="P54" s="100">
        <v>1</v>
      </c>
      <c r="Q54" s="101">
        <v>1</v>
      </c>
      <c r="R54" s="85">
        <f t="shared" si="2"/>
        <v>1</v>
      </c>
      <c r="S54" s="78" t="s">
        <v>1087</v>
      </c>
      <c r="T54" s="77"/>
      <c r="U54" s="79"/>
      <c r="V54" s="80"/>
      <c r="W54" s="81">
        <f t="shared" si="3"/>
        <v>0</v>
      </c>
      <c r="X54" s="82"/>
      <c r="Y54" s="77"/>
      <c r="Z54" s="79"/>
      <c r="AA54" s="80"/>
      <c r="AB54" s="81">
        <f t="shared" si="4"/>
        <v>0</v>
      </c>
      <c r="AC54" s="82"/>
      <c r="AD54" s="77"/>
      <c r="AE54" s="79"/>
      <c r="AF54" s="80"/>
      <c r="AG54" s="81">
        <f t="shared" si="5"/>
        <v>0</v>
      </c>
      <c r="AH54" s="82"/>
      <c r="AI54" s="77"/>
      <c r="AJ54" s="100">
        <v>1</v>
      </c>
      <c r="AK54" s="101">
        <v>1</v>
      </c>
      <c r="AL54" s="85">
        <f t="shared" si="6"/>
        <v>1</v>
      </c>
      <c r="AM54" s="78" t="s">
        <v>1087</v>
      </c>
      <c r="AN54" s="77"/>
      <c r="AO54" s="100">
        <v>1</v>
      </c>
      <c r="AP54" s="101">
        <v>1</v>
      </c>
      <c r="AQ54" s="85">
        <f t="shared" si="7"/>
        <v>1</v>
      </c>
      <c r="AR54" s="78" t="s">
        <v>1087</v>
      </c>
    </row>
    <row r="55" spans="1:44" ht="315" x14ac:dyDescent="0.25">
      <c r="A55" s="77">
        <v>52</v>
      </c>
      <c r="B55" s="78" t="s">
        <v>14</v>
      </c>
      <c r="C55" s="78" t="s">
        <v>14</v>
      </c>
      <c r="D55" s="78" t="s">
        <v>77</v>
      </c>
      <c r="E55" s="77"/>
      <c r="F55" s="79"/>
      <c r="G55" s="80"/>
      <c r="H55" s="81">
        <f t="shared" si="0"/>
        <v>0</v>
      </c>
      <c r="I55" s="82"/>
      <c r="J55" s="77"/>
      <c r="K55" s="100">
        <v>1</v>
      </c>
      <c r="L55" s="101">
        <v>0.95</v>
      </c>
      <c r="M55" s="85">
        <f t="shared" si="1"/>
        <v>0.95</v>
      </c>
      <c r="N55" s="78" t="s">
        <v>1145</v>
      </c>
      <c r="O55" s="77"/>
      <c r="P55" s="100">
        <v>1</v>
      </c>
      <c r="Q55" s="101">
        <v>0.8</v>
      </c>
      <c r="R55" s="85">
        <f t="shared" si="2"/>
        <v>0.8</v>
      </c>
      <c r="S55" s="78" t="s">
        <v>1126</v>
      </c>
      <c r="T55" s="77"/>
      <c r="U55" s="79"/>
      <c r="V55" s="80"/>
      <c r="W55" s="81">
        <f t="shared" si="3"/>
        <v>0</v>
      </c>
      <c r="X55" s="82"/>
      <c r="Y55" s="77"/>
      <c r="Z55" s="79"/>
      <c r="AA55" s="80"/>
      <c r="AB55" s="81">
        <f t="shared" si="4"/>
        <v>0</v>
      </c>
      <c r="AC55" s="82"/>
      <c r="AD55" s="77"/>
      <c r="AE55" s="79"/>
      <c r="AF55" s="80"/>
      <c r="AG55" s="81">
        <f t="shared" si="5"/>
        <v>0</v>
      </c>
      <c r="AH55" s="82"/>
      <c r="AI55" s="77"/>
      <c r="AJ55" s="100">
        <v>1</v>
      </c>
      <c r="AK55" s="101">
        <v>0.1</v>
      </c>
      <c r="AL55" s="85">
        <f t="shared" si="6"/>
        <v>0.1</v>
      </c>
      <c r="AM55" s="78" t="s">
        <v>1137</v>
      </c>
      <c r="AN55" s="77"/>
      <c r="AO55" s="100">
        <v>1</v>
      </c>
      <c r="AP55" s="101">
        <v>0.75</v>
      </c>
      <c r="AQ55" s="85">
        <f t="shared" si="7"/>
        <v>0.75</v>
      </c>
      <c r="AR55" s="78" t="s">
        <v>1110</v>
      </c>
    </row>
    <row r="56" spans="1:44" ht="79.5" customHeight="1" x14ac:dyDescent="0.25">
      <c r="A56" s="77">
        <v>53</v>
      </c>
      <c r="B56" s="78" t="s">
        <v>14</v>
      </c>
      <c r="C56" s="78" t="s">
        <v>14</v>
      </c>
      <c r="D56" s="78" t="s">
        <v>78</v>
      </c>
      <c r="E56" s="77"/>
      <c r="F56" s="79">
        <v>1</v>
      </c>
      <c r="G56" s="80"/>
      <c r="H56" s="81">
        <f t="shared" si="0"/>
        <v>0</v>
      </c>
      <c r="I56" s="82"/>
      <c r="J56" s="77"/>
      <c r="K56" s="100">
        <v>1</v>
      </c>
      <c r="L56" s="101">
        <v>1</v>
      </c>
      <c r="M56" s="85">
        <f t="shared" si="1"/>
        <v>1</v>
      </c>
      <c r="N56" s="78" t="s">
        <v>1087</v>
      </c>
      <c r="O56" s="77"/>
      <c r="P56" s="100">
        <v>1</v>
      </c>
      <c r="Q56" s="101">
        <v>0.9</v>
      </c>
      <c r="R56" s="85">
        <f t="shared" si="2"/>
        <v>0.9</v>
      </c>
      <c r="S56" s="78" t="s">
        <v>1097</v>
      </c>
      <c r="T56" s="77"/>
      <c r="U56" s="79"/>
      <c r="V56" s="80"/>
      <c r="W56" s="81">
        <f t="shared" si="3"/>
        <v>0</v>
      </c>
      <c r="X56" s="77"/>
      <c r="Y56" s="77"/>
      <c r="Z56" s="79"/>
      <c r="AA56" s="80"/>
      <c r="AB56" s="81">
        <f t="shared" si="4"/>
        <v>0</v>
      </c>
      <c r="AC56" s="77"/>
      <c r="AD56" s="77"/>
      <c r="AE56" s="79"/>
      <c r="AF56" s="80"/>
      <c r="AG56" s="81">
        <f t="shared" si="5"/>
        <v>0</v>
      </c>
      <c r="AH56" s="77"/>
      <c r="AI56" s="77"/>
      <c r="AJ56" s="100">
        <v>1</v>
      </c>
      <c r="AK56" s="101">
        <v>1</v>
      </c>
      <c r="AL56" s="85">
        <f t="shared" si="6"/>
        <v>1</v>
      </c>
      <c r="AM56" s="78" t="s">
        <v>1087</v>
      </c>
      <c r="AN56" s="77"/>
      <c r="AO56" s="100">
        <v>1</v>
      </c>
      <c r="AP56" s="101">
        <v>1</v>
      </c>
      <c r="AQ56" s="85">
        <f t="shared" si="7"/>
        <v>1</v>
      </c>
      <c r="AR56" s="117" t="s">
        <v>1087</v>
      </c>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0AD18A3A-0CAF-4EC1-914F-6C1CA5CF2631}">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761A8DA6-141E-4279-BDB7-B9A1E0F37E2C}">
          <x14:formula1>
            <xm:f>'C:\Users\michele.cerqueira\AppData\Local\Microsoft\Windows\INetCache\Content.Outlook\CUTOBPMD\[ESTUDOS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R56"/>
  <sheetViews>
    <sheetView zoomScale="70" zoomScaleNormal="70" workbookViewId="0">
      <pane xSplit="4" ySplit="3" topLeftCell="E8" activePane="bottomRight" state="frozen"/>
      <selection pane="topRight" activeCell="E1" sqref="E1"/>
      <selection pane="bottomLeft" activeCell="A4" sqref="A4"/>
      <selection pane="bottomRight" activeCell="N10" sqref="N10"/>
    </sheetView>
  </sheetViews>
  <sheetFormatPr defaultRowHeight="15" x14ac:dyDescent="0.25"/>
  <cols>
    <col min="1" max="1" width="6.5703125" style="73" customWidth="1"/>
    <col min="2" max="2" width="16.5703125" style="74" bestFit="1" customWidth="1"/>
    <col min="3" max="3" width="20.7109375" style="74" customWidth="1"/>
    <col min="4" max="4" width="61" style="74" customWidth="1"/>
    <col min="5" max="5" width="2.42578125" style="74" customWidth="1"/>
    <col min="6" max="6" width="20.140625" style="74" hidden="1" customWidth="1"/>
    <col min="7" max="7" width="14.28515625" style="74" hidden="1" customWidth="1"/>
    <col min="8" max="8" width="0" style="74" hidden="1" customWidth="1"/>
    <col min="9" max="9" width="52.85546875" style="110" hidden="1" customWidth="1"/>
    <col min="10" max="10" width="1.85546875" style="74" hidden="1" customWidth="1"/>
    <col min="11" max="11" width="20.140625" style="75" bestFit="1" customWidth="1"/>
    <col min="12" max="12" width="14.28515625" style="75" bestFit="1" customWidth="1"/>
    <col min="13" max="13" width="9.140625" style="75"/>
    <col min="14" max="14" width="105.42578125" style="74" customWidth="1"/>
    <col min="15" max="15" width="1.5703125" style="74" customWidth="1"/>
    <col min="16" max="16" width="20.140625" style="74" hidden="1" customWidth="1"/>
    <col min="17" max="17" width="14.28515625" style="74" hidden="1" customWidth="1"/>
    <col min="18" max="18" width="0" style="74" hidden="1" customWidth="1"/>
    <col min="19" max="19" width="63.140625" style="74" hidden="1" customWidth="1"/>
    <col min="20" max="20" width="0" style="74" hidden="1" customWidth="1"/>
    <col min="21" max="21" width="13.7109375" style="74" hidden="1" customWidth="1"/>
    <col min="22" max="22" width="11.85546875" style="74" hidden="1" customWidth="1"/>
    <col min="23" max="23" width="0" style="74" hidden="1" customWidth="1"/>
    <col min="24" max="24" width="46.7109375" style="74" hidden="1" customWidth="1"/>
    <col min="25" max="25" width="0" style="74" hidden="1" customWidth="1"/>
    <col min="26" max="26" width="15" style="74" hidden="1" customWidth="1"/>
    <col min="27" max="27" width="11.5703125" style="74" hidden="1" customWidth="1"/>
    <col min="28" max="28" width="0" style="74" hidden="1" customWidth="1"/>
    <col min="29" max="29" width="54.140625" style="74" hidden="1" customWidth="1"/>
    <col min="30" max="30" width="0" style="74" hidden="1" customWidth="1"/>
    <col min="31" max="31" width="12.85546875" style="74" hidden="1" customWidth="1"/>
    <col min="32" max="33" width="0" style="74" hidden="1" customWidth="1"/>
    <col min="34" max="34" width="54.140625" style="74" hidden="1" customWidth="1"/>
    <col min="35" max="35" width="0" style="74" hidden="1" customWidth="1"/>
    <col min="36" max="36" width="16.5703125" style="75" customWidth="1"/>
    <col min="37" max="37" width="10.140625" style="75" customWidth="1"/>
    <col min="38" max="38" width="9.140625" style="75"/>
    <col min="39" max="39" width="109.85546875" style="74" customWidth="1"/>
    <col min="40" max="40" width="0" style="74" hidden="1" customWidth="1"/>
    <col min="41" max="41" width="17.85546875" style="74" hidden="1" customWidth="1"/>
    <col min="42" max="43" width="0" style="74" hidden="1" customWidth="1"/>
    <col min="44" max="44" width="65.28515625" style="74" hidden="1" customWidth="1"/>
    <col min="45" max="16384" width="9.140625" style="74"/>
  </cols>
  <sheetData>
    <row r="1" spans="1:44" x14ac:dyDescent="0.25">
      <c r="I1" s="74"/>
    </row>
    <row r="2" spans="1:44" ht="39.75" customHeight="1" x14ac:dyDescent="0.25">
      <c r="B2" s="233" t="s">
        <v>16</v>
      </c>
      <c r="C2" s="233"/>
      <c r="D2" s="233"/>
      <c r="F2" s="232" t="s">
        <v>121</v>
      </c>
      <c r="G2" s="232"/>
      <c r="H2" s="232"/>
      <c r="I2" s="232"/>
      <c r="K2" s="234" t="s">
        <v>119</v>
      </c>
      <c r="L2" s="235"/>
      <c r="M2" s="235"/>
      <c r="N2" s="236"/>
      <c r="P2" s="232" t="s">
        <v>120</v>
      </c>
      <c r="Q2" s="232"/>
      <c r="R2" s="232"/>
      <c r="S2" s="232"/>
      <c r="U2" s="232" t="s">
        <v>122</v>
      </c>
      <c r="V2" s="232"/>
      <c r="W2" s="232"/>
      <c r="X2" s="232"/>
      <c r="Z2" s="232" t="s">
        <v>123</v>
      </c>
      <c r="AA2" s="232"/>
      <c r="AB2" s="232"/>
      <c r="AC2" s="232"/>
      <c r="AE2" s="232" t="s">
        <v>124</v>
      </c>
      <c r="AF2" s="232"/>
      <c r="AG2" s="232"/>
      <c r="AH2" s="232"/>
      <c r="AJ2" s="233" t="s">
        <v>125</v>
      </c>
      <c r="AK2" s="233"/>
      <c r="AL2" s="233"/>
      <c r="AM2" s="233"/>
      <c r="AO2" s="232" t="s">
        <v>126</v>
      </c>
      <c r="AP2" s="232"/>
      <c r="AQ2" s="232"/>
      <c r="AR2" s="232"/>
    </row>
    <row r="3" spans="1:44" ht="63" customHeight="1" x14ac:dyDescent="0.25">
      <c r="B3" s="66" t="s">
        <v>0</v>
      </c>
      <c r="C3" s="66" t="s">
        <v>1</v>
      </c>
      <c r="D3" s="66" t="s">
        <v>2</v>
      </c>
      <c r="F3" s="67" t="s">
        <v>17</v>
      </c>
      <c r="G3" s="67" t="s">
        <v>18</v>
      </c>
      <c r="H3" s="67" t="s">
        <v>21</v>
      </c>
      <c r="I3" s="67" t="s">
        <v>19</v>
      </c>
      <c r="K3" s="70" t="s">
        <v>17</v>
      </c>
      <c r="L3" s="70" t="s">
        <v>18</v>
      </c>
      <c r="M3" s="70" t="s">
        <v>21</v>
      </c>
      <c r="N3" s="67" t="s">
        <v>19</v>
      </c>
      <c r="P3" s="67" t="s">
        <v>17</v>
      </c>
      <c r="Q3" s="67" t="s">
        <v>18</v>
      </c>
      <c r="R3" s="67" t="s">
        <v>21</v>
      </c>
      <c r="S3" s="67" t="s">
        <v>19</v>
      </c>
      <c r="U3" s="67" t="s">
        <v>17</v>
      </c>
      <c r="V3" s="67" t="s">
        <v>18</v>
      </c>
      <c r="W3" s="67" t="s">
        <v>21</v>
      </c>
      <c r="X3" s="67" t="s">
        <v>19</v>
      </c>
      <c r="Z3" s="67" t="s">
        <v>17</v>
      </c>
      <c r="AA3" s="67" t="s">
        <v>18</v>
      </c>
      <c r="AB3" s="67" t="s">
        <v>21</v>
      </c>
      <c r="AC3" s="67" t="s">
        <v>19</v>
      </c>
      <c r="AE3" s="67" t="s">
        <v>17</v>
      </c>
      <c r="AF3" s="67" t="s">
        <v>18</v>
      </c>
      <c r="AG3" s="67" t="s">
        <v>21</v>
      </c>
      <c r="AH3" s="67" t="s">
        <v>19</v>
      </c>
      <c r="AJ3" s="70" t="s">
        <v>17</v>
      </c>
      <c r="AK3" s="70" t="s">
        <v>18</v>
      </c>
      <c r="AL3" s="70" t="s">
        <v>21</v>
      </c>
      <c r="AM3" s="67" t="s">
        <v>19</v>
      </c>
      <c r="AO3" s="2" t="s">
        <v>17</v>
      </c>
      <c r="AP3" s="2" t="s">
        <v>18</v>
      </c>
      <c r="AQ3" s="2" t="s">
        <v>21</v>
      </c>
      <c r="AR3" s="2" t="s">
        <v>19</v>
      </c>
    </row>
    <row r="4" spans="1:44" ht="173.25" x14ac:dyDescent="0.25">
      <c r="A4" s="77">
        <v>1</v>
      </c>
      <c r="B4" s="78" t="s">
        <v>3</v>
      </c>
      <c r="C4" s="78" t="s">
        <v>4</v>
      </c>
      <c r="D4" s="78" t="s">
        <v>127</v>
      </c>
      <c r="E4" s="77"/>
      <c r="F4" s="79"/>
      <c r="G4" s="80"/>
      <c r="H4" s="81">
        <f>F4*G4</f>
        <v>0</v>
      </c>
      <c r="I4" s="82"/>
      <c r="J4" s="77"/>
      <c r="K4" s="83">
        <v>1</v>
      </c>
      <c r="L4" s="84">
        <v>0.99</v>
      </c>
      <c r="M4" s="85">
        <f>K4*L4</f>
        <v>0.99</v>
      </c>
      <c r="N4" s="86" t="s">
        <v>1197</v>
      </c>
      <c r="O4" s="77"/>
      <c r="P4" s="79"/>
      <c r="Q4" s="80"/>
      <c r="R4" s="81">
        <f>P4*Q4</f>
        <v>0</v>
      </c>
      <c r="S4" s="82"/>
      <c r="T4" s="77"/>
      <c r="U4" s="79"/>
      <c r="V4" s="80"/>
      <c r="W4" s="81">
        <f>U4*V4</f>
        <v>0</v>
      </c>
      <c r="X4" s="82"/>
      <c r="Y4" s="77"/>
      <c r="Z4" s="79"/>
      <c r="AA4" s="80"/>
      <c r="AB4" s="81">
        <f>Z4*AA4</f>
        <v>0</v>
      </c>
      <c r="AC4" s="82"/>
      <c r="AD4" s="77"/>
      <c r="AE4" s="79"/>
      <c r="AF4" s="80"/>
      <c r="AG4" s="81">
        <f>AE4*AF4</f>
        <v>0</v>
      </c>
      <c r="AH4" s="82"/>
      <c r="AI4" s="77"/>
      <c r="AJ4" s="83">
        <v>1</v>
      </c>
      <c r="AK4" s="84">
        <v>0.4</v>
      </c>
      <c r="AL4" s="85">
        <f>AJ4*AK4</f>
        <v>0.4</v>
      </c>
      <c r="AM4" s="87" t="s">
        <v>1443</v>
      </c>
      <c r="AO4" s="88"/>
      <c r="AP4" s="89"/>
      <c r="AQ4" s="90">
        <f>AO4*AP4</f>
        <v>0</v>
      </c>
      <c r="AR4" s="91"/>
    </row>
    <row r="5" spans="1:44" ht="78.75" x14ac:dyDescent="0.25">
      <c r="A5" s="77">
        <v>2</v>
      </c>
      <c r="B5" s="78" t="s">
        <v>3</v>
      </c>
      <c r="C5" s="78" t="s">
        <v>4</v>
      </c>
      <c r="D5" s="78" t="s">
        <v>33</v>
      </c>
      <c r="E5" s="77"/>
      <c r="F5" s="79"/>
      <c r="G5" s="80"/>
      <c r="H5" s="81">
        <f t="shared" ref="H5:H56" si="0">F5*G5</f>
        <v>0</v>
      </c>
      <c r="I5" s="82"/>
      <c r="J5" s="77"/>
      <c r="K5" s="92">
        <v>1</v>
      </c>
      <c r="L5" s="93">
        <v>0.95</v>
      </c>
      <c r="M5" s="85">
        <f t="shared" ref="M5:M56" si="1">K5*L5</f>
        <v>0.95</v>
      </c>
      <c r="N5" s="94" t="s">
        <v>1179</v>
      </c>
      <c r="O5" s="77"/>
      <c r="P5" s="79"/>
      <c r="Q5" s="80"/>
      <c r="R5" s="81">
        <f t="shared" ref="R5:R56" si="2">P5*Q5</f>
        <v>0</v>
      </c>
      <c r="S5" s="82"/>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92">
        <v>1</v>
      </c>
      <c r="AK5" s="93">
        <v>0.6</v>
      </c>
      <c r="AL5" s="85">
        <f t="shared" ref="AL5:AL56" si="6">AJ5*AK5</f>
        <v>0.6</v>
      </c>
      <c r="AM5" s="95" t="s">
        <v>1420</v>
      </c>
      <c r="AO5" s="88"/>
      <c r="AP5" s="89"/>
      <c r="AQ5" s="90">
        <f t="shared" ref="AQ5:AQ56" si="7">AO5*AP5</f>
        <v>0</v>
      </c>
      <c r="AR5" s="91"/>
    </row>
    <row r="6" spans="1:44" ht="78.75" x14ac:dyDescent="0.25">
      <c r="A6" s="77">
        <v>3</v>
      </c>
      <c r="B6" s="78" t="s">
        <v>3</v>
      </c>
      <c r="C6" s="78" t="s">
        <v>4</v>
      </c>
      <c r="D6" s="78" t="s">
        <v>128</v>
      </c>
      <c r="E6" s="77"/>
      <c r="F6" s="79"/>
      <c r="G6" s="80"/>
      <c r="H6" s="81">
        <f t="shared" si="0"/>
        <v>0</v>
      </c>
      <c r="I6" s="82"/>
      <c r="J6" s="77"/>
      <c r="K6" s="83">
        <v>1</v>
      </c>
      <c r="L6" s="84">
        <v>1</v>
      </c>
      <c r="M6" s="85">
        <f t="shared" si="1"/>
        <v>1</v>
      </c>
      <c r="N6" s="86"/>
      <c r="O6" s="77"/>
      <c r="P6" s="79"/>
      <c r="Q6" s="80"/>
      <c r="R6" s="81">
        <f t="shared" si="2"/>
        <v>0</v>
      </c>
      <c r="S6" s="82"/>
      <c r="T6" s="77"/>
      <c r="U6" s="79"/>
      <c r="V6" s="80"/>
      <c r="W6" s="81">
        <f t="shared" si="3"/>
        <v>0</v>
      </c>
      <c r="X6" s="82"/>
      <c r="Y6" s="77"/>
      <c r="Z6" s="79"/>
      <c r="AA6" s="80"/>
      <c r="AB6" s="81">
        <f t="shared" si="4"/>
        <v>0</v>
      </c>
      <c r="AC6" s="82"/>
      <c r="AD6" s="77"/>
      <c r="AE6" s="79"/>
      <c r="AF6" s="80"/>
      <c r="AG6" s="81">
        <f t="shared" si="5"/>
        <v>0</v>
      </c>
      <c r="AH6" s="82"/>
      <c r="AI6" s="77"/>
      <c r="AJ6" s="83">
        <v>1</v>
      </c>
      <c r="AK6" s="84">
        <v>0.85</v>
      </c>
      <c r="AL6" s="85">
        <f t="shared" si="6"/>
        <v>0.85</v>
      </c>
      <c r="AM6" s="87" t="s">
        <v>1240</v>
      </c>
      <c r="AO6" s="88"/>
      <c r="AP6" s="89"/>
      <c r="AQ6" s="90">
        <f t="shared" si="7"/>
        <v>0</v>
      </c>
      <c r="AR6" s="91"/>
    </row>
    <row r="7" spans="1:44" ht="63" x14ac:dyDescent="0.25">
      <c r="A7" s="77">
        <v>4</v>
      </c>
      <c r="B7" s="78" t="s">
        <v>3</v>
      </c>
      <c r="C7" s="78" t="s">
        <v>4</v>
      </c>
      <c r="D7" s="78" t="s">
        <v>34</v>
      </c>
      <c r="E7" s="77"/>
      <c r="F7" s="79"/>
      <c r="G7" s="80"/>
      <c r="H7" s="81">
        <f t="shared" si="0"/>
        <v>0</v>
      </c>
      <c r="I7" s="82"/>
      <c r="J7" s="77"/>
      <c r="K7" s="92">
        <v>1</v>
      </c>
      <c r="L7" s="93">
        <v>0.94499999999999995</v>
      </c>
      <c r="M7" s="85">
        <f t="shared" si="1"/>
        <v>0.94499999999999995</v>
      </c>
      <c r="N7" s="94" t="s">
        <v>1524</v>
      </c>
      <c r="O7" s="77"/>
      <c r="P7" s="79"/>
      <c r="Q7" s="80"/>
      <c r="R7" s="81">
        <f t="shared" si="2"/>
        <v>0</v>
      </c>
      <c r="S7" s="82"/>
      <c r="T7" s="77"/>
      <c r="U7" s="79"/>
      <c r="V7" s="80"/>
      <c r="W7" s="81">
        <f t="shared" si="3"/>
        <v>0</v>
      </c>
      <c r="X7" s="82"/>
      <c r="Y7" s="77"/>
      <c r="Z7" s="79"/>
      <c r="AA7" s="80"/>
      <c r="AB7" s="81">
        <f t="shared" si="4"/>
        <v>0</v>
      </c>
      <c r="AC7" s="82"/>
      <c r="AD7" s="77"/>
      <c r="AE7" s="79"/>
      <c r="AF7" s="80"/>
      <c r="AG7" s="81">
        <f t="shared" si="5"/>
        <v>0</v>
      </c>
      <c r="AH7" s="82"/>
      <c r="AI7" s="77"/>
      <c r="AJ7" s="92">
        <v>1</v>
      </c>
      <c r="AK7" s="93">
        <v>0.85</v>
      </c>
      <c r="AL7" s="85">
        <f t="shared" si="6"/>
        <v>0.85</v>
      </c>
      <c r="AM7" s="95" t="s">
        <v>1423</v>
      </c>
      <c r="AO7" s="88"/>
      <c r="AP7" s="89"/>
      <c r="AQ7" s="90">
        <f t="shared" si="7"/>
        <v>0</v>
      </c>
      <c r="AR7" s="91"/>
    </row>
    <row r="8" spans="1:44" ht="141.75" x14ac:dyDescent="0.25">
      <c r="A8" s="77">
        <v>5</v>
      </c>
      <c r="B8" s="78" t="s">
        <v>3</v>
      </c>
      <c r="C8" s="78" t="s">
        <v>4</v>
      </c>
      <c r="D8" s="78" t="s">
        <v>35</v>
      </c>
      <c r="E8" s="77"/>
      <c r="F8" s="79"/>
      <c r="G8" s="80"/>
      <c r="H8" s="81">
        <f t="shared" si="0"/>
        <v>0</v>
      </c>
      <c r="I8" s="82"/>
      <c r="J8" s="77"/>
      <c r="K8" s="83">
        <v>1</v>
      </c>
      <c r="L8" s="84">
        <v>0.7</v>
      </c>
      <c r="M8" s="85">
        <f t="shared" si="1"/>
        <v>0.7</v>
      </c>
      <c r="N8" s="86" t="s">
        <v>1180</v>
      </c>
      <c r="O8" s="77"/>
      <c r="P8" s="79"/>
      <c r="Q8" s="80"/>
      <c r="R8" s="81">
        <f t="shared" si="2"/>
        <v>0</v>
      </c>
      <c r="S8" s="78"/>
      <c r="T8" s="77"/>
      <c r="U8" s="79"/>
      <c r="V8" s="80"/>
      <c r="W8" s="81">
        <f t="shared" si="3"/>
        <v>0</v>
      </c>
      <c r="X8" s="78"/>
      <c r="Y8" s="77"/>
      <c r="Z8" s="79"/>
      <c r="AA8" s="80"/>
      <c r="AB8" s="81">
        <f t="shared" si="4"/>
        <v>0</v>
      </c>
      <c r="AC8" s="78"/>
      <c r="AD8" s="77"/>
      <c r="AE8" s="79"/>
      <c r="AF8" s="80"/>
      <c r="AG8" s="81">
        <f t="shared" si="5"/>
        <v>0</v>
      </c>
      <c r="AH8" s="78"/>
      <c r="AI8" s="77"/>
      <c r="AJ8" s="83">
        <v>1</v>
      </c>
      <c r="AK8" s="84">
        <v>0.95</v>
      </c>
      <c r="AL8" s="85">
        <f t="shared" si="6"/>
        <v>0.95</v>
      </c>
      <c r="AM8" s="87" t="s">
        <v>1241</v>
      </c>
      <c r="AO8" s="88"/>
      <c r="AP8" s="89"/>
      <c r="AQ8" s="90">
        <f t="shared" si="7"/>
        <v>0</v>
      </c>
      <c r="AR8" s="96"/>
    </row>
    <row r="9" spans="1:44" ht="126" x14ac:dyDescent="0.25">
      <c r="A9" s="77">
        <v>6</v>
      </c>
      <c r="B9" s="78" t="s">
        <v>3</v>
      </c>
      <c r="C9" s="78" t="s">
        <v>4</v>
      </c>
      <c r="D9" s="78" t="s">
        <v>129</v>
      </c>
      <c r="E9" s="77"/>
      <c r="F9" s="79"/>
      <c r="G9" s="80"/>
      <c r="H9" s="81">
        <f t="shared" si="0"/>
        <v>0</v>
      </c>
      <c r="I9" s="78"/>
      <c r="J9" s="77"/>
      <c r="K9" s="92">
        <v>1</v>
      </c>
      <c r="L9" s="93">
        <v>0.76</v>
      </c>
      <c r="M9" s="85">
        <f t="shared" si="1"/>
        <v>0.76</v>
      </c>
      <c r="N9" s="94" t="s">
        <v>1629</v>
      </c>
      <c r="O9" s="77"/>
      <c r="P9" s="79"/>
      <c r="Q9" s="80"/>
      <c r="R9" s="81">
        <f t="shared" si="2"/>
        <v>0</v>
      </c>
      <c r="S9" s="78"/>
      <c r="T9" s="77"/>
      <c r="U9" s="79"/>
      <c r="V9" s="80"/>
      <c r="W9" s="81">
        <f t="shared" si="3"/>
        <v>0</v>
      </c>
      <c r="X9" s="78"/>
      <c r="Y9" s="77"/>
      <c r="Z9" s="79"/>
      <c r="AA9" s="80"/>
      <c r="AB9" s="81">
        <f t="shared" si="4"/>
        <v>0</v>
      </c>
      <c r="AC9" s="78"/>
      <c r="AD9" s="77"/>
      <c r="AE9" s="79"/>
      <c r="AF9" s="80"/>
      <c r="AG9" s="81">
        <f t="shared" si="5"/>
        <v>0</v>
      </c>
      <c r="AH9" s="78"/>
      <c r="AI9" s="77"/>
      <c r="AJ9" s="92">
        <v>1</v>
      </c>
      <c r="AK9" s="93">
        <v>0.5</v>
      </c>
      <c r="AL9" s="85">
        <f t="shared" si="6"/>
        <v>0.5</v>
      </c>
      <c r="AM9" s="97" t="s">
        <v>1242</v>
      </c>
      <c r="AO9" s="88"/>
      <c r="AP9" s="89"/>
      <c r="AQ9" s="90">
        <f t="shared" si="7"/>
        <v>0</v>
      </c>
      <c r="AR9" s="96"/>
    </row>
    <row r="10" spans="1:44" ht="157.5" x14ac:dyDescent="0.25">
      <c r="A10" s="77">
        <v>7</v>
      </c>
      <c r="B10" s="78" t="s">
        <v>3</v>
      </c>
      <c r="C10" s="78" t="s">
        <v>4</v>
      </c>
      <c r="D10" s="78" t="s">
        <v>36</v>
      </c>
      <c r="E10" s="77"/>
      <c r="F10" s="79"/>
      <c r="G10" s="80"/>
      <c r="H10" s="81">
        <f t="shared" si="0"/>
        <v>0</v>
      </c>
      <c r="I10" s="82"/>
      <c r="J10" s="77"/>
      <c r="K10" s="83">
        <v>1</v>
      </c>
      <c r="L10" s="84">
        <v>0.73</v>
      </c>
      <c r="M10" s="85">
        <f t="shared" si="1"/>
        <v>0.73</v>
      </c>
      <c r="N10" s="86" t="s">
        <v>1525</v>
      </c>
      <c r="O10" s="77"/>
      <c r="P10" s="79"/>
      <c r="Q10" s="80"/>
      <c r="R10" s="81">
        <f t="shared" si="2"/>
        <v>0</v>
      </c>
      <c r="S10" s="82"/>
      <c r="T10" s="77"/>
      <c r="U10" s="79"/>
      <c r="V10" s="80"/>
      <c r="W10" s="81">
        <f t="shared" si="3"/>
        <v>0</v>
      </c>
      <c r="X10" s="82"/>
      <c r="Y10" s="77"/>
      <c r="Z10" s="79"/>
      <c r="AA10" s="80"/>
      <c r="AB10" s="81">
        <f t="shared" si="4"/>
        <v>0</v>
      </c>
      <c r="AC10" s="82"/>
      <c r="AD10" s="77"/>
      <c r="AE10" s="79"/>
      <c r="AF10" s="80"/>
      <c r="AG10" s="81">
        <f t="shared" si="5"/>
        <v>0</v>
      </c>
      <c r="AH10" s="82"/>
      <c r="AI10" s="77"/>
      <c r="AJ10" s="83">
        <v>1</v>
      </c>
      <c r="AK10" s="84">
        <v>0.4</v>
      </c>
      <c r="AL10" s="85">
        <f t="shared" si="6"/>
        <v>0.4</v>
      </c>
      <c r="AM10" s="98" t="s">
        <v>1243</v>
      </c>
      <c r="AO10" s="88"/>
      <c r="AP10" s="89"/>
      <c r="AQ10" s="90">
        <f t="shared" si="7"/>
        <v>0</v>
      </c>
      <c r="AR10" s="91"/>
    </row>
    <row r="11" spans="1:44" ht="47.25" x14ac:dyDescent="0.25">
      <c r="A11" s="77">
        <v>8</v>
      </c>
      <c r="B11" s="78" t="s">
        <v>3</v>
      </c>
      <c r="C11" s="78" t="s">
        <v>4</v>
      </c>
      <c r="D11" s="78" t="s">
        <v>64</v>
      </c>
      <c r="E11" s="77"/>
      <c r="F11" s="79"/>
      <c r="G11" s="80"/>
      <c r="H11" s="81">
        <f t="shared" si="0"/>
        <v>0</v>
      </c>
      <c r="I11" s="78"/>
      <c r="J11" s="77"/>
      <c r="K11" s="92">
        <v>1</v>
      </c>
      <c r="L11" s="93">
        <v>1</v>
      </c>
      <c r="M11" s="85">
        <f t="shared" si="1"/>
        <v>1</v>
      </c>
      <c r="N11" s="94"/>
      <c r="O11" s="77"/>
      <c r="P11" s="79"/>
      <c r="Q11" s="80"/>
      <c r="R11" s="81">
        <f t="shared" si="2"/>
        <v>0</v>
      </c>
      <c r="S11" s="82"/>
      <c r="T11" s="77"/>
      <c r="U11" s="79"/>
      <c r="V11" s="80"/>
      <c r="W11" s="81">
        <f t="shared" si="3"/>
        <v>0</v>
      </c>
      <c r="X11" s="82"/>
      <c r="Y11" s="77"/>
      <c r="Z11" s="79"/>
      <c r="AA11" s="80"/>
      <c r="AB11" s="81">
        <f t="shared" si="4"/>
        <v>0</v>
      </c>
      <c r="AC11" s="82"/>
      <c r="AD11" s="77"/>
      <c r="AE11" s="79"/>
      <c r="AF11" s="80"/>
      <c r="AG11" s="81">
        <f t="shared" si="5"/>
        <v>0</v>
      </c>
      <c r="AH11" s="82"/>
      <c r="AI11" s="77"/>
      <c r="AJ11" s="92">
        <v>1</v>
      </c>
      <c r="AK11" s="93">
        <v>0.5</v>
      </c>
      <c r="AL11" s="85">
        <f t="shared" si="6"/>
        <v>0.5</v>
      </c>
      <c r="AM11" s="97" t="s">
        <v>1244</v>
      </c>
      <c r="AO11" s="88"/>
      <c r="AP11" s="89"/>
      <c r="AQ11" s="90">
        <f t="shared" si="7"/>
        <v>0</v>
      </c>
      <c r="AR11" s="91"/>
    </row>
    <row r="12" spans="1:44" ht="78.75" x14ac:dyDescent="0.25">
      <c r="A12" s="77">
        <v>9</v>
      </c>
      <c r="B12" s="78" t="s">
        <v>3</v>
      </c>
      <c r="C12" s="78" t="s">
        <v>5</v>
      </c>
      <c r="D12" s="78" t="s">
        <v>37</v>
      </c>
      <c r="E12" s="77"/>
      <c r="F12" s="79"/>
      <c r="G12" s="80"/>
      <c r="H12" s="81">
        <f t="shared" si="0"/>
        <v>0</v>
      </c>
      <c r="I12" s="82"/>
      <c r="J12" s="77"/>
      <c r="K12" s="83">
        <v>1</v>
      </c>
      <c r="L12" s="99">
        <v>0.54</v>
      </c>
      <c r="M12" s="85">
        <f t="shared" si="1"/>
        <v>0.54</v>
      </c>
      <c r="N12" s="86" t="s">
        <v>1288</v>
      </c>
      <c r="O12" s="77"/>
      <c r="P12" s="79"/>
      <c r="Q12" s="80"/>
      <c r="R12" s="81">
        <f t="shared" si="2"/>
        <v>0</v>
      </c>
      <c r="S12" s="82"/>
      <c r="T12" s="77"/>
      <c r="U12" s="79"/>
      <c r="V12" s="80"/>
      <c r="W12" s="81">
        <f t="shared" si="3"/>
        <v>0</v>
      </c>
      <c r="X12" s="82"/>
      <c r="Y12" s="77"/>
      <c r="Z12" s="79"/>
      <c r="AA12" s="80"/>
      <c r="AB12" s="81">
        <f t="shared" si="4"/>
        <v>0</v>
      </c>
      <c r="AC12" s="82"/>
      <c r="AD12" s="77"/>
      <c r="AE12" s="79"/>
      <c r="AF12" s="80"/>
      <c r="AG12" s="81">
        <f t="shared" si="5"/>
        <v>0</v>
      </c>
      <c r="AH12" s="82"/>
      <c r="AI12" s="77"/>
      <c r="AJ12" s="83">
        <v>1</v>
      </c>
      <c r="AK12" s="84">
        <v>0.15</v>
      </c>
      <c r="AL12" s="85">
        <f t="shared" si="6"/>
        <v>0.15</v>
      </c>
      <c r="AM12" s="98" t="s">
        <v>1245</v>
      </c>
      <c r="AO12" s="88"/>
      <c r="AP12" s="89"/>
      <c r="AQ12" s="90">
        <f t="shared" si="7"/>
        <v>0</v>
      </c>
      <c r="AR12" s="91"/>
    </row>
    <row r="13" spans="1:44" ht="157.5" x14ac:dyDescent="0.25">
      <c r="A13" s="77">
        <v>10</v>
      </c>
      <c r="B13" s="78" t="s">
        <v>3</v>
      </c>
      <c r="C13" s="78" t="s">
        <v>5</v>
      </c>
      <c r="D13" s="78" t="s">
        <v>38</v>
      </c>
      <c r="E13" s="77"/>
      <c r="F13" s="79"/>
      <c r="G13" s="80"/>
      <c r="H13" s="81">
        <f t="shared" si="0"/>
        <v>0</v>
      </c>
      <c r="I13" s="82"/>
      <c r="J13" s="77"/>
      <c r="K13" s="92">
        <v>1</v>
      </c>
      <c r="L13" s="93">
        <v>0.49</v>
      </c>
      <c r="M13" s="85">
        <f t="shared" si="1"/>
        <v>0.49</v>
      </c>
      <c r="N13" s="94" t="s">
        <v>1526</v>
      </c>
      <c r="O13" s="77"/>
      <c r="P13" s="79"/>
      <c r="Q13" s="80"/>
      <c r="R13" s="81">
        <f t="shared" si="2"/>
        <v>0</v>
      </c>
      <c r="S13" s="82"/>
      <c r="T13" s="77"/>
      <c r="U13" s="79"/>
      <c r="V13" s="80"/>
      <c r="W13" s="81">
        <f t="shared" si="3"/>
        <v>0</v>
      </c>
      <c r="X13" s="82"/>
      <c r="Y13" s="77"/>
      <c r="Z13" s="79"/>
      <c r="AA13" s="80"/>
      <c r="AB13" s="81">
        <f t="shared" si="4"/>
        <v>0</v>
      </c>
      <c r="AC13" s="82"/>
      <c r="AD13" s="77"/>
      <c r="AE13" s="79"/>
      <c r="AF13" s="80"/>
      <c r="AG13" s="81">
        <f t="shared" si="5"/>
        <v>0</v>
      </c>
      <c r="AH13" s="82"/>
      <c r="AI13" s="77"/>
      <c r="AJ13" s="92">
        <v>1</v>
      </c>
      <c r="AK13" s="93">
        <v>0.15</v>
      </c>
      <c r="AL13" s="85">
        <f t="shared" si="6"/>
        <v>0.15</v>
      </c>
      <c r="AM13" s="97" t="s">
        <v>1246</v>
      </c>
      <c r="AO13" s="88"/>
      <c r="AP13" s="89"/>
      <c r="AQ13" s="90">
        <f t="shared" si="7"/>
        <v>0</v>
      </c>
      <c r="AR13" s="91"/>
    </row>
    <row r="14" spans="1:44" ht="63" x14ac:dyDescent="0.25">
      <c r="A14" s="77">
        <v>11</v>
      </c>
      <c r="B14" s="78" t="s">
        <v>3</v>
      </c>
      <c r="C14" s="78" t="s">
        <v>31</v>
      </c>
      <c r="D14" s="78" t="s">
        <v>39</v>
      </c>
      <c r="E14" s="77"/>
      <c r="F14" s="79"/>
      <c r="G14" s="80"/>
      <c r="H14" s="81">
        <f t="shared" si="0"/>
        <v>0</v>
      </c>
      <c r="I14" s="82"/>
      <c r="J14" s="77"/>
      <c r="K14" s="83">
        <v>1</v>
      </c>
      <c r="L14" s="84">
        <v>0.85</v>
      </c>
      <c r="M14" s="85">
        <f t="shared" si="1"/>
        <v>0.85</v>
      </c>
      <c r="N14" s="86" t="s">
        <v>1199</v>
      </c>
      <c r="O14" s="77"/>
      <c r="P14" s="79"/>
      <c r="Q14" s="80"/>
      <c r="R14" s="81">
        <f t="shared" si="2"/>
        <v>0</v>
      </c>
      <c r="S14" s="82"/>
      <c r="T14" s="77"/>
      <c r="U14" s="79"/>
      <c r="V14" s="80"/>
      <c r="W14" s="81">
        <f t="shared" si="3"/>
        <v>0</v>
      </c>
      <c r="X14" s="82"/>
      <c r="Y14" s="77"/>
      <c r="Z14" s="79"/>
      <c r="AA14" s="80"/>
      <c r="AB14" s="81">
        <f t="shared" si="4"/>
        <v>0</v>
      </c>
      <c r="AC14" s="82"/>
      <c r="AD14" s="77"/>
      <c r="AE14" s="79"/>
      <c r="AF14" s="80"/>
      <c r="AG14" s="81">
        <f t="shared" si="5"/>
        <v>0</v>
      </c>
      <c r="AH14" s="82"/>
      <c r="AI14" s="77"/>
      <c r="AJ14" s="83">
        <v>1</v>
      </c>
      <c r="AK14" s="84">
        <v>0.3</v>
      </c>
      <c r="AL14" s="85">
        <f t="shared" si="6"/>
        <v>0.3</v>
      </c>
      <c r="AM14" s="98" t="s">
        <v>1265</v>
      </c>
      <c r="AO14" s="88"/>
      <c r="AP14" s="89"/>
      <c r="AQ14" s="90">
        <f t="shared" si="7"/>
        <v>0</v>
      </c>
      <c r="AR14" s="91"/>
    </row>
    <row r="15" spans="1:44" ht="110.25" x14ac:dyDescent="0.25">
      <c r="A15" s="77">
        <v>12</v>
      </c>
      <c r="B15" s="78" t="s">
        <v>3</v>
      </c>
      <c r="C15" s="78" t="s">
        <v>31</v>
      </c>
      <c r="D15" s="78" t="s">
        <v>40</v>
      </c>
      <c r="E15" s="77"/>
      <c r="F15" s="79"/>
      <c r="G15" s="80"/>
      <c r="H15" s="81">
        <f t="shared" si="0"/>
        <v>0</v>
      </c>
      <c r="I15" s="82"/>
      <c r="J15" s="77"/>
      <c r="K15" s="92">
        <v>1</v>
      </c>
      <c r="L15" s="93">
        <v>1</v>
      </c>
      <c r="M15" s="85">
        <f t="shared" si="1"/>
        <v>1</v>
      </c>
      <c r="N15" s="94"/>
      <c r="O15" s="77"/>
      <c r="P15" s="79"/>
      <c r="Q15" s="80"/>
      <c r="R15" s="81">
        <f t="shared" si="2"/>
        <v>0</v>
      </c>
      <c r="S15" s="82"/>
      <c r="T15" s="77"/>
      <c r="U15" s="79"/>
      <c r="V15" s="80"/>
      <c r="W15" s="81">
        <f t="shared" si="3"/>
        <v>0</v>
      </c>
      <c r="X15" s="82"/>
      <c r="Y15" s="77"/>
      <c r="Z15" s="79"/>
      <c r="AA15" s="80"/>
      <c r="AB15" s="81">
        <f t="shared" si="4"/>
        <v>0</v>
      </c>
      <c r="AC15" s="82"/>
      <c r="AD15" s="77"/>
      <c r="AE15" s="79"/>
      <c r="AF15" s="80"/>
      <c r="AG15" s="81">
        <f t="shared" si="5"/>
        <v>0</v>
      </c>
      <c r="AH15" s="82"/>
      <c r="AI15" s="77"/>
      <c r="AJ15" s="92">
        <v>1</v>
      </c>
      <c r="AK15" s="93">
        <v>0.3</v>
      </c>
      <c r="AL15" s="85">
        <f t="shared" si="6"/>
        <v>0.3</v>
      </c>
      <c r="AM15" s="97" t="s">
        <v>1248</v>
      </c>
      <c r="AO15" s="88"/>
      <c r="AP15" s="89"/>
      <c r="AQ15" s="90">
        <f t="shared" si="7"/>
        <v>0</v>
      </c>
      <c r="AR15" s="91"/>
    </row>
    <row r="16" spans="1:44" ht="272.25" customHeight="1" x14ac:dyDescent="0.25">
      <c r="A16" s="77">
        <v>13</v>
      </c>
      <c r="B16" s="78" t="s">
        <v>6</v>
      </c>
      <c r="C16" s="78" t="s">
        <v>7</v>
      </c>
      <c r="D16" s="78" t="s">
        <v>41</v>
      </c>
      <c r="E16" s="77"/>
      <c r="F16" s="79"/>
      <c r="G16" s="80"/>
      <c r="H16" s="81">
        <f t="shared" si="0"/>
        <v>0</v>
      </c>
      <c r="I16" s="82"/>
      <c r="J16" s="77"/>
      <c r="K16" s="100">
        <v>1</v>
      </c>
      <c r="L16" s="101">
        <v>0.97</v>
      </c>
      <c r="M16" s="85">
        <f t="shared" si="1"/>
        <v>0.97</v>
      </c>
      <c r="N16" s="78" t="s">
        <v>1588</v>
      </c>
      <c r="O16" s="77"/>
      <c r="P16" s="79"/>
      <c r="Q16" s="80"/>
      <c r="R16" s="81">
        <f t="shared" si="2"/>
        <v>0</v>
      </c>
      <c r="S16" s="82"/>
      <c r="T16" s="77"/>
      <c r="U16" s="79"/>
      <c r="V16" s="80"/>
      <c r="W16" s="81">
        <f t="shared" si="3"/>
        <v>0</v>
      </c>
      <c r="X16" s="82"/>
      <c r="Y16" s="77"/>
      <c r="Z16" s="79"/>
      <c r="AA16" s="80"/>
      <c r="AB16" s="81">
        <f t="shared" si="4"/>
        <v>0</v>
      </c>
      <c r="AC16" s="82"/>
      <c r="AD16" s="77"/>
      <c r="AE16" s="79"/>
      <c r="AF16" s="80"/>
      <c r="AG16" s="81">
        <f t="shared" si="5"/>
        <v>0</v>
      </c>
      <c r="AH16" s="82"/>
      <c r="AI16" s="77"/>
      <c r="AJ16" s="100">
        <v>1</v>
      </c>
      <c r="AK16" s="101">
        <v>0.75</v>
      </c>
      <c r="AL16" s="85">
        <f t="shared" si="6"/>
        <v>0.75</v>
      </c>
      <c r="AM16" s="78" t="s">
        <v>930</v>
      </c>
      <c r="AO16" s="88"/>
      <c r="AP16" s="89"/>
      <c r="AQ16" s="90">
        <f t="shared" si="7"/>
        <v>0</v>
      </c>
      <c r="AR16" s="91"/>
    </row>
    <row r="17" spans="1:44" ht="94.5" x14ac:dyDescent="0.25">
      <c r="A17" s="77">
        <v>14</v>
      </c>
      <c r="B17" s="78" t="s">
        <v>6</v>
      </c>
      <c r="C17" s="78" t="s">
        <v>7</v>
      </c>
      <c r="D17" s="78" t="s">
        <v>130</v>
      </c>
      <c r="E17" s="77"/>
      <c r="F17" s="79"/>
      <c r="G17" s="80"/>
      <c r="H17" s="81">
        <f t="shared" si="0"/>
        <v>0</v>
      </c>
      <c r="I17" s="82"/>
      <c r="J17" s="77"/>
      <c r="K17" s="100">
        <v>1</v>
      </c>
      <c r="L17" s="101">
        <v>1</v>
      </c>
      <c r="M17" s="85">
        <f t="shared" si="1"/>
        <v>1</v>
      </c>
      <c r="N17" s="78" t="s">
        <v>560</v>
      </c>
      <c r="O17" s="77"/>
      <c r="P17" s="79"/>
      <c r="Q17" s="80"/>
      <c r="R17" s="81">
        <f t="shared" si="2"/>
        <v>0</v>
      </c>
      <c r="S17" s="82"/>
      <c r="T17" s="77"/>
      <c r="U17" s="79"/>
      <c r="V17" s="80"/>
      <c r="W17" s="81">
        <f t="shared" si="3"/>
        <v>0</v>
      </c>
      <c r="X17" s="82"/>
      <c r="Y17" s="77"/>
      <c r="Z17" s="79"/>
      <c r="AA17" s="80"/>
      <c r="AB17" s="81">
        <f t="shared" si="4"/>
        <v>0</v>
      </c>
      <c r="AC17" s="82"/>
      <c r="AD17" s="77"/>
      <c r="AE17" s="79"/>
      <c r="AF17" s="80"/>
      <c r="AG17" s="81">
        <f t="shared" si="5"/>
        <v>0</v>
      </c>
      <c r="AH17" s="82"/>
      <c r="AI17" s="77"/>
      <c r="AJ17" s="100">
        <v>1</v>
      </c>
      <c r="AK17" s="101">
        <v>0.15</v>
      </c>
      <c r="AL17" s="85">
        <f t="shared" si="6"/>
        <v>0.15</v>
      </c>
      <c r="AM17" s="78" t="s">
        <v>931</v>
      </c>
      <c r="AO17" s="88"/>
      <c r="AP17" s="89"/>
      <c r="AQ17" s="90">
        <f t="shared" si="7"/>
        <v>0</v>
      </c>
      <c r="AR17" s="91"/>
    </row>
    <row r="18" spans="1:44" ht="157.5" x14ac:dyDescent="0.25">
      <c r="A18" s="77">
        <v>15</v>
      </c>
      <c r="B18" s="78" t="s">
        <v>6</v>
      </c>
      <c r="C18" s="78" t="s">
        <v>7</v>
      </c>
      <c r="D18" s="78" t="s">
        <v>131</v>
      </c>
      <c r="E18" s="77"/>
      <c r="F18" s="79"/>
      <c r="G18" s="80"/>
      <c r="H18" s="81">
        <f t="shared" si="0"/>
        <v>0</v>
      </c>
      <c r="I18" s="82"/>
      <c r="J18" s="77"/>
      <c r="K18" s="100">
        <v>1</v>
      </c>
      <c r="L18" s="101">
        <v>1</v>
      </c>
      <c r="M18" s="85">
        <f t="shared" si="1"/>
        <v>1</v>
      </c>
      <c r="N18" s="78" t="s">
        <v>913</v>
      </c>
      <c r="O18" s="77"/>
      <c r="P18" s="79"/>
      <c r="Q18" s="80"/>
      <c r="R18" s="81">
        <f t="shared" si="2"/>
        <v>0</v>
      </c>
      <c r="S18" s="82"/>
      <c r="T18" s="77"/>
      <c r="U18" s="79"/>
      <c r="V18" s="80"/>
      <c r="W18" s="81">
        <f t="shared" si="3"/>
        <v>0</v>
      </c>
      <c r="X18" s="82"/>
      <c r="Y18" s="77"/>
      <c r="Z18" s="79"/>
      <c r="AA18" s="80"/>
      <c r="AB18" s="81">
        <f t="shared" si="4"/>
        <v>0</v>
      </c>
      <c r="AC18" s="82"/>
      <c r="AD18" s="77"/>
      <c r="AE18" s="79"/>
      <c r="AF18" s="80"/>
      <c r="AG18" s="81">
        <f t="shared" si="5"/>
        <v>0</v>
      </c>
      <c r="AH18" s="82"/>
      <c r="AI18" s="77"/>
      <c r="AJ18" s="100">
        <v>1</v>
      </c>
      <c r="AK18" s="101">
        <v>0.45</v>
      </c>
      <c r="AL18" s="85">
        <f t="shared" si="6"/>
        <v>0.45</v>
      </c>
      <c r="AM18" s="82" t="s">
        <v>932</v>
      </c>
      <c r="AO18" s="88"/>
      <c r="AP18" s="89"/>
      <c r="AQ18" s="90">
        <f t="shared" si="7"/>
        <v>0</v>
      </c>
      <c r="AR18" s="91"/>
    </row>
    <row r="19" spans="1:44" ht="129" customHeight="1" x14ac:dyDescent="0.25">
      <c r="A19" s="77">
        <v>16</v>
      </c>
      <c r="B19" s="78" t="s">
        <v>6</v>
      </c>
      <c r="C19" s="78" t="s">
        <v>7</v>
      </c>
      <c r="D19" s="78" t="s">
        <v>42</v>
      </c>
      <c r="E19" s="77"/>
      <c r="F19" s="79"/>
      <c r="G19" s="80"/>
      <c r="H19" s="81">
        <f t="shared" si="0"/>
        <v>0</v>
      </c>
      <c r="I19" s="82"/>
      <c r="J19" s="77"/>
      <c r="K19" s="100">
        <v>1</v>
      </c>
      <c r="L19" s="101">
        <v>0.6</v>
      </c>
      <c r="M19" s="85">
        <f t="shared" si="1"/>
        <v>0.6</v>
      </c>
      <c r="N19" s="78" t="s">
        <v>914</v>
      </c>
      <c r="O19" s="77"/>
      <c r="P19" s="79"/>
      <c r="Q19" s="80"/>
      <c r="R19" s="81">
        <f t="shared" si="2"/>
        <v>0</v>
      </c>
      <c r="S19" s="82"/>
      <c r="T19" s="77"/>
      <c r="U19" s="79"/>
      <c r="V19" s="80"/>
      <c r="W19" s="81">
        <f t="shared" si="3"/>
        <v>0</v>
      </c>
      <c r="X19" s="82"/>
      <c r="Y19" s="77"/>
      <c r="Z19" s="79"/>
      <c r="AA19" s="80"/>
      <c r="AB19" s="81">
        <f t="shared" si="4"/>
        <v>0</v>
      </c>
      <c r="AC19" s="82"/>
      <c r="AD19" s="77"/>
      <c r="AE19" s="79"/>
      <c r="AF19" s="80"/>
      <c r="AG19" s="81">
        <f t="shared" si="5"/>
        <v>0</v>
      </c>
      <c r="AH19" s="82"/>
      <c r="AI19" s="77"/>
      <c r="AJ19" s="100">
        <v>1</v>
      </c>
      <c r="AK19" s="101">
        <v>0.9</v>
      </c>
      <c r="AL19" s="85">
        <f t="shared" si="6"/>
        <v>0.9</v>
      </c>
      <c r="AM19" s="82" t="s">
        <v>1587</v>
      </c>
      <c r="AO19" s="88"/>
      <c r="AP19" s="89"/>
      <c r="AQ19" s="90">
        <f t="shared" si="7"/>
        <v>0</v>
      </c>
      <c r="AR19" s="91"/>
    </row>
    <row r="20" spans="1:44" ht="283.5" x14ac:dyDescent="0.25">
      <c r="A20" s="77">
        <v>17</v>
      </c>
      <c r="B20" s="78" t="s">
        <v>6</v>
      </c>
      <c r="C20" s="78" t="s">
        <v>7</v>
      </c>
      <c r="D20" s="78" t="s">
        <v>43</v>
      </c>
      <c r="E20" s="77"/>
      <c r="F20" s="79"/>
      <c r="G20" s="80"/>
      <c r="H20" s="81">
        <f t="shared" si="0"/>
        <v>0</v>
      </c>
      <c r="I20" s="82"/>
      <c r="J20" s="77"/>
      <c r="K20" s="100">
        <v>1</v>
      </c>
      <c r="L20" s="101">
        <v>0.73</v>
      </c>
      <c r="M20" s="85">
        <f t="shared" si="1"/>
        <v>0.73</v>
      </c>
      <c r="N20" s="78" t="s">
        <v>563</v>
      </c>
      <c r="O20" s="77"/>
      <c r="P20" s="79"/>
      <c r="Q20" s="80"/>
      <c r="R20" s="81">
        <f t="shared" si="2"/>
        <v>0</v>
      </c>
      <c r="S20" s="82"/>
      <c r="T20" s="77"/>
      <c r="U20" s="79"/>
      <c r="V20" s="80"/>
      <c r="W20" s="81">
        <f t="shared" si="3"/>
        <v>0</v>
      </c>
      <c r="X20" s="82"/>
      <c r="Y20" s="77"/>
      <c r="Z20" s="79"/>
      <c r="AA20" s="80"/>
      <c r="AB20" s="81">
        <f t="shared" si="4"/>
        <v>0</v>
      </c>
      <c r="AC20" s="82"/>
      <c r="AD20" s="77"/>
      <c r="AE20" s="79"/>
      <c r="AF20" s="80"/>
      <c r="AG20" s="81">
        <f t="shared" si="5"/>
        <v>0</v>
      </c>
      <c r="AH20" s="82"/>
      <c r="AI20" s="77"/>
      <c r="AJ20" s="100">
        <v>1</v>
      </c>
      <c r="AK20" s="101">
        <v>0.5</v>
      </c>
      <c r="AL20" s="85">
        <f>AJ20*AK20</f>
        <v>0.5</v>
      </c>
      <c r="AM20" s="78" t="s">
        <v>933</v>
      </c>
      <c r="AO20" s="88"/>
      <c r="AP20" s="89"/>
      <c r="AQ20" s="90">
        <f t="shared" si="7"/>
        <v>0</v>
      </c>
      <c r="AR20" s="91"/>
    </row>
    <row r="21" spans="1:44" ht="141.75" x14ac:dyDescent="0.25">
      <c r="A21" s="77">
        <v>18</v>
      </c>
      <c r="B21" s="78" t="s">
        <v>6</v>
      </c>
      <c r="C21" s="78" t="s">
        <v>7</v>
      </c>
      <c r="D21" s="78" t="s">
        <v>44</v>
      </c>
      <c r="E21" s="77"/>
      <c r="F21" s="79"/>
      <c r="G21" s="80"/>
      <c r="H21" s="81">
        <f t="shared" si="0"/>
        <v>0</v>
      </c>
      <c r="I21" s="82"/>
      <c r="J21" s="77"/>
      <c r="K21" s="100">
        <v>1</v>
      </c>
      <c r="L21" s="101">
        <v>0.75</v>
      </c>
      <c r="M21" s="85">
        <f t="shared" si="1"/>
        <v>0.75</v>
      </c>
      <c r="N21" s="102" t="s">
        <v>915</v>
      </c>
      <c r="O21" s="77"/>
      <c r="P21" s="79"/>
      <c r="Q21" s="80"/>
      <c r="R21" s="81">
        <f t="shared" si="2"/>
        <v>0</v>
      </c>
      <c r="S21" s="82"/>
      <c r="T21" s="77"/>
      <c r="U21" s="79"/>
      <c r="V21" s="80"/>
      <c r="W21" s="81">
        <f t="shared" si="3"/>
        <v>0</v>
      </c>
      <c r="X21" s="82"/>
      <c r="Y21" s="77"/>
      <c r="Z21" s="79"/>
      <c r="AA21" s="80"/>
      <c r="AB21" s="81">
        <f t="shared" si="4"/>
        <v>0</v>
      </c>
      <c r="AC21" s="82"/>
      <c r="AD21" s="77"/>
      <c r="AE21" s="79"/>
      <c r="AF21" s="80"/>
      <c r="AG21" s="81">
        <f t="shared" si="5"/>
        <v>0</v>
      </c>
      <c r="AH21" s="82"/>
      <c r="AI21" s="77"/>
      <c r="AJ21" s="100">
        <v>1</v>
      </c>
      <c r="AK21" s="101">
        <v>0.5</v>
      </c>
      <c r="AL21" s="85">
        <f t="shared" ref="AL21:AL23" si="8">AJ21*AK21</f>
        <v>0.5</v>
      </c>
      <c r="AM21" s="102" t="s">
        <v>934</v>
      </c>
      <c r="AO21" s="88"/>
      <c r="AP21" s="89"/>
      <c r="AQ21" s="90">
        <f t="shared" si="7"/>
        <v>0</v>
      </c>
      <c r="AR21" s="91"/>
    </row>
    <row r="22" spans="1:44" ht="94.5" x14ac:dyDescent="0.25">
      <c r="A22" s="77">
        <v>19</v>
      </c>
      <c r="B22" s="78" t="s">
        <v>6</v>
      </c>
      <c r="C22" s="78" t="s">
        <v>7</v>
      </c>
      <c r="D22" s="78" t="s">
        <v>45</v>
      </c>
      <c r="E22" s="77"/>
      <c r="F22" s="79"/>
      <c r="G22" s="80"/>
      <c r="H22" s="81">
        <f t="shared" si="0"/>
        <v>0</v>
      </c>
      <c r="I22" s="82"/>
      <c r="J22" s="77"/>
      <c r="K22" s="100">
        <v>1</v>
      </c>
      <c r="L22" s="101">
        <v>0.85</v>
      </c>
      <c r="M22" s="85">
        <f t="shared" si="1"/>
        <v>0.85</v>
      </c>
      <c r="N22" s="78" t="s">
        <v>916</v>
      </c>
      <c r="O22" s="77"/>
      <c r="P22" s="79"/>
      <c r="Q22" s="80"/>
      <c r="R22" s="81">
        <f t="shared" si="2"/>
        <v>0</v>
      </c>
      <c r="S22" s="82"/>
      <c r="T22" s="77"/>
      <c r="U22" s="79"/>
      <c r="V22" s="80"/>
      <c r="W22" s="81">
        <f t="shared" si="3"/>
        <v>0</v>
      </c>
      <c r="X22" s="82"/>
      <c r="Y22" s="77"/>
      <c r="Z22" s="79"/>
      <c r="AA22" s="80"/>
      <c r="AB22" s="81">
        <f t="shared" si="4"/>
        <v>0</v>
      </c>
      <c r="AC22" s="82"/>
      <c r="AD22" s="77"/>
      <c r="AE22" s="79"/>
      <c r="AF22" s="80"/>
      <c r="AG22" s="81">
        <f t="shared" si="5"/>
        <v>0</v>
      </c>
      <c r="AH22" s="82"/>
      <c r="AI22" s="77"/>
      <c r="AJ22" s="100">
        <v>1</v>
      </c>
      <c r="AK22" s="101">
        <v>0.8</v>
      </c>
      <c r="AL22" s="85">
        <f t="shared" si="8"/>
        <v>0.8</v>
      </c>
      <c r="AM22" s="78" t="s">
        <v>1523</v>
      </c>
      <c r="AO22" s="88"/>
      <c r="AP22" s="89"/>
      <c r="AQ22" s="90">
        <f t="shared" si="7"/>
        <v>0</v>
      </c>
      <c r="AR22" s="91"/>
    </row>
    <row r="23" spans="1:44" ht="110.25" x14ac:dyDescent="0.25">
      <c r="A23" s="77">
        <v>20</v>
      </c>
      <c r="B23" s="78" t="s">
        <v>6</v>
      </c>
      <c r="C23" s="78" t="s">
        <v>7</v>
      </c>
      <c r="D23" s="78" t="s">
        <v>46</v>
      </c>
      <c r="E23" s="77"/>
      <c r="F23" s="79"/>
      <c r="G23" s="80"/>
      <c r="H23" s="81">
        <f t="shared" si="0"/>
        <v>0</v>
      </c>
      <c r="I23" s="82"/>
      <c r="J23" s="77"/>
      <c r="K23" s="100">
        <v>1</v>
      </c>
      <c r="L23" s="101">
        <v>0.9</v>
      </c>
      <c r="M23" s="85">
        <f t="shared" si="1"/>
        <v>0.9</v>
      </c>
      <c r="N23" s="78" t="s">
        <v>917</v>
      </c>
      <c r="O23" s="77"/>
      <c r="P23" s="79"/>
      <c r="Q23" s="80"/>
      <c r="R23" s="81">
        <f t="shared" si="2"/>
        <v>0</v>
      </c>
      <c r="S23" s="82"/>
      <c r="T23" s="77"/>
      <c r="U23" s="79"/>
      <c r="V23" s="80"/>
      <c r="W23" s="81">
        <f t="shared" si="3"/>
        <v>0</v>
      </c>
      <c r="X23" s="82"/>
      <c r="Y23" s="77"/>
      <c r="Z23" s="79"/>
      <c r="AA23" s="80"/>
      <c r="AB23" s="81">
        <f t="shared" si="4"/>
        <v>0</v>
      </c>
      <c r="AC23" s="82"/>
      <c r="AD23" s="77"/>
      <c r="AE23" s="79"/>
      <c r="AF23" s="80"/>
      <c r="AG23" s="81">
        <f t="shared" si="5"/>
        <v>0</v>
      </c>
      <c r="AH23" s="82"/>
      <c r="AI23" s="77"/>
      <c r="AJ23" s="100">
        <v>1</v>
      </c>
      <c r="AK23" s="101">
        <v>0.45</v>
      </c>
      <c r="AL23" s="85">
        <f t="shared" si="8"/>
        <v>0.45</v>
      </c>
      <c r="AM23" s="78" t="s">
        <v>935</v>
      </c>
      <c r="AO23" s="88"/>
      <c r="AP23" s="89"/>
      <c r="AQ23" s="90">
        <f t="shared" si="7"/>
        <v>0</v>
      </c>
      <c r="AR23" s="91"/>
    </row>
    <row r="24" spans="1:44" ht="78.75" x14ac:dyDescent="0.25">
      <c r="A24" s="77">
        <v>21</v>
      </c>
      <c r="B24" s="78" t="s">
        <v>6</v>
      </c>
      <c r="C24" s="78" t="s">
        <v>7</v>
      </c>
      <c r="D24" s="78" t="s">
        <v>47</v>
      </c>
      <c r="E24" s="77"/>
      <c r="F24" s="79"/>
      <c r="G24" s="80"/>
      <c r="H24" s="81">
        <f t="shared" si="0"/>
        <v>0</v>
      </c>
      <c r="I24" s="82"/>
      <c r="J24" s="77" t="s">
        <v>30</v>
      </c>
      <c r="K24" s="100">
        <v>1</v>
      </c>
      <c r="L24" s="101">
        <v>0.98</v>
      </c>
      <c r="M24" s="85">
        <f t="shared" si="1"/>
        <v>0.98</v>
      </c>
      <c r="N24" s="78" t="s">
        <v>358</v>
      </c>
      <c r="O24" s="77"/>
      <c r="P24" s="79"/>
      <c r="Q24" s="80"/>
      <c r="R24" s="81">
        <f t="shared" si="2"/>
        <v>0</v>
      </c>
      <c r="S24" s="82"/>
      <c r="T24" s="77"/>
      <c r="U24" s="79"/>
      <c r="V24" s="80"/>
      <c r="W24" s="81">
        <f t="shared" si="3"/>
        <v>0</v>
      </c>
      <c r="X24" s="82"/>
      <c r="Y24" s="77"/>
      <c r="Z24" s="79"/>
      <c r="AA24" s="80"/>
      <c r="AB24" s="81">
        <f t="shared" si="4"/>
        <v>0</v>
      </c>
      <c r="AC24" s="82"/>
      <c r="AD24" s="77"/>
      <c r="AE24" s="79"/>
      <c r="AF24" s="80"/>
      <c r="AG24" s="81">
        <f t="shared" si="5"/>
        <v>0</v>
      </c>
      <c r="AH24" s="82"/>
      <c r="AI24" s="77"/>
      <c r="AJ24" s="100">
        <v>1</v>
      </c>
      <c r="AK24" s="101">
        <v>0.98</v>
      </c>
      <c r="AL24" s="85">
        <f>AJ24*AK24</f>
        <v>0.98</v>
      </c>
      <c r="AM24" s="78" t="s">
        <v>307</v>
      </c>
      <c r="AO24" s="88"/>
      <c r="AP24" s="89"/>
      <c r="AQ24" s="90">
        <f t="shared" si="7"/>
        <v>0</v>
      </c>
      <c r="AR24" s="91"/>
    </row>
    <row r="25" spans="1:44" s="73" customFormat="1" ht="126" x14ac:dyDescent="0.25">
      <c r="A25" s="77">
        <v>22</v>
      </c>
      <c r="B25" s="78" t="s">
        <v>6</v>
      </c>
      <c r="C25" s="78" t="s">
        <v>8</v>
      </c>
      <c r="D25" s="78" t="s">
        <v>48</v>
      </c>
      <c r="E25" s="77"/>
      <c r="F25" s="79"/>
      <c r="G25" s="80"/>
      <c r="H25" s="81">
        <f t="shared" si="0"/>
        <v>0</v>
      </c>
      <c r="I25" s="82"/>
      <c r="J25" s="77"/>
      <c r="K25" s="100">
        <v>1</v>
      </c>
      <c r="L25" s="101">
        <v>0.9</v>
      </c>
      <c r="M25" s="85">
        <f t="shared" si="1"/>
        <v>0.9</v>
      </c>
      <c r="N25" s="78" t="s">
        <v>918</v>
      </c>
      <c r="O25" s="77"/>
      <c r="P25" s="79"/>
      <c r="Q25" s="80"/>
      <c r="R25" s="81">
        <f t="shared" si="2"/>
        <v>0</v>
      </c>
      <c r="S25" s="82"/>
      <c r="T25" s="77"/>
      <c r="U25" s="79"/>
      <c r="V25" s="80"/>
      <c r="W25" s="81">
        <f t="shared" si="3"/>
        <v>0</v>
      </c>
      <c r="X25" s="82"/>
      <c r="Y25" s="77"/>
      <c r="Z25" s="79"/>
      <c r="AA25" s="80"/>
      <c r="AB25" s="81">
        <f t="shared" si="4"/>
        <v>0</v>
      </c>
      <c r="AC25" s="82"/>
      <c r="AD25" s="77"/>
      <c r="AE25" s="79"/>
      <c r="AF25" s="80"/>
      <c r="AG25" s="81">
        <f t="shared" si="5"/>
        <v>0</v>
      </c>
      <c r="AH25" s="82"/>
      <c r="AI25" s="77"/>
      <c r="AJ25" s="100">
        <v>1</v>
      </c>
      <c r="AK25" s="101">
        <v>0.2</v>
      </c>
      <c r="AL25" s="85">
        <f t="shared" ref="AL25:AL36" si="9">AJ25*AK25</f>
        <v>0.2</v>
      </c>
      <c r="AM25" s="78" t="s">
        <v>936</v>
      </c>
      <c r="AO25" s="103"/>
      <c r="AP25" s="104"/>
      <c r="AQ25" s="105">
        <f t="shared" si="7"/>
        <v>0</v>
      </c>
      <c r="AR25" s="106"/>
    </row>
    <row r="26" spans="1:44" ht="141.75" x14ac:dyDescent="0.25">
      <c r="A26" s="77">
        <v>23</v>
      </c>
      <c r="B26" s="78" t="s">
        <v>6</v>
      </c>
      <c r="C26" s="78" t="s">
        <v>8</v>
      </c>
      <c r="D26" s="78" t="s">
        <v>49</v>
      </c>
      <c r="E26" s="77"/>
      <c r="F26" s="79"/>
      <c r="G26" s="80"/>
      <c r="H26" s="81">
        <f t="shared" si="0"/>
        <v>0</v>
      </c>
      <c r="I26" s="82"/>
      <c r="J26" s="77"/>
      <c r="K26" s="100">
        <v>1</v>
      </c>
      <c r="L26" s="101">
        <v>0.9</v>
      </c>
      <c r="M26" s="85">
        <f t="shared" si="1"/>
        <v>0.9</v>
      </c>
      <c r="N26" s="78" t="s">
        <v>919</v>
      </c>
      <c r="O26" s="77"/>
      <c r="P26" s="79"/>
      <c r="Q26" s="80"/>
      <c r="R26" s="81">
        <f t="shared" si="2"/>
        <v>0</v>
      </c>
      <c r="S26" s="82"/>
      <c r="T26" s="77"/>
      <c r="U26" s="79"/>
      <c r="V26" s="80"/>
      <c r="W26" s="81">
        <f t="shared" si="3"/>
        <v>0</v>
      </c>
      <c r="X26" s="82"/>
      <c r="Y26" s="77"/>
      <c r="Z26" s="79"/>
      <c r="AA26" s="80"/>
      <c r="AB26" s="81">
        <f t="shared" si="4"/>
        <v>0</v>
      </c>
      <c r="AC26" s="82"/>
      <c r="AD26" s="77"/>
      <c r="AE26" s="79"/>
      <c r="AF26" s="80"/>
      <c r="AG26" s="81">
        <f t="shared" si="5"/>
        <v>0</v>
      </c>
      <c r="AH26" s="82"/>
      <c r="AI26" s="77"/>
      <c r="AJ26" s="100">
        <v>1</v>
      </c>
      <c r="AK26" s="101">
        <v>0.2</v>
      </c>
      <c r="AL26" s="85">
        <f t="shared" si="9"/>
        <v>0.2</v>
      </c>
      <c r="AM26" s="78" t="s">
        <v>937</v>
      </c>
      <c r="AO26" s="88"/>
      <c r="AP26" s="89"/>
      <c r="AQ26" s="90">
        <f t="shared" si="7"/>
        <v>0</v>
      </c>
      <c r="AR26" s="91"/>
    </row>
    <row r="27" spans="1:44" ht="141.75" x14ac:dyDescent="0.25">
      <c r="A27" s="77">
        <v>24</v>
      </c>
      <c r="B27" s="78" t="s">
        <v>6</v>
      </c>
      <c r="C27" s="78" t="s">
        <v>8</v>
      </c>
      <c r="D27" s="78" t="s">
        <v>50</v>
      </c>
      <c r="E27" s="77"/>
      <c r="F27" s="79"/>
      <c r="G27" s="80"/>
      <c r="H27" s="81">
        <f t="shared" si="0"/>
        <v>0</v>
      </c>
      <c r="I27" s="82"/>
      <c r="J27" s="77"/>
      <c r="K27" s="100">
        <v>1</v>
      </c>
      <c r="L27" s="101">
        <v>0.95</v>
      </c>
      <c r="M27" s="85">
        <f t="shared" si="1"/>
        <v>0.95</v>
      </c>
      <c r="N27" s="78" t="s">
        <v>920</v>
      </c>
      <c r="O27" s="77"/>
      <c r="P27" s="79"/>
      <c r="Q27" s="80"/>
      <c r="R27" s="81">
        <f t="shared" si="2"/>
        <v>0</v>
      </c>
      <c r="S27" s="82"/>
      <c r="T27" s="77"/>
      <c r="U27" s="79"/>
      <c r="V27" s="80"/>
      <c r="W27" s="81">
        <f t="shared" si="3"/>
        <v>0</v>
      </c>
      <c r="X27" s="82"/>
      <c r="Y27" s="77"/>
      <c r="Z27" s="79"/>
      <c r="AA27" s="80"/>
      <c r="AB27" s="81">
        <f t="shared" si="4"/>
        <v>0</v>
      </c>
      <c r="AC27" s="82"/>
      <c r="AD27" s="77"/>
      <c r="AE27" s="79"/>
      <c r="AF27" s="80"/>
      <c r="AG27" s="81">
        <f t="shared" si="5"/>
        <v>0</v>
      </c>
      <c r="AH27" s="82"/>
      <c r="AI27" s="77"/>
      <c r="AJ27" s="100">
        <v>1</v>
      </c>
      <c r="AK27" s="101">
        <v>0.5</v>
      </c>
      <c r="AL27" s="85">
        <f t="shared" si="9"/>
        <v>0.5</v>
      </c>
      <c r="AM27" s="78" t="s">
        <v>938</v>
      </c>
      <c r="AO27" s="88"/>
      <c r="AP27" s="89"/>
      <c r="AQ27" s="90">
        <f t="shared" si="7"/>
        <v>0</v>
      </c>
      <c r="AR27" s="91"/>
    </row>
    <row r="28" spans="1:44" ht="141.75" x14ac:dyDescent="0.25">
      <c r="A28" s="77">
        <v>25</v>
      </c>
      <c r="B28" s="78" t="s">
        <v>6</v>
      </c>
      <c r="C28" s="78" t="s">
        <v>8</v>
      </c>
      <c r="D28" s="78" t="s">
        <v>51</v>
      </c>
      <c r="E28" s="77"/>
      <c r="F28" s="79"/>
      <c r="G28" s="80"/>
      <c r="H28" s="81">
        <f t="shared" si="0"/>
        <v>0</v>
      </c>
      <c r="I28" s="82"/>
      <c r="J28" s="77"/>
      <c r="K28" s="100">
        <v>1</v>
      </c>
      <c r="L28" s="101">
        <v>0.9</v>
      </c>
      <c r="M28" s="85">
        <f t="shared" si="1"/>
        <v>0.9</v>
      </c>
      <c r="N28" s="78" t="s">
        <v>921</v>
      </c>
      <c r="O28" s="77"/>
      <c r="P28" s="79"/>
      <c r="Q28" s="80"/>
      <c r="R28" s="81">
        <f t="shared" si="2"/>
        <v>0</v>
      </c>
      <c r="S28" s="82"/>
      <c r="T28" s="77"/>
      <c r="U28" s="79"/>
      <c r="V28" s="80"/>
      <c r="W28" s="81">
        <f t="shared" si="3"/>
        <v>0</v>
      </c>
      <c r="X28" s="82"/>
      <c r="Y28" s="77"/>
      <c r="Z28" s="79"/>
      <c r="AA28" s="80"/>
      <c r="AB28" s="81">
        <f t="shared" si="4"/>
        <v>0</v>
      </c>
      <c r="AC28" s="82"/>
      <c r="AD28" s="77"/>
      <c r="AE28" s="79"/>
      <c r="AF28" s="80"/>
      <c r="AG28" s="81">
        <f t="shared" si="5"/>
        <v>0</v>
      </c>
      <c r="AH28" s="82"/>
      <c r="AI28" s="77"/>
      <c r="AJ28" s="100">
        <v>1</v>
      </c>
      <c r="AK28" s="101">
        <v>0.1</v>
      </c>
      <c r="AL28" s="85">
        <f t="shared" si="9"/>
        <v>0.1</v>
      </c>
      <c r="AM28" s="78" t="s">
        <v>604</v>
      </c>
      <c r="AO28" s="88"/>
      <c r="AP28" s="89"/>
      <c r="AQ28" s="90">
        <f t="shared" si="7"/>
        <v>0</v>
      </c>
      <c r="AR28" s="91"/>
    </row>
    <row r="29" spans="1:44" ht="141.75" x14ac:dyDescent="0.25">
      <c r="A29" s="77">
        <v>26</v>
      </c>
      <c r="B29" s="78" t="s">
        <v>6</v>
      </c>
      <c r="C29" s="78" t="s">
        <v>8</v>
      </c>
      <c r="D29" s="78" t="s">
        <v>52</v>
      </c>
      <c r="E29" s="77"/>
      <c r="F29" s="79"/>
      <c r="G29" s="80"/>
      <c r="H29" s="81">
        <f t="shared" si="0"/>
        <v>0</v>
      </c>
      <c r="I29" s="82"/>
      <c r="J29" s="77"/>
      <c r="K29" s="100">
        <v>1</v>
      </c>
      <c r="L29" s="101">
        <v>0.98</v>
      </c>
      <c r="M29" s="85">
        <f t="shared" si="1"/>
        <v>0.98</v>
      </c>
      <c r="N29" s="78" t="s">
        <v>922</v>
      </c>
      <c r="O29" s="77"/>
      <c r="P29" s="79"/>
      <c r="Q29" s="80"/>
      <c r="R29" s="81">
        <f t="shared" si="2"/>
        <v>0</v>
      </c>
      <c r="S29" s="78"/>
      <c r="T29" s="77"/>
      <c r="U29" s="79"/>
      <c r="V29" s="80"/>
      <c r="W29" s="81">
        <f t="shared" si="3"/>
        <v>0</v>
      </c>
      <c r="X29" s="78"/>
      <c r="Y29" s="77"/>
      <c r="Z29" s="79"/>
      <c r="AA29" s="80"/>
      <c r="AB29" s="81">
        <f t="shared" si="4"/>
        <v>0</v>
      </c>
      <c r="AC29" s="78"/>
      <c r="AD29" s="77"/>
      <c r="AE29" s="79"/>
      <c r="AF29" s="80"/>
      <c r="AG29" s="81">
        <f t="shared" si="5"/>
        <v>0</v>
      </c>
      <c r="AH29" s="78"/>
      <c r="AI29" s="77"/>
      <c r="AJ29" s="100">
        <v>1</v>
      </c>
      <c r="AK29" s="101">
        <v>0.1</v>
      </c>
      <c r="AL29" s="85">
        <f t="shared" si="9"/>
        <v>0.1</v>
      </c>
      <c r="AM29" s="78" t="s">
        <v>605</v>
      </c>
      <c r="AO29" s="88"/>
      <c r="AP29" s="89"/>
      <c r="AQ29" s="90">
        <f t="shared" si="7"/>
        <v>0</v>
      </c>
      <c r="AR29" s="96"/>
    </row>
    <row r="30" spans="1:44" ht="157.5" x14ac:dyDescent="0.25">
      <c r="A30" s="77">
        <v>27</v>
      </c>
      <c r="B30" s="78" t="s">
        <v>6</v>
      </c>
      <c r="C30" s="78" t="s">
        <v>8</v>
      </c>
      <c r="D30" s="78" t="s">
        <v>53</v>
      </c>
      <c r="E30" s="77"/>
      <c r="F30" s="79"/>
      <c r="G30" s="80"/>
      <c r="H30" s="81">
        <f t="shared" si="0"/>
        <v>0</v>
      </c>
      <c r="I30" s="82"/>
      <c r="J30" s="77"/>
      <c r="K30" s="100">
        <v>1</v>
      </c>
      <c r="L30" s="107">
        <v>1</v>
      </c>
      <c r="M30" s="85">
        <f t="shared" si="1"/>
        <v>1</v>
      </c>
      <c r="N30" s="78"/>
      <c r="O30" s="77"/>
      <c r="P30" s="79"/>
      <c r="Q30" s="80"/>
      <c r="R30" s="81">
        <f t="shared" si="2"/>
        <v>0</v>
      </c>
      <c r="S30" s="82"/>
      <c r="T30" s="77"/>
      <c r="U30" s="79"/>
      <c r="V30" s="80"/>
      <c r="W30" s="81">
        <f t="shared" si="3"/>
        <v>0</v>
      </c>
      <c r="X30" s="82"/>
      <c r="Y30" s="77"/>
      <c r="Z30" s="79"/>
      <c r="AA30" s="80"/>
      <c r="AB30" s="81">
        <f t="shared" si="4"/>
        <v>0</v>
      </c>
      <c r="AC30" s="82"/>
      <c r="AD30" s="77"/>
      <c r="AE30" s="79"/>
      <c r="AF30" s="80"/>
      <c r="AG30" s="81">
        <f t="shared" si="5"/>
        <v>0</v>
      </c>
      <c r="AH30" s="82"/>
      <c r="AI30" s="77"/>
      <c r="AJ30" s="100">
        <v>1</v>
      </c>
      <c r="AK30" s="107">
        <v>0.85</v>
      </c>
      <c r="AL30" s="107">
        <f t="shared" si="9"/>
        <v>0.85</v>
      </c>
      <c r="AM30" s="78" t="s">
        <v>606</v>
      </c>
      <c r="AO30" s="88"/>
      <c r="AP30" s="89"/>
      <c r="AQ30" s="90">
        <f t="shared" si="7"/>
        <v>0</v>
      </c>
      <c r="AR30" s="91"/>
    </row>
    <row r="31" spans="1:44" ht="78.75" x14ac:dyDescent="0.25">
      <c r="A31" s="77">
        <v>28</v>
      </c>
      <c r="B31" s="78" t="s">
        <v>6</v>
      </c>
      <c r="C31" s="78" t="s">
        <v>8</v>
      </c>
      <c r="D31" s="78" t="s">
        <v>54</v>
      </c>
      <c r="E31" s="77"/>
      <c r="F31" s="79"/>
      <c r="G31" s="80"/>
      <c r="H31" s="81">
        <f t="shared" si="0"/>
        <v>0</v>
      </c>
      <c r="I31" s="82"/>
      <c r="J31" s="77"/>
      <c r="K31" s="100">
        <v>1</v>
      </c>
      <c r="L31" s="101">
        <v>1</v>
      </c>
      <c r="M31" s="85">
        <f t="shared" si="1"/>
        <v>1</v>
      </c>
      <c r="N31" s="78" t="s">
        <v>923</v>
      </c>
      <c r="O31" s="77"/>
      <c r="P31" s="79"/>
      <c r="Q31" s="80"/>
      <c r="R31" s="81">
        <f t="shared" si="2"/>
        <v>0</v>
      </c>
      <c r="S31" s="82"/>
      <c r="T31" s="77"/>
      <c r="U31" s="79"/>
      <c r="V31" s="80"/>
      <c r="W31" s="81">
        <f t="shared" si="3"/>
        <v>0</v>
      </c>
      <c r="X31" s="82"/>
      <c r="Y31" s="77"/>
      <c r="Z31" s="79"/>
      <c r="AA31" s="80"/>
      <c r="AB31" s="81">
        <f t="shared" si="4"/>
        <v>0</v>
      </c>
      <c r="AC31" s="82"/>
      <c r="AD31" s="77"/>
      <c r="AE31" s="79"/>
      <c r="AF31" s="80"/>
      <c r="AG31" s="81">
        <f t="shared" si="5"/>
        <v>0</v>
      </c>
      <c r="AH31" s="82"/>
      <c r="AI31" s="77"/>
      <c r="AJ31" s="100">
        <v>1</v>
      </c>
      <c r="AK31" s="101">
        <v>1</v>
      </c>
      <c r="AL31" s="85">
        <f t="shared" si="9"/>
        <v>1</v>
      </c>
      <c r="AM31" s="78" t="s">
        <v>939</v>
      </c>
      <c r="AO31" s="88"/>
      <c r="AP31" s="89"/>
      <c r="AQ31" s="90">
        <f t="shared" si="7"/>
        <v>0</v>
      </c>
      <c r="AR31" s="91"/>
    </row>
    <row r="32" spans="1:44" ht="94.5" x14ac:dyDescent="0.25">
      <c r="A32" s="77">
        <v>29</v>
      </c>
      <c r="B32" s="78" t="s">
        <v>6</v>
      </c>
      <c r="C32" s="78" t="s">
        <v>8</v>
      </c>
      <c r="D32" s="78" t="s">
        <v>55</v>
      </c>
      <c r="E32" s="77"/>
      <c r="F32" s="79"/>
      <c r="G32" s="80"/>
      <c r="H32" s="81">
        <f t="shared" si="0"/>
        <v>0</v>
      </c>
      <c r="I32" s="82"/>
      <c r="J32" s="77"/>
      <c r="K32" s="100">
        <v>1</v>
      </c>
      <c r="L32" s="101">
        <v>1</v>
      </c>
      <c r="M32" s="85">
        <f t="shared" si="1"/>
        <v>1</v>
      </c>
      <c r="N32" s="78" t="s">
        <v>924</v>
      </c>
      <c r="O32" s="77"/>
      <c r="P32" s="79"/>
      <c r="Q32" s="80"/>
      <c r="R32" s="81">
        <f t="shared" si="2"/>
        <v>0</v>
      </c>
      <c r="S32" s="82"/>
      <c r="T32" s="77"/>
      <c r="U32" s="79"/>
      <c r="V32" s="80"/>
      <c r="W32" s="81">
        <f t="shared" si="3"/>
        <v>0</v>
      </c>
      <c r="X32" s="82"/>
      <c r="Y32" s="77"/>
      <c r="Z32" s="79"/>
      <c r="AA32" s="80"/>
      <c r="AB32" s="81">
        <f t="shared" si="4"/>
        <v>0</v>
      </c>
      <c r="AC32" s="82"/>
      <c r="AD32" s="77"/>
      <c r="AE32" s="79"/>
      <c r="AF32" s="80"/>
      <c r="AG32" s="81">
        <f t="shared" si="5"/>
        <v>0</v>
      </c>
      <c r="AH32" s="82"/>
      <c r="AI32" s="77"/>
      <c r="AJ32" s="100">
        <v>1</v>
      </c>
      <c r="AK32" s="101">
        <v>1</v>
      </c>
      <c r="AL32" s="85">
        <f t="shared" si="9"/>
        <v>1</v>
      </c>
      <c r="AM32" s="78" t="s">
        <v>673</v>
      </c>
      <c r="AO32" s="88"/>
      <c r="AP32" s="89"/>
      <c r="AQ32" s="90">
        <f t="shared" si="7"/>
        <v>0</v>
      </c>
      <c r="AR32" s="91"/>
    </row>
    <row r="33" spans="1:44" ht="94.5" x14ac:dyDescent="0.25">
      <c r="A33" s="77">
        <v>30</v>
      </c>
      <c r="B33" s="78" t="s">
        <v>6</v>
      </c>
      <c r="C33" s="78" t="s">
        <v>8</v>
      </c>
      <c r="D33" s="78" t="s">
        <v>56</v>
      </c>
      <c r="E33" s="77"/>
      <c r="F33" s="79"/>
      <c r="G33" s="80"/>
      <c r="H33" s="81">
        <f t="shared" si="0"/>
        <v>0</v>
      </c>
      <c r="I33" s="82"/>
      <c r="J33" s="77"/>
      <c r="K33" s="100">
        <v>1</v>
      </c>
      <c r="L33" s="101">
        <v>1</v>
      </c>
      <c r="M33" s="85">
        <f t="shared" si="1"/>
        <v>1</v>
      </c>
      <c r="N33" s="78" t="s">
        <v>925</v>
      </c>
      <c r="O33" s="77"/>
      <c r="P33" s="79"/>
      <c r="Q33" s="80"/>
      <c r="R33" s="81">
        <f t="shared" si="2"/>
        <v>0</v>
      </c>
      <c r="S33" s="82"/>
      <c r="T33" s="77"/>
      <c r="U33" s="79"/>
      <c r="V33" s="80"/>
      <c r="W33" s="81">
        <f t="shared" si="3"/>
        <v>0</v>
      </c>
      <c r="X33" s="82"/>
      <c r="Y33" s="77"/>
      <c r="Z33" s="79"/>
      <c r="AA33" s="80"/>
      <c r="AB33" s="81">
        <f t="shared" si="4"/>
        <v>0</v>
      </c>
      <c r="AC33" s="82"/>
      <c r="AD33" s="77"/>
      <c r="AE33" s="79"/>
      <c r="AF33" s="80"/>
      <c r="AG33" s="81">
        <f t="shared" si="5"/>
        <v>0</v>
      </c>
      <c r="AH33" s="82"/>
      <c r="AI33" s="77"/>
      <c r="AJ33" s="100">
        <v>1</v>
      </c>
      <c r="AK33" s="101">
        <v>0.3</v>
      </c>
      <c r="AL33" s="85">
        <f t="shared" si="9"/>
        <v>0.3</v>
      </c>
      <c r="AM33" s="78" t="s">
        <v>809</v>
      </c>
      <c r="AO33" s="88"/>
      <c r="AP33" s="89"/>
      <c r="AQ33" s="90">
        <f t="shared" si="7"/>
        <v>0</v>
      </c>
      <c r="AR33" s="91"/>
    </row>
    <row r="34" spans="1:44" ht="187.5" customHeight="1" x14ac:dyDescent="0.25">
      <c r="A34" s="77">
        <v>31</v>
      </c>
      <c r="B34" s="78" t="s">
        <v>6</v>
      </c>
      <c r="C34" s="78" t="s">
        <v>9</v>
      </c>
      <c r="D34" s="102" t="s">
        <v>57</v>
      </c>
      <c r="E34" s="77"/>
      <c r="F34" s="79"/>
      <c r="G34" s="80"/>
      <c r="H34" s="81">
        <f t="shared" si="0"/>
        <v>0</v>
      </c>
      <c r="I34" s="82"/>
      <c r="J34" s="77"/>
      <c r="K34" s="100">
        <v>1</v>
      </c>
      <c r="L34" s="101">
        <v>0.65</v>
      </c>
      <c r="M34" s="85">
        <f t="shared" si="1"/>
        <v>0.65</v>
      </c>
      <c r="N34" s="78" t="s">
        <v>926</v>
      </c>
      <c r="O34" s="77"/>
      <c r="P34" s="79"/>
      <c r="Q34" s="80"/>
      <c r="R34" s="81">
        <f t="shared" si="2"/>
        <v>0</v>
      </c>
      <c r="S34" s="82"/>
      <c r="T34" s="77"/>
      <c r="U34" s="79"/>
      <c r="V34" s="80"/>
      <c r="W34" s="81">
        <f t="shared" si="3"/>
        <v>0</v>
      </c>
      <c r="X34" s="82"/>
      <c r="Y34" s="77"/>
      <c r="Z34" s="79"/>
      <c r="AA34" s="80"/>
      <c r="AB34" s="81">
        <f t="shared" si="4"/>
        <v>0</v>
      </c>
      <c r="AC34" s="82"/>
      <c r="AD34" s="77"/>
      <c r="AE34" s="79"/>
      <c r="AF34" s="80"/>
      <c r="AG34" s="81">
        <f t="shared" si="5"/>
        <v>0</v>
      </c>
      <c r="AH34" s="82"/>
      <c r="AI34" s="77"/>
      <c r="AJ34" s="100">
        <v>1</v>
      </c>
      <c r="AK34" s="101">
        <v>0.3</v>
      </c>
      <c r="AL34" s="85">
        <f t="shared" si="9"/>
        <v>0.3</v>
      </c>
      <c r="AM34" s="78" t="s">
        <v>610</v>
      </c>
      <c r="AO34" s="88"/>
      <c r="AP34" s="89"/>
      <c r="AQ34" s="90">
        <f t="shared" si="7"/>
        <v>0</v>
      </c>
      <c r="AR34" s="91"/>
    </row>
    <row r="35" spans="1:44" ht="189" x14ac:dyDescent="0.25">
      <c r="A35" s="77">
        <v>32</v>
      </c>
      <c r="B35" s="78" t="s">
        <v>6</v>
      </c>
      <c r="C35" s="78" t="s">
        <v>9</v>
      </c>
      <c r="D35" s="102" t="s">
        <v>58</v>
      </c>
      <c r="E35" s="77"/>
      <c r="F35" s="79"/>
      <c r="G35" s="80"/>
      <c r="H35" s="81">
        <f t="shared" si="0"/>
        <v>0</v>
      </c>
      <c r="I35" s="78"/>
      <c r="J35" s="77"/>
      <c r="K35" s="100">
        <v>1</v>
      </c>
      <c r="L35" s="101">
        <v>0.9</v>
      </c>
      <c r="M35" s="85">
        <f t="shared" si="1"/>
        <v>0.9</v>
      </c>
      <c r="N35" s="78" t="s">
        <v>152</v>
      </c>
      <c r="O35" s="77"/>
      <c r="P35" s="79"/>
      <c r="Q35" s="80"/>
      <c r="R35" s="81">
        <f t="shared" si="2"/>
        <v>0</v>
      </c>
      <c r="S35" s="82"/>
      <c r="T35" s="77"/>
      <c r="U35" s="79"/>
      <c r="V35" s="80"/>
      <c r="W35" s="81">
        <f t="shared" si="3"/>
        <v>0</v>
      </c>
      <c r="X35" s="82"/>
      <c r="Y35" s="77"/>
      <c r="Z35" s="79"/>
      <c r="AA35" s="80"/>
      <c r="AB35" s="81">
        <f t="shared" si="4"/>
        <v>0</v>
      </c>
      <c r="AC35" s="82"/>
      <c r="AD35" s="77"/>
      <c r="AE35" s="79"/>
      <c r="AF35" s="80"/>
      <c r="AG35" s="81">
        <f t="shared" si="5"/>
        <v>0</v>
      </c>
      <c r="AH35" s="82"/>
      <c r="AI35" s="77"/>
      <c r="AJ35" s="100">
        <v>1</v>
      </c>
      <c r="AK35" s="101">
        <v>0.1</v>
      </c>
      <c r="AL35" s="85">
        <f t="shared" si="9"/>
        <v>0.1</v>
      </c>
      <c r="AM35" s="78" t="s">
        <v>611</v>
      </c>
      <c r="AO35" s="88"/>
      <c r="AP35" s="89"/>
      <c r="AQ35" s="90">
        <f t="shared" si="7"/>
        <v>0</v>
      </c>
      <c r="AR35" s="91"/>
    </row>
    <row r="36" spans="1:44" ht="110.25" x14ac:dyDescent="0.25">
      <c r="A36" s="77">
        <v>33</v>
      </c>
      <c r="B36" s="78" t="s">
        <v>6</v>
      </c>
      <c r="C36" s="78" t="s">
        <v>9</v>
      </c>
      <c r="D36" s="78" t="s">
        <v>59</v>
      </c>
      <c r="E36" s="77"/>
      <c r="F36" s="79"/>
      <c r="G36" s="80"/>
      <c r="H36" s="81">
        <f t="shared" si="0"/>
        <v>0</v>
      </c>
      <c r="I36" s="82"/>
      <c r="J36" s="77"/>
      <c r="K36" s="100">
        <v>1</v>
      </c>
      <c r="L36" s="101">
        <v>1</v>
      </c>
      <c r="M36" s="85">
        <f t="shared" si="1"/>
        <v>1</v>
      </c>
      <c r="N36" s="78"/>
      <c r="O36" s="77"/>
      <c r="P36" s="79"/>
      <c r="Q36" s="80"/>
      <c r="R36" s="81">
        <f t="shared" si="2"/>
        <v>0</v>
      </c>
      <c r="S36" s="82"/>
      <c r="T36" s="77"/>
      <c r="U36" s="79"/>
      <c r="V36" s="80"/>
      <c r="W36" s="81">
        <f t="shared" si="3"/>
        <v>0</v>
      </c>
      <c r="X36" s="82"/>
      <c r="Y36" s="77"/>
      <c r="Z36" s="79"/>
      <c r="AA36" s="80"/>
      <c r="AB36" s="81">
        <f t="shared" si="4"/>
        <v>0</v>
      </c>
      <c r="AC36" s="82"/>
      <c r="AD36" s="77"/>
      <c r="AE36" s="79"/>
      <c r="AF36" s="80"/>
      <c r="AG36" s="81">
        <f t="shared" si="5"/>
        <v>0</v>
      </c>
      <c r="AH36" s="82"/>
      <c r="AI36" s="77"/>
      <c r="AJ36" s="100">
        <v>1</v>
      </c>
      <c r="AK36" s="101">
        <v>0.5</v>
      </c>
      <c r="AL36" s="85">
        <f t="shared" si="9"/>
        <v>0.5</v>
      </c>
      <c r="AM36" s="78" t="s">
        <v>612</v>
      </c>
      <c r="AO36" s="88"/>
      <c r="AP36" s="89"/>
      <c r="AQ36" s="90">
        <f t="shared" si="7"/>
        <v>0</v>
      </c>
      <c r="AR36" s="91"/>
    </row>
    <row r="37" spans="1:44" ht="94.5" x14ac:dyDescent="0.25">
      <c r="A37" s="77">
        <v>34</v>
      </c>
      <c r="B37" s="78" t="s">
        <v>6</v>
      </c>
      <c r="C37" s="78" t="s">
        <v>9</v>
      </c>
      <c r="D37" s="78" t="s">
        <v>60</v>
      </c>
      <c r="E37" s="77"/>
      <c r="F37" s="79"/>
      <c r="G37" s="80"/>
      <c r="H37" s="81">
        <f t="shared" si="0"/>
        <v>0</v>
      </c>
      <c r="I37" s="82"/>
      <c r="J37" s="77"/>
      <c r="K37" s="100">
        <v>1</v>
      </c>
      <c r="L37" s="101">
        <v>1</v>
      </c>
      <c r="M37" s="85">
        <f t="shared" si="1"/>
        <v>1</v>
      </c>
      <c r="N37" s="78" t="s">
        <v>927</v>
      </c>
      <c r="O37" s="77"/>
      <c r="P37" s="79"/>
      <c r="Q37" s="80"/>
      <c r="R37" s="81">
        <f t="shared" si="2"/>
        <v>0</v>
      </c>
      <c r="S37" s="82"/>
      <c r="T37" s="77"/>
      <c r="U37" s="79"/>
      <c r="V37" s="80"/>
      <c r="W37" s="81">
        <f t="shared" si="3"/>
        <v>0</v>
      </c>
      <c r="X37" s="82"/>
      <c r="Y37" s="77"/>
      <c r="Z37" s="79"/>
      <c r="AA37" s="80"/>
      <c r="AB37" s="81">
        <f t="shared" si="4"/>
        <v>0</v>
      </c>
      <c r="AC37" s="82"/>
      <c r="AD37" s="77"/>
      <c r="AE37" s="79"/>
      <c r="AF37" s="80"/>
      <c r="AG37" s="81">
        <f t="shared" si="5"/>
        <v>0</v>
      </c>
      <c r="AH37" s="82"/>
      <c r="AI37" s="77"/>
      <c r="AJ37" s="100">
        <v>1</v>
      </c>
      <c r="AK37" s="101">
        <v>1</v>
      </c>
      <c r="AL37" s="85">
        <f t="shared" si="6"/>
        <v>1</v>
      </c>
      <c r="AM37" s="78" t="s">
        <v>613</v>
      </c>
      <c r="AO37" s="88"/>
      <c r="AP37" s="89"/>
      <c r="AQ37" s="90">
        <f t="shared" si="7"/>
        <v>0</v>
      </c>
      <c r="AR37" s="91"/>
    </row>
    <row r="38" spans="1:44" ht="110.25" x14ac:dyDescent="0.25">
      <c r="A38" s="77">
        <v>35</v>
      </c>
      <c r="B38" s="78" t="s">
        <v>6</v>
      </c>
      <c r="C38" s="78" t="s">
        <v>9</v>
      </c>
      <c r="D38" s="78" t="s">
        <v>61</v>
      </c>
      <c r="E38" s="77"/>
      <c r="F38" s="79"/>
      <c r="G38" s="80"/>
      <c r="H38" s="81">
        <f t="shared" si="0"/>
        <v>0</v>
      </c>
      <c r="I38" s="82"/>
      <c r="J38" s="77"/>
      <c r="K38" s="100">
        <v>1</v>
      </c>
      <c r="L38" s="101">
        <v>0.9</v>
      </c>
      <c r="M38" s="85">
        <f t="shared" si="1"/>
        <v>0.9</v>
      </c>
      <c r="N38" s="78" t="s">
        <v>577</v>
      </c>
      <c r="O38" s="77"/>
      <c r="P38" s="79"/>
      <c r="Q38" s="80"/>
      <c r="R38" s="81">
        <f t="shared" si="2"/>
        <v>0</v>
      </c>
      <c r="S38" s="82"/>
      <c r="T38" s="77"/>
      <c r="U38" s="79"/>
      <c r="V38" s="80"/>
      <c r="W38" s="81">
        <f t="shared" si="3"/>
        <v>0</v>
      </c>
      <c r="X38" s="82"/>
      <c r="Y38" s="77"/>
      <c r="Z38" s="79"/>
      <c r="AA38" s="80"/>
      <c r="AB38" s="81">
        <f t="shared" si="4"/>
        <v>0</v>
      </c>
      <c r="AC38" s="82"/>
      <c r="AD38" s="77"/>
      <c r="AE38" s="79"/>
      <c r="AF38" s="80"/>
      <c r="AG38" s="81">
        <f t="shared" si="5"/>
        <v>0</v>
      </c>
      <c r="AH38" s="82"/>
      <c r="AI38" s="77"/>
      <c r="AJ38" s="100">
        <v>1</v>
      </c>
      <c r="AK38" s="101">
        <v>0.1</v>
      </c>
      <c r="AL38" s="85">
        <f t="shared" si="6"/>
        <v>0.1</v>
      </c>
      <c r="AM38" s="78" t="s">
        <v>723</v>
      </c>
      <c r="AO38" s="88"/>
      <c r="AP38" s="89"/>
      <c r="AQ38" s="90">
        <f t="shared" si="7"/>
        <v>0</v>
      </c>
      <c r="AR38" s="91"/>
    </row>
    <row r="39" spans="1:44" ht="252" x14ac:dyDescent="0.25">
      <c r="A39" s="77">
        <v>36</v>
      </c>
      <c r="B39" s="78" t="s">
        <v>6</v>
      </c>
      <c r="C39" s="78" t="s">
        <v>9</v>
      </c>
      <c r="D39" s="78" t="s">
        <v>62</v>
      </c>
      <c r="E39" s="77"/>
      <c r="F39" s="79"/>
      <c r="G39" s="80"/>
      <c r="H39" s="81">
        <f t="shared" si="0"/>
        <v>0</v>
      </c>
      <c r="I39" s="82"/>
      <c r="J39" s="77"/>
      <c r="K39" s="100">
        <v>1</v>
      </c>
      <c r="L39" s="101">
        <v>0.9</v>
      </c>
      <c r="M39" s="85">
        <f t="shared" si="1"/>
        <v>0.9</v>
      </c>
      <c r="N39" s="78" t="s">
        <v>928</v>
      </c>
      <c r="O39" s="77"/>
      <c r="P39" s="79"/>
      <c r="Q39" s="80"/>
      <c r="R39" s="81">
        <f t="shared" si="2"/>
        <v>0</v>
      </c>
      <c r="S39" s="82"/>
      <c r="T39" s="77"/>
      <c r="U39" s="79"/>
      <c r="V39" s="80"/>
      <c r="W39" s="81">
        <f t="shared" si="3"/>
        <v>0</v>
      </c>
      <c r="X39" s="82"/>
      <c r="Y39" s="77"/>
      <c r="Z39" s="79"/>
      <c r="AA39" s="80"/>
      <c r="AB39" s="81">
        <f t="shared" si="4"/>
        <v>0</v>
      </c>
      <c r="AC39" s="82"/>
      <c r="AD39" s="77"/>
      <c r="AE39" s="79"/>
      <c r="AF39" s="80"/>
      <c r="AG39" s="81">
        <f t="shared" si="5"/>
        <v>0</v>
      </c>
      <c r="AH39" s="82"/>
      <c r="AI39" s="77"/>
      <c r="AJ39" s="100">
        <v>1</v>
      </c>
      <c r="AK39" s="101">
        <v>0.4</v>
      </c>
      <c r="AL39" s="85">
        <f t="shared" si="6"/>
        <v>0.4</v>
      </c>
      <c r="AM39" s="78" t="s">
        <v>675</v>
      </c>
      <c r="AO39" s="88"/>
      <c r="AP39" s="89"/>
      <c r="AQ39" s="90">
        <f t="shared" si="7"/>
        <v>0</v>
      </c>
      <c r="AR39" s="91"/>
    </row>
    <row r="40" spans="1:44" ht="78.75" x14ac:dyDescent="0.25">
      <c r="A40" s="77">
        <v>37</v>
      </c>
      <c r="B40" s="78" t="s">
        <v>6</v>
      </c>
      <c r="C40" s="78" t="s">
        <v>9</v>
      </c>
      <c r="D40" s="78" t="s">
        <v>63</v>
      </c>
      <c r="E40" s="77"/>
      <c r="F40" s="79"/>
      <c r="G40" s="80"/>
      <c r="H40" s="81">
        <f t="shared" si="0"/>
        <v>0</v>
      </c>
      <c r="I40" s="82"/>
      <c r="J40" s="77"/>
      <c r="K40" s="100">
        <v>1</v>
      </c>
      <c r="L40" s="101">
        <v>0.65</v>
      </c>
      <c r="M40" s="85">
        <f t="shared" si="1"/>
        <v>0.65</v>
      </c>
      <c r="N40" s="78" t="s">
        <v>929</v>
      </c>
      <c r="O40" s="77"/>
      <c r="P40" s="79"/>
      <c r="Q40" s="80"/>
      <c r="R40" s="81">
        <f t="shared" si="2"/>
        <v>0</v>
      </c>
      <c r="S40" s="82"/>
      <c r="T40" s="77"/>
      <c r="U40" s="79"/>
      <c r="V40" s="80"/>
      <c r="W40" s="81">
        <f t="shared" si="3"/>
        <v>0</v>
      </c>
      <c r="X40" s="82"/>
      <c r="Y40" s="77"/>
      <c r="Z40" s="79"/>
      <c r="AA40" s="80"/>
      <c r="AB40" s="81">
        <f t="shared" si="4"/>
        <v>0</v>
      </c>
      <c r="AC40" s="82"/>
      <c r="AD40" s="77"/>
      <c r="AE40" s="79"/>
      <c r="AF40" s="80"/>
      <c r="AG40" s="81">
        <f t="shared" si="5"/>
        <v>0</v>
      </c>
      <c r="AH40" s="82"/>
      <c r="AI40" s="77"/>
      <c r="AJ40" s="100">
        <v>1</v>
      </c>
      <c r="AK40" s="101">
        <v>0.99</v>
      </c>
      <c r="AL40" s="85">
        <f t="shared" si="6"/>
        <v>0.99</v>
      </c>
      <c r="AM40" s="78" t="s">
        <v>616</v>
      </c>
      <c r="AO40" s="88"/>
      <c r="AP40" s="89"/>
      <c r="AQ40" s="90">
        <f t="shared" si="7"/>
        <v>0</v>
      </c>
      <c r="AR40" s="91"/>
    </row>
    <row r="41" spans="1:44" ht="204.75" x14ac:dyDescent="0.25">
      <c r="A41" s="77">
        <v>38</v>
      </c>
      <c r="B41" s="78" t="s">
        <v>10</v>
      </c>
      <c r="C41" s="78" t="s">
        <v>11</v>
      </c>
      <c r="D41" s="78" t="s">
        <v>65</v>
      </c>
      <c r="E41" s="77"/>
      <c r="F41" s="79"/>
      <c r="G41" s="80"/>
      <c r="H41" s="81">
        <f t="shared" si="0"/>
        <v>0</v>
      </c>
      <c r="I41" s="82"/>
      <c r="J41" s="77"/>
      <c r="K41" s="100">
        <v>1</v>
      </c>
      <c r="L41" s="101">
        <v>0.93</v>
      </c>
      <c r="M41" s="85">
        <f t="shared" si="1"/>
        <v>0.93</v>
      </c>
      <c r="N41" s="78" t="s">
        <v>1518</v>
      </c>
      <c r="O41" s="77"/>
      <c r="P41" s="79"/>
      <c r="Q41" s="80"/>
      <c r="R41" s="81">
        <f t="shared" si="2"/>
        <v>0</v>
      </c>
      <c r="S41" s="82"/>
      <c r="T41" s="77"/>
      <c r="U41" s="79"/>
      <c r="V41" s="80"/>
      <c r="W41" s="81">
        <f t="shared" si="3"/>
        <v>0</v>
      </c>
      <c r="X41" s="82"/>
      <c r="Y41" s="77"/>
      <c r="Z41" s="79"/>
      <c r="AA41" s="80"/>
      <c r="AB41" s="81">
        <f t="shared" si="4"/>
        <v>0</v>
      </c>
      <c r="AC41" s="82"/>
      <c r="AD41" s="77"/>
      <c r="AE41" s="79"/>
      <c r="AF41" s="80"/>
      <c r="AG41" s="81">
        <f t="shared" si="5"/>
        <v>0</v>
      </c>
      <c r="AH41" s="82"/>
      <c r="AI41" s="77"/>
      <c r="AJ41" s="100">
        <v>1</v>
      </c>
      <c r="AK41" s="101">
        <v>0.7</v>
      </c>
      <c r="AL41" s="85">
        <f t="shared" si="6"/>
        <v>0.7</v>
      </c>
      <c r="AM41" s="78" t="s">
        <v>1519</v>
      </c>
      <c r="AO41" s="88"/>
      <c r="AP41" s="89"/>
      <c r="AQ41" s="90">
        <f t="shared" si="7"/>
        <v>0</v>
      </c>
      <c r="AR41" s="91"/>
    </row>
    <row r="42" spans="1:44" ht="105.75" customHeight="1" x14ac:dyDescent="0.25">
      <c r="A42" s="77">
        <v>39</v>
      </c>
      <c r="B42" s="78" t="s">
        <v>10</v>
      </c>
      <c r="C42" s="78" t="s">
        <v>11</v>
      </c>
      <c r="D42" s="78" t="s">
        <v>66</v>
      </c>
      <c r="E42" s="77"/>
      <c r="F42" s="79"/>
      <c r="G42" s="80"/>
      <c r="H42" s="81">
        <f t="shared" si="0"/>
        <v>0</v>
      </c>
      <c r="I42" s="82"/>
      <c r="J42" s="77"/>
      <c r="K42" s="100">
        <v>1</v>
      </c>
      <c r="L42" s="101">
        <v>1</v>
      </c>
      <c r="M42" s="85">
        <f t="shared" si="1"/>
        <v>1</v>
      </c>
      <c r="N42" s="78" t="s">
        <v>1067</v>
      </c>
      <c r="O42" s="77"/>
      <c r="P42" s="79"/>
      <c r="Q42" s="80"/>
      <c r="R42" s="81">
        <f t="shared" si="2"/>
        <v>0</v>
      </c>
      <c r="S42" s="82"/>
      <c r="T42" s="77"/>
      <c r="U42" s="79"/>
      <c r="V42" s="80"/>
      <c r="W42" s="81">
        <f t="shared" si="3"/>
        <v>0</v>
      </c>
      <c r="X42" s="82"/>
      <c r="Y42" s="77"/>
      <c r="Z42" s="79"/>
      <c r="AA42" s="80"/>
      <c r="AB42" s="81">
        <f t="shared" si="4"/>
        <v>0</v>
      </c>
      <c r="AC42" s="82"/>
      <c r="AD42" s="77"/>
      <c r="AE42" s="79"/>
      <c r="AF42" s="80"/>
      <c r="AG42" s="81">
        <f t="shared" si="5"/>
        <v>0</v>
      </c>
      <c r="AH42" s="82"/>
      <c r="AI42" s="77"/>
      <c r="AJ42" s="100">
        <v>1</v>
      </c>
      <c r="AK42" s="101">
        <v>1</v>
      </c>
      <c r="AL42" s="85">
        <f t="shared" si="6"/>
        <v>1</v>
      </c>
      <c r="AM42" s="78" t="s">
        <v>1071</v>
      </c>
      <c r="AO42" s="88"/>
      <c r="AP42" s="89"/>
      <c r="AQ42" s="90">
        <f t="shared" si="7"/>
        <v>0</v>
      </c>
      <c r="AR42" s="91"/>
    </row>
    <row r="43" spans="1:44" ht="45.75" customHeight="1" x14ac:dyDescent="0.25">
      <c r="A43" s="77">
        <v>40</v>
      </c>
      <c r="B43" s="78" t="s">
        <v>10</v>
      </c>
      <c r="C43" s="78" t="s">
        <v>11</v>
      </c>
      <c r="D43" s="78" t="s">
        <v>67</v>
      </c>
      <c r="E43" s="77"/>
      <c r="F43" s="79"/>
      <c r="G43" s="80"/>
      <c r="H43" s="81">
        <f t="shared" si="0"/>
        <v>0</v>
      </c>
      <c r="I43" s="82"/>
      <c r="J43" s="77"/>
      <c r="K43" s="100">
        <v>1</v>
      </c>
      <c r="L43" s="101">
        <v>1</v>
      </c>
      <c r="M43" s="85">
        <f t="shared" si="1"/>
        <v>1</v>
      </c>
      <c r="N43" s="78" t="s">
        <v>1080</v>
      </c>
      <c r="O43" s="77"/>
      <c r="P43" s="79"/>
      <c r="Q43" s="80"/>
      <c r="R43" s="81">
        <f t="shared" si="2"/>
        <v>0</v>
      </c>
      <c r="S43" s="82"/>
      <c r="T43" s="77"/>
      <c r="U43" s="79"/>
      <c r="V43" s="80"/>
      <c r="W43" s="81">
        <f t="shared" si="3"/>
        <v>0</v>
      </c>
      <c r="X43" s="82"/>
      <c r="Y43" s="77"/>
      <c r="Z43" s="79"/>
      <c r="AA43" s="80"/>
      <c r="AB43" s="81">
        <f t="shared" si="4"/>
        <v>0</v>
      </c>
      <c r="AC43" s="82"/>
      <c r="AD43" s="77"/>
      <c r="AE43" s="79"/>
      <c r="AF43" s="80"/>
      <c r="AG43" s="81">
        <f t="shared" si="5"/>
        <v>0</v>
      </c>
      <c r="AH43" s="82"/>
      <c r="AI43" s="77"/>
      <c r="AJ43" s="100">
        <v>1</v>
      </c>
      <c r="AK43" s="101">
        <v>0.5</v>
      </c>
      <c r="AL43" s="85">
        <f t="shared" si="6"/>
        <v>0.5</v>
      </c>
      <c r="AM43" s="78" t="s">
        <v>1520</v>
      </c>
      <c r="AO43" s="88"/>
      <c r="AP43" s="89"/>
      <c r="AQ43" s="90">
        <f t="shared" si="7"/>
        <v>0</v>
      </c>
      <c r="AR43" s="91"/>
    </row>
    <row r="44" spans="1:44" ht="78.75" x14ac:dyDescent="0.25">
      <c r="A44" s="77">
        <v>41</v>
      </c>
      <c r="B44" s="78" t="s">
        <v>10</v>
      </c>
      <c r="C44" s="78" t="s">
        <v>11</v>
      </c>
      <c r="D44" s="78" t="s">
        <v>68</v>
      </c>
      <c r="E44" s="77"/>
      <c r="F44" s="79"/>
      <c r="G44" s="80"/>
      <c r="H44" s="81">
        <f t="shared" si="0"/>
        <v>0</v>
      </c>
      <c r="I44" s="82"/>
      <c r="J44" s="77"/>
      <c r="K44" s="100">
        <v>1</v>
      </c>
      <c r="L44" s="101">
        <v>1</v>
      </c>
      <c r="M44" s="85">
        <f t="shared" si="1"/>
        <v>1</v>
      </c>
      <c r="N44" s="78" t="s">
        <v>1058</v>
      </c>
      <c r="O44" s="77"/>
      <c r="P44" s="79"/>
      <c r="Q44" s="80"/>
      <c r="R44" s="81">
        <f t="shared" si="2"/>
        <v>0</v>
      </c>
      <c r="S44" s="82"/>
      <c r="T44" s="77"/>
      <c r="U44" s="79"/>
      <c r="V44" s="80"/>
      <c r="W44" s="81">
        <f t="shared" si="3"/>
        <v>0</v>
      </c>
      <c r="X44" s="82"/>
      <c r="Y44" s="77"/>
      <c r="Z44" s="79"/>
      <c r="AA44" s="80"/>
      <c r="AB44" s="81">
        <f t="shared" si="4"/>
        <v>0</v>
      </c>
      <c r="AC44" s="82"/>
      <c r="AD44" s="77"/>
      <c r="AE44" s="79"/>
      <c r="AF44" s="80"/>
      <c r="AG44" s="81">
        <f t="shared" si="5"/>
        <v>0</v>
      </c>
      <c r="AH44" s="82"/>
      <c r="AI44" s="77"/>
      <c r="AJ44" s="100">
        <v>1</v>
      </c>
      <c r="AK44" s="101">
        <v>0.83</v>
      </c>
      <c r="AL44" s="85">
        <f t="shared" si="6"/>
        <v>0.83</v>
      </c>
      <c r="AM44" s="78" t="s">
        <v>1521</v>
      </c>
      <c r="AO44" s="88"/>
      <c r="AP44" s="89"/>
      <c r="AQ44" s="90">
        <f t="shared" si="7"/>
        <v>0</v>
      </c>
      <c r="AR44" s="91"/>
    </row>
    <row r="45" spans="1:44" ht="47.25" x14ac:dyDescent="0.25">
      <c r="A45" s="77">
        <v>42</v>
      </c>
      <c r="B45" s="78" t="s">
        <v>10</v>
      </c>
      <c r="C45" s="78" t="s">
        <v>11</v>
      </c>
      <c r="D45" s="78" t="s">
        <v>69</v>
      </c>
      <c r="E45" s="77"/>
      <c r="F45" s="79"/>
      <c r="G45" s="80"/>
      <c r="H45" s="81">
        <f t="shared" si="0"/>
        <v>0</v>
      </c>
      <c r="I45" s="82"/>
      <c r="J45" s="77"/>
      <c r="K45" s="100">
        <v>1</v>
      </c>
      <c r="L45" s="101">
        <v>1</v>
      </c>
      <c r="M45" s="85">
        <f t="shared" si="1"/>
        <v>1</v>
      </c>
      <c r="N45" s="78" t="s">
        <v>1060</v>
      </c>
      <c r="O45" s="77"/>
      <c r="P45" s="79"/>
      <c r="Q45" s="80"/>
      <c r="R45" s="81">
        <f t="shared" si="2"/>
        <v>0</v>
      </c>
      <c r="S45" s="82"/>
      <c r="T45" s="77"/>
      <c r="U45" s="79"/>
      <c r="V45" s="80"/>
      <c r="W45" s="81">
        <f t="shared" si="3"/>
        <v>0</v>
      </c>
      <c r="X45" s="82"/>
      <c r="Y45" s="77"/>
      <c r="Z45" s="79"/>
      <c r="AA45" s="80"/>
      <c r="AB45" s="81">
        <f t="shared" si="4"/>
        <v>0</v>
      </c>
      <c r="AC45" s="82"/>
      <c r="AD45" s="77"/>
      <c r="AE45" s="79"/>
      <c r="AF45" s="80"/>
      <c r="AG45" s="81">
        <f t="shared" si="5"/>
        <v>0</v>
      </c>
      <c r="AH45" s="82"/>
      <c r="AI45" s="77"/>
      <c r="AJ45" s="100">
        <v>1</v>
      </c>
      <c r="AK45" s="101">
        <v>0.7</v>
      </c>
      <c r="AL45" s="85">
        <f t="shared" si="6"/>
        <v>0.7</v>
      </c>
      <c r="AM45" s="78" t="s">
        <v>1409</v>
      </c>
      <c r="AO45" s="88"/>
      <c r="AP45" s="89"/>
      <c r="AQ45" s="90">
        <f t="shared" si="7"/>
        <v>0</v>
      </c>
      <c r="AR45" s="91"/>
    </row>
    <row r="46" spans="1:44" ht="126" x14ac:dyDescent="0.25">
      <c r="A46" s="77">
        <v>43</v>
      </c>
      <c r="B46" s="78" t="s">
        <v>10</v>
      </c>
      <c r="C46" s="78" t="s">
        <v>11</v>
      </c>
      <c r="D46" s="78" t="s">
        <v>70</v>
      </c>
      <c r="E46" s="77"/>
      <c r="F46" s="79"/>
      <c r="G46" s="80"/>
      <c r="H46" s="81">
        <f t="shared" si="0"/>
        <v>0</v>
      </c>
      <c r="I46" s="82"/>
      <c r="J46" s="77"/>
      <c r="K46" s="100">
        <v>1</v>
      </c>
      <c r="L46" s="101">
        <v>1</v>
      </c>
      <c r="M46" s="85">
        <f t="shared" si="1"/>
        <v>1</v>
      </c>
      <c r="N46" s="78" t="s">
        <v>1081</v>
      </c>
      <c r="O46" s="77"/>
      <c r="P46" s="79"/>
      <c r="Q46" s="80"/>
      <c r="R46" s="81">
        <f t="shared" si="2"/>
        <v>0</v>
      </c>
      <c r="S46" s="82"/>
      <c r="T46" s="77"/>
      <c r="U46" s="79"/>
      <c r="V46" s="80"/>
      <c r="W46" s="81">
        <f t="shared" si="3"/>
        <v>0</v>
      </c>
      <c r="X46" s="82"/>
      <c r="Y46" s="77"/>
      <c r="Z46" s="79"/>
      <c r="AA46" s="80"/>
      <c r="AB46" s="81">
        <f t="shared" si="4"/>
        <v>0</v>
      </c>
      <c r="AC46" s="82"/>
      <c r="AD46" s="77"/>
      <c r="AE46" s="79"/>
      <c r="AF46" s="80"/>
      <c r="AG46" s="81">
        <f t="shared" si="5"/>
        <v>0</v>
      </c>
      <c r="AH46" s="82"/>
      <c r="AI46" s="77"/>
      <c r="AJ46" s="100">
        <v>1</v>
      </c>
      <c r="AK46" s="101">
        <v>0.73</v>
      </c>
      <c r="AL46" s="85">
        <f t="shared" si="6"/>
        <v>0.73</v>
      </c>
      <c r="AM46" s="78" t="s">
        <v>1479</v>
      </c>
      <c r="AO46" s="88"/>
      <c r="AP46" s="89"/>
      <c r="AQ46" s="90">
        <f t="shared" si="7"/>
        <v>0</v>
      </c>
      <c r="AR46" s="91"/>
    </row>
    <row r="47" spans="1:44" ht="47.25" x14ac:dyDescent="0.25">
      <c r="A47" s="77">
        <v>44</v>
      </c>
      <c r="B47" s="78" t="s">
        <v>10</v>
      </c>
      <c r="C47" s="78" t="s">
        <v>11</v>
      </c>
      <c r="D47" s="78" t="s">
        <v>12</v>
      </c>
      <c r="E47" s="77"/>
      <c r="F47" s="79"/>
      <c r="G47" s="80"/>
      <c r="H47" s="81">
        <f t="shared" si="0"/>
        <v>0</v>
      </c>
      <c r="I47" s="82"/>
      <c r="J47" s="77"/>
      <c r="K47" s="100">
        <v>1</v>
      </c>
      <c r="L47" s="101">
        <v>1</v>
      </c>
      <c r="M47" s="85">
        <f t="shared" si="1"/>
        <v>1</v>
      </c>
      <c r="N47" s="78" t="s">
        <v>1062</v>
      </c>
      <c r="O47" s="77"/>
      <c r="P47" s="79"/>
      <c r="Q47" s="80"/>
      <c r="R47" s="81">
        <f t="shared" si="2"/>
        <v>0</v>
      </c>
      <c r="S47" s="82"/>
      <c r="T47" s="77"/>
      <c r="U47" s="79"/>
      <c r="V47" s="80"/>
      <c r="W47" s="81">
        <f t="shared" si="3"/>
        <v>0</v>
      </c>
      <c r="X47" s="82"/>
      <c r="Y47" s="77"/>
      <c r="Z47" s="79"/>
      <c r="AA47" s="80"/>
      <c r="AB47" s="81">
        <f t="shared" si="4"/>
        <v>0</v>
      </c>
      <c r="AC47" s="82"/>
      <c r="AD47" s="77"/>
      <c r="AE47" s="79"/>
      <c r="AF47" s="80"/>
      <c r="AG47" s="81">
        <f t="shared" si="5"/>
        <v>0</v>
      </c>
      <c r="AH47" s="82"/>
      <c r="AI47" s="77"/>
      <c r="AJ47" s="100">
        <v>1</v>
      </c>
      <c r="AK47" s="101">
        <v>0.5</v>
      </c>
      <c r="AL47" s="85">
        <f t="shared" si="6"/>
        <v>0.5</v>
      </c>
      <c r="AM47" s="78" t="s">
        <v>1414</v>
      </c>
      <c r="AO47" s="88"/>
      <c r="AP47" s="89"/>
      <c r="AQ47" s="90">
        <f t="shared" si="7"/>
        <v>0</v>
      </c>
      <c r="AR47" s="91"/>
    </row>
    <row r="48" spans="1:44" ht="94.5" x14ac:dyDescent="0.25">
      <c r="A48" s="77">
        <v>45</v>
      </c>
      <c r="B48" s="78" t="s">
        <v>10</v>
      </c>
      <c r="C48" s="78" t="s">
        <v>71</v>
      </c>
      <c r="D48" s="78" t="s">
        <v>72</v>
      </c>
      <c r="E48" s="77"/>
      <c r="F48" s="79"/>
      <c r="G48" s="80"/>
      <c r="H48" s="81">
        <f t="shared" si="0"/>
        <v>0</v>
      </c>
      <c r="I48" s="82"/>
      <c r="J48" s="77"/>
      <c r="K48" s="100">
        <v>1</v>
      </c>
      <c r="L48" s="101">
        <v>1</v>
      </c>
      <c r="M48" s="85">
        <f t="shared" si="1"/>
        <v>1</v>
      </c>
      <c r="N48" s="78" t="s">
        <v>1082</v>
      </c>
      <c r="O48" s="77"/>
      <c r="P48" s="79"/>
      <c r="Q48" s="80"/>
      <c r="R48" s="81">
        <f t="shared" si="2"/>
        <v>0</v>
      </c>
      <c r="S48" s="82"/>
      <c r="T48" s="77"/>
      <c r="U48" s="79"/>
      <c r="V48" s="80"/>
      <c r="W48" s="81">
        <f t="shared" si="3"/>
        <v>0</v>
      </c>
      <c r="X48" s="82"/>
      <c r="Y48" s="77"/>
      <c r="Z48" s="79"/>
      <c r="AA48" s="80"/>
      <c r="AB48" s="81">
        <f t="shared" si="4"/>
        <v>0</v>
      </c>
      <c r="AC48" s="82"/>
      <c r="AD48" s="77"/>
      <c r="AE48" s="79"/>
      <c r="AF48" s="80"/>
      <c r="AG48" s="81">
        <f t="shared" si="5"/>
        <v>0</v>
      </c>
      <c r="AH48" s="82"/>
      <c r="AI48" s="77"/>
      <c r="AJ48" s="100">
        <v>1</v>
      </c>
      <c r="AK48" s="101">
        <v>0.7</v>
      </c>
      <c r="AL48" s="85">
        <f t="shared" si="6"/>
        <v>0.7</v>
      </c>
      <c r="AM48" s="78" t="s">
        <v>1522</v>
      </c>
      <c r="AO48" s="88"/>
      <c r="AP48" s="89"/>
      <c r="AQ48" s="90">
        <f t="shared" si="7"/>
        <v>0</v>
      </c>
      <c r="AR48" s="91"/>
    </row>
    <row r="49" spans="1:44" ht="31.5" x14ac:dyDescent="0.25">
      <c r="A49" s="77">
        <v>46</v>
      </c>
      <c r="B49" s="78" t="s">
        <v>10</v>
      </c>
      <c r="C49" s="78" t="s">
        <v>11</v>
      </c>
      <c r="D49" s="78" t="s">
        <v>13</v>
      </c>
      <c r="E49" s="77"/>
      <c r="F49" s="79"/>
      <c r="G49" s="80"/>
      <c r="H49" s="81">
        <f t="shared" si="0"/>
        <v>0</v>
      </c>
      <c r="I49" s="82"/>
      <c r="J49" s="77"/>
      <c r="K49" s="100">
        <v>1</v>
      </c>
      <c r="L49" s="101">
        <v>1</v>
      </c>
      <c r="M49" s="85">
        <f t="shared" si="1"/>
        <v>1</v>
      </c>
      <c r="N49" s="78" t="s">
        <v>1060</v>
      </c>
      <c r="O49" s="77"/>
      <c r="P49" s="79"/>
      <c r="Q49" s="80"/>
      <c r="R49" s="81">
        <f t="shared" si="2"/>
        <v>0</v>
      </c>
      <c r="S49" s="82"/>
      <c r="T49" s="77"/>
      <c r="U49" s="79"/>
      <c r="V49" s="80"/>
      <c r="W49" s="81">
        <f t="shared" si="3"/>
        <v>0</v>
      </c>
      <c r="X49" s="82"/>
      <c r="Y49" s="77"/>
      <c r="Z49" s="79"/>
      <c r="AA49" s="80"/>
      <c r="AB49" s="81">
        <f t="shared" si="4"/>
        <v>0</v>
      </c>
      <c r="AC49" s="82"/>
      <c r="AD49" s="77"/>
      <c r="AE49" s="79"/>
      <c r="AF49" s="80"/>
      <c r="AG49" s="81">
        <f t="shared" si="5"/>
        <v>0</v>
      </c>
      <c r="AH49" s="82"/>
      <c r="AI49" s="77"/>
      <c r="AJ49" s="100">
        <v>1</v>
      </c>
      <c r="AK49" s="101">
        <v>1</v>
      </c>
      <c r="AL49" s="85">
        <f t="shared" si="6"/>
        <v>1</v>
      </c>
      <c r="AM49" s="78" t="s">
        <v>1072</v>
      </c>
      <c r="AO49" s="88"/>
      <c r="AP49" s="89"/>
      <c r="AQ49" s="90">
        <f t="shared" si="7"/>
        <v>0</v>
      </c>
      <c r="AR49" s="91"/>
    </row>
    <row r="50" spans="1:44" ht="252" x14ac:dyDescent="0.25">
      <c r="A50" s="77">
        <v>47</v>
      </c>
      <c r="B50" s="78" t="s">
        <v>14</v>
      </c>
      <c r="C50" s="78" t="s">
        <v>14</v>
      </c>
      <c r="D50" s="78" t="s">
        <v>15</v>
      </c>
      <c r="E50" s="77"/>
      <c r="F50" s="79"/>
      <c r="G50" s="80"/>
      <c r="H50" s="81">
        <f t="shared" si="0"/>
        <v>0</v>
      </c>
      <c r="I50" s="82"/>
      <c r="J50" s="77"/>
      <c r="K50" s="100">
        <v>1</v>
      </c>
      <c r="L50" s="101">
        <v>0.55000000000000004</v>
      </c>
      <c r="M50" s="85">
        <f t="shared" si="1"/>
        <v>0.55000000000000004</v>
      </c>
      <c r="N50" s="78" t="s">
        <v>1295</v>
      </c>
      <c r="O50" s="77"/>
      <c r="P50" s="79"/>
      <c r="Q50" s="80"/>
      <c r="R50" s="81">
        <f t="shared" si="2"/>
        <v>0</v>
      </c>
      <c r="S50" s="82"/>
      <c r="T50" s="77"/>
      <c r="U50" s="79"/>
      <c r="V50" s="80"/>
      <c r="W50" s="81">
        <f t="shared" si="3"/>
        <v>0</v>
      </c>
      <c r="X50" s="82"/>
      <c r="Y50" s="77"/>
      <c r="Z50" s="79"/>
      <c r="AA50" s="80"/>
      <c r="AB50" s="81">
        <f t="shared" si="4"/>
        <v>0</v>
      </c>
      <c r="AC50" s="82"/>
      <c r="AD50" s="77"/>
      <c r="AE50" s="79"/>
      <c r="AF50" s="80"/>
      <c r="AG50" s="81">
        <f t="shared" si="5"/>
        <v>0</v>
      </c>
      <c r="AH50" s="82"/>
      <c r="AI50" s="77"/>
      <c r="AJ50" s="100">
        <v>1</v>
      </c>
      <c r="AK50" s="101">
        <v>0.35</v>
      </c>
      <c r="AL50" s="85">
        <f t="shared" si="6"/>
        <v>0.35</v>
      </c>
      <c r="AM50" s="78" t="s">
        <v>1127</v>
      </c>
      <c r="AO50" s="88"/>
      <c r="AP50" s="89"/>
      <c r="AQ50" s="90">
        <f t="shared" si="7"/>
        <v>0</v>
      </c>
      <c r="AR50" s="91"/>
    </row>
    <row r="51" spans="1:44" ht="229.5" customHeight="1" x14ac:dyDescent="0.25">
      <c r="A51" s="77">
        <v>48</v>
      </c>
      <c r="B51" s="78" t="s">
        <v>14</v>
      </c>
      <c r="C51" s="78" t="s">
        <v>14</v>
      </c>
      <c r="D51" s="78" t="s">
        <v>73</v>
      </c>
      <c r="E51" s="77"/>
      <c r="F51" s="79"/>
      <c r="G51" s="80"/>
      <c r="H51" s="81">
        <f t="shared" si="0"/>
        <v>0</v>
      </c>
      <c r="I51" s="82"/>
      <c r="J51" s="77"/>
      <c r="K51" s="100">
        <v>1</v>
      </c>
      <c r="L51" s="101">
        <v>0.65</v>
      </c>
      <c r="M51" s="85">
        <f t="shared" si="1"/>
        <v>0.65</v>
      </c>
      <c r="N51" s="78" t="s">
        <v>1158</v>
      </c>
      <c r="O51" s="77"/>
      <c r="P51" s="79"/>
      <c r="Q51" s="80"/>
      <c r="R51" s="81">
        <f t="shared" si="2"/>
        <v>0</v>
      </c>
      <c r="S51" s="82"/>
      <c r="T51" s="77"/>
      <c r="U51" s="79"/>
      <c r="V51" s="80"/>
      <c r="W51" s="81">
        <f t="shared" si="3"/>
        <v>0</v>
      </c>
      <c r="X51" s="82"/>
      <c r="Y51" s="77"/>
      <c r="Z51" s="79"/>
      <c r="AA51" s="80"/>
      <c r="AB51" s="81">
        <f t="shared" si="4"/>
        <v>0</v>
      </c>
      <c r="AC51" s="82"/>
      <c r="AD51" s="77"/>
      <c r="AE51" s="79"/>
      <c r="AF51" s="80"/>
      <c r="AG51" s="81">
        <f t="shared" si="5"/>
        <v>0</v>
      </c>
      <c r="AH51" s="82"/>
      <c r="AI51" s="77"/>
      <c r="AJ51" s="100">
        <v>1</v>
      </c>
      <c r="AK51" s="101">
        <v>0.15</v>
      </c>
      <c r="AL51" s="85">
        <f t="shared" si="6"/>
        <v>0.15</v>
      </c>
      <c r="AM51" s="78" t="s">
        <v>1160</v>
      </c>
      <c r="AO51" s="88"/>
      <c r="AP51" s="89"/>
      <c r="AQ51" s="90">
        <f t="shared" si="7"/>
        <v>0</v>
      </c>
      <c r="AR51" s="91"/>
    </row>
    <row r="52" spans="1:44" ht="213" customHeight="1" x14ac:dyDescent="0.25">
      <c r="A52" s="77">
        <v>49</v>
      </c>
      <c r="B52" s="78" t="s">
        <v>14</v>
      </c>
      <c r="C52" s="78" t="s">
        <v>14</v>
      </c>
      <c r="D52" s="78" t="s">
        <v>74</v>
      </c>
      <c r="E52" s="77"/>
      <c r="F52" s="79"/>
      <c r="G52" s="80"/>
      <c r="H52" s="81">
        <f t="shared" si="0"/>
        <v>0</v>
      </c>
      <c r="I52" s="82"/>
      <c r="J52" s="77"/>
      <c r="K52" s="100">
        <v>1</v>
      </c>
      <c r="L52" s="101">
        <v>0.5</v>
      </c>
      <c r="M52" s="85">
        <f t="shared" si="1"/>
        <v>0.5</v>
      </c>
      <c r="N52" s="78" t="s">
        <v>1159</v>
      </c>
      <c r="O52" s="77"/>
      <c r="P52" s="79"/>
      <c r="Q52" s="80"/>
      <c r="R52" s="81">
        <f t="shared" si="2"/>
        <v>0</v>
      </c>
      <c r="S52" s="82"/>
      <c r="T52" s="77"/>
      <c r="U52" s="79"/>
      <c r="V52" s="80"/>
      <c r="W52" s="81">
        <f t="shared" si="3"/>
        <v>0</v>
      </c>
      <c r="X52" s="82"/>
      <c r="Y52" s="77"/>
      <c r="Z52" s="79"/>
      <c r="AA52" s="80"/>
      <c r="AB52" s="81">
        <f t="shared" si="4"/>
        <v>0</v>
      </c>
      <c r="AC52" s="82"/>
      <c r="AD52" s="77"/>
      <c r="AE52" s="79"/>
      <c r="AF52" s="80"/>
      <c r="AG52" s="81">
        <f t="shared" si="5"/>
        <v>0</v>
      </c>
      <c r="AH52" s="82"/>
      <c r="AI52" s="77"/>
      <c r="AJ52" s="100">
        <v>1</v>
      </c>
      <c r="AK52" s="101">
        <v>0.15</v>
      </c>
      <c r="AL52" s="85">
        <f t="shared" si="6"/>
        <v>0.15</v>
      </c>
      <c r="AM52" s="78" t="s">
        <v>1399</v>
      </c>
      <c r="AO52" s="88"/>
      <c r="AP52" s="89"/>
      <c r="AQ52" s="90">
        <f t="shared" si="7"/>
        <v>0</v>
      </c>
      <c r="AR52" s="91"/>
    </row>
    <row r="53" spans="1:44" ht="138" customHeight="1" x14ac:dyDescent="0.25">
      <c r="A53" s="77">
        <v>50</v>
      </c>
      <c r="B53" s="78" t="s">
        <v>14</v>
      </c>
      <c r="C53" s="78" t="s">
        <v>14</v>
      </c>
      <c r="D53" s="78" t="s">
        <v>75</v>
      </c>
      <c r="E53" s="77"/>
      <c r="F53" s="79"/>
      <c r="G53" s="80"/>
      <c r="H53" s="81">
        <f t="shared" si="0"/>
        <v>0</v>
      </c>
      <c r="I53" s="82"/>
      <c r="J53" s="77"/>
      <c r="K53" s="100">
        <v>1</v>
      </c>
      <c r="L53" s="101">
        <v>0.7</v>
      </c>
      <c r="M53" s="85">
        <f t="shared" si="1"/>
        <v>0.7</v>
      </c>
      <c r="N53" s="78" t="s">
        <v>1086</v>
      </c>
      <c r="O53" s="77"/>
      <c r="P53" s="79"/>
      <c r="Q53" s="80"/>
      <c r="R53" s="81">
        <f t="shared" si="2"/>
        <v>0</v>
      </c>
      <c r="S53" s="82"/>
      <c r="T53" s="77"/>
      <c r="U53" s="79"/>
      <c r="V53" s="80"/>
      <c r="W53" s="81">
        <f t="shared" si="3"/>
        <v>0</v>
      </c>
      <c r="X53" s="82"/>
      <c r="Y53" s="77"/>
      <c r="Z53" s="79"/>
      <c r="AA53" s="80"/>
      <c r="AB53" s="81">
        <f t="shared" si="4"/>
        <v>0</v>
      </c>
      <c r="AC53" s="82"/>
      <c r="AD53" s="77"/>
      <c r="AE53" s="79"/>
      <c r="AF53" s="80"/>
      <c r="AG53" s="81">
        <f t="shared" si="5"/>
        <v>0</v>
      </c>
      <c r="AH53" s="82"/>
      <c r="AI53" s="77"/>
      <c r="AJ53" s="100">
        <v>1</v>
      </c>
      <c r="AK53" s="101">
        <v>0.55000000000000004</v>
      </c>
      <c r="AL53" s="85">
        <f t="shared" si="6"/>
        <v>0.55000000000000004</v>
      </c>
      <c r="AM53" s="78" t="s">
        <v>1128</v>
      </c>
      <c r="AO53" s="88"/>
      <c r="AP53" s="89"/>
      <c r="AQ53" s="90">
        <f t="shared" si="7"/>
        <v>0</v>
      </c>
      <c r="AR53" s="91"/>
    </row>
    <row r="54" spans="1:44" ht="109.5" customHeight="1" x14ac:dyDescent="0.25">
      <c r="A54" s="77">
        <v>51</v>
      </c>
      <c r="B54" s="78" t="s">
        <v>14</v>
      </c>
      <c r="C54" s="78" t="s">
        <v>14</v>
      </c>
      <c r="D54" s="78" t="s">
        <v>76</v>
      </c>
      <c r="E54" s="77"/>
      <c r="F54" s="79"/>
      <c r="G54" s="80"/>
      <c r="H54" s="81">
        <f t="shared" si="0"/>
        <v>0</v>
      </c>
      <c r="I54" s="82"/>
      <c r="J54" s="77"/>
      <c r="K54" s="100">
        <v>1</v>
      </c>
      <c r="L54" s="101">
        <v>1</v>
      </c>
      <c r="M54" s="85">
        <f t="shared" si="1"/>
        <v>1</v>
      </c>
      <c r="N54" s="78" t="s">
        <v>1087</v>
      </c>
      <c r="O54" s="77"/>
      <c r="P54" s="79"/>
      <c r="Q54" s="80"/>
      <c r="R54" s="81">
        <f t="shared" si="2"/>
        <v>0</v>
      </c>
      <c r="S54" s="82"/>
      <c r="T54" s="77"/>
      <c r="U54" s="79"/>
      <c r="V54" s="80"/>
      <c r="W54" s="81">
        <f t="shared" si="3"/>
        <v>0</v>
      </c>
      <c r="X54" s="82"/>
      <c r="Y54" s="77"/>
      <c r="Z54" s="79"/>
      <c r="AA54" s="80"/>
      <c r="AB54" s="81">
        <f t="shared" si="4"/>
        <v>0</v>
      </c>
      <c r="AC54" s="82"/>
      <c r="AD54" s="77"/>
      <c r="AE54" s="79"/>
      <c r="AF54" s="80"/>
      <c r="AG54" s="81">
        <f t="shared" si="5"/>
        <v>0</v>
      </c>
      <c r="AH54" s="82"/>
      <c r="AI54" s="77"/>
      <c r="AJ54" s="100">
        <v>1</v>
      </c>
      <c r="AK54" s="101">
        <v>0.5</v>
      </c>
      <c r="AL54" s="85">
        <f t="shared" si="6"/>
        <v>0.5</v>
      </c>
      <c r="AM54" s="78" t="s">
        <v>1161</v>
      </c>
      <c r="AO54" s="88"/>
      <c r="AP54" s="89"/>
      <c r="AQ54" s="90">
        <f t="shared" si="7"/>
        <v>0</v>
      </c>
      <c r="AR54" s="91"/>
    </row>
    <row r="55" spans="1:44" ht="267.75" x14ac:dyDescent="0.25">
      <c r="A55" s="77">
        <v>52</v>
      </c>
      <c r="B55" s="78" t="s">
        <v>14</v>
      </c>
      <c r="C55" s="78" t="s">
        <v>14</v>
      </c>
      <c r="D55" s="78" t="s">
        <v>77</v>
      </c>
      <c r="E55" s="77"/>
      <c r="F55" s="79"/>
      <c r="G55" s="80"/>
      <c r="H55" s="81">
        <f t="shared" si="0"/>
        <v>0</v>
      </c>
      <c r="I55" s="82"/>
      <c r="J55" s="77"/>
      <c r="K55" s="100">
        <v>1</v>
      </c>
      <c r="L55" s="101">
        <v>1</v>
      </c>
      <c r="M55" s="85">
        <f t="shared" si="1"/>
        <v>1</v>
      </c>
      <c r="N55" s="78" t="s">
        <v>1087</v>
      </c>
      <c r="O55" s="77"/>
      <c r="P55" s="79"/>
      <c r="Q55" s="80"/>
      <c r="R55" s="81">
        <f t="shared" si="2"/>
        <v>0</v>
      </c>
      <c r="S55" s="82"/>
      <c r="T55" s="77"/>
      <c r="U55" s="79"/>
      <c r="V55" s="80"/>
      <c r="W55" s="81">
        <f t="shared" si="3"/>
        <v>0</v>
      </c>
      <c r="X55" s="82"/>
      <c r="Y55" s="77"/>
      <c r="Z55" s="79"/>
      <c r="AA55" s="80"/>
      <c r="AB55" s="81">
        <f t="shared" si="4"/>
        <v>0</v>
      </c>
      <c r="AC55" s="82"/>
      <c r="AD55" s="77"/>
      <c r="AE55" s="79"/>
      <c r="AF55" s="80"/>
      <c r="AG55" s="81">
        <f t="shared" si="5"/>
        <v>0</v>
      </c>
      <c r="AH55" s="82"/>
      <c r="AI55" s="77"/>
      <c r="AJ55" s="100">
        <v>1</v>
      </c>
      <c r="AK55" s="101">
        <v>0.1</v>
      </c>
      <c r="AL55" s="85">
        <f t="shared" si="6"/>
        <v>0.1</v>
      </c>
      <c r="AM55" s="78" t="s">
        <v>1162</v>
      </c>
      <c r="AO55" s="88"/>
      <c r="AP55" s="89"/>
      <c r="AQ55" s="90">
        <f t="shared" si="7"/>
        <v>0</v>
      </c>
      <c r="AR55" s="91"/>
    </row>
    <row r="56" spans="1:44" ht="79.5" customHeight="1" x14ac:dyDescent="0.25">
      <c r="A56" s="77">
        <v>53</v>
      </c>
      <c r="B56" s="78" t="s">
        <v>14</v>
      </c>
      <c r="C56" s="78" t="s">
        <v>14</v>
      </c>
      <c r="D56" s="78" t="s">
        <v>78</v>
      </c>
      <c r="E56" s="77"/>
      <c r="F56" s="79">
        <v>1</v>
      </c>
      <c r="G56" s="80"/>
      <c r="H56" s="81">
        <f t="shared" si="0"/>
        <v>0</v>
      </c>
      <c r="I56" s="82"/>
      <c r="J56" s="77"/>
      <c r="K56" s="100">
        <v>1</v>
      </c>
      <c r="L56" s="101">
        <v>1</v>
      </c>
      <c r="M56" s="85">
        <f t="shared" si="1"/>
        <v>1</v>
      </c>
      <c r="N56" s="78" t="s">
        <v>1087</v>
      </c>
      <c r="O56" s="77"/>
      <c r="P56" s="79"/>
      <c r="Q56" s="80"/>
      <c r="R56" s="81">
        <f t="shared" si="2"/>
        <v>0</v>
      </c>
      <c r="S56" s="77"/>
      <c r="T56" s="77"/>
      <c r="U56" s="79"/>
      <c r="V56" s="80"/>
      <c r="W56" s="81">
        <f t="shared" si="3"/>
        <v>0</v>
      </c>
      <c r="X56" s="77"/>
      <c r="Y56" s="77"/>
      <c r="Z56" s="79"/>
      <c r="AA56" s="80"/>
      <c r="AB56" s="81">
        <f t="shared" si="4"/>
        <v>0</v>
      </c>
      <c r="AC56" s="77"/>
      <c r="AD56" s="77"/>
      <c r="AE56" s="79"/>
      <c r="AF56" s="80"/>
      <c r="AG56" s="81">
        <f t="shared" si="5"/>
        <v>0</v>
      </c>
      <c r="AH56" s="77"/>
      <c r="AI56" s="77"/>
      <c r="AJ56" s="100">
        <v>1</v>
      </c>
      <c r="AK56" s="101">
        <v>1</v>
      </c>
      <c r="AL56" s="85">
        <f t="shared" si="6"/>
        <v>1</v>
      </c>
      <c r="AM56" s="78" t="s">
        <v>1087</v>
      </c>
      <c r="AO56" s="88"/>
      <c r="AP56" s="89"/>
      <c r="AQ56" s="90">
        <f t="shared" si="7"/>
        <v>0</v>
      </c>
      <c r="AR56" s="108"/>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AK4:AK15" xr:uid="{49D4C033-DEA5-4515-94AC-1CC63CF7C0FE}">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7E9B08EB-6D5D-476B-B722-012266626110}">
          <x14:formula1>
            <xm:f>'C:\Users\michele.cerqueira\AppData\Local\Microsoft\Windows\INetCache\Content.Outlook\CUTOBPMD\[ESTUDOS DE MERCADO - AVALIAÇÕES FINAIS.xlsx]Parâmetros'!#REF!</xm:f>
          </x14:formula1>
          <xm:sqref>K4:K15 AJ4:AJ15</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R56"/>
  <sheetViews>
    <sheetView zoomScale="70" zoomScaleNormal="70" workbookViewId="0">
      <pane xSplit="4" ySplit="3" topLeftCell="E9" activePane="bottomRight" state="frozen"/>
      <selection pane="topRight" activeCell="E1" sqref="E1"/>
      <selection pane="bottomLeft" activeCell="A4" sqref="A4"/>
      <selection pane="bottomRight" activeCell="N11" sqref="N11"/>
    </sheetView>
  </sheetViews>
  <sheetFormatPr defaultRowHeight="15" x14ac:dyDescent="0.25"/>
  <cols>
    <col min="1" max="1" width="4.85546875" style="73" customWidth="1"/>
    <col min="2" max="2" width="16.5703125" style="74" bestFit="1" customWidth="1"/>
    <col min="3" max="3" width="20.7109375" style="74" customWidth="1"/>
    <col min="4" max="4" width="51.5703125" style="74" customWidth="1"/>
    <col min="5" max="5" width="2.42578125" style="74" customWidth="1"/>
    <col min="6" max="6" width="20.140625" style="74" hidden="1" customWidth="1"/>
    <col min="7" max="7" width="14.28515625" style="74" hidden="1" customWidth="1"/>
    <col min="8" max="8" width="0" style="74" hidden="1" customWidth="1"/>
    <col min="9" max="9" width="52.85546875" style="110" hidden="1" customWidth="1"/>
    <col min="10" max="10" width="1.85546875" style="74" hidden="1" customWidth="1"/>
    <col min="11" max="11" width="20.140625" style="75" bestFit="1" customWidth="1"/>
    <col min="12" max="12" width="14.28515625" style="75" bestFit="1" customWidth="1"/>
    <col min="13" max="13" width="9.140625" style="75"/>
    <col min="14" max="14" width="115.140625" style="74" customWidth="1"/>
    <col min="15" max="15" width="2.28515625" style="74" customWidth="1"/>
    <col min="16" max="35" width="2.28515625" style="74" hidden="1" customWidth="1"/>
    <col min="36" max="36" width="15.140625" style="75" customWidth="1"/>
    <col min="37" max="37" width="12.28515625" style="75" customWidth="1"/>
    <col min="38" max="38" width="9.5703125" style="75" customWidth="1"/>
    <col min="39" max="39" width="112.28515625" style="74" customWidth="1"/>
    <col min="40" max="40" width="0" style="74" hidden="1" customWidth="1"/>
    <col min="41" max="41" width="15.42578125" style="74" hidden="1" customWidth="1"/>
    <col min="42" max="43" width="0" style="74" hidden="1" customWidth="1"/>
    <col min="44" max="44" width="66" style="74" hidden="1" customWidth="1"/>
    <col min="45" max="46" width="0" style="74" hidden="1" customWidth="1"/>
    <col min="47" max="16384" width="9.140625" style="74"/>
  </cols>
  <sheetData>
    <row r="1" spans="1:44" x14ac:dyDescent="0.25">
      <c r="I1" s="74"/>
    </row>
    <row r="2" spans="1:44" ht="39.75" customHeight="1" x14ac:dyDescent="0.25">
      <c r="B2" s="233" t="s">
        <v>16</v>
      </c>
      <c r="C2" s="233"/>
      <c r="D2" s="233"/>
      <c r="F2" s="232" t="s">
        <v>121</v>
      </c>
      <c r="G2" s="232"/>
      <c r="H2" s="232"/>
      <c r="I2" s="232"/>
      <c r="K2" s="234" t="s">
        <v>119</v>
      </c>
      <c r="L2" s="235"/>
      <c r="M2" s="235"/>
      <c r="N2" s="236"/>
      <c r="P2" s="232" t="s">
        <v>120</v>
      </c>
      <c r="Q2" s="232"/>
      <c r="R2" s="232"/>
      <c r="S2" s="232"/>
      <c r="U2" s="232" t="s">
        <v>122</v>
      </c>
      <c r="V2" s="232"/>
      <c r="W2" s="232"/>
      <c r="X2" s="232"/>
      <c r="Z2" s="232" t="s">
        <v>123</v>
      </c>
      <c r="AA2" s="232"/>
      <c r="AB2" s="232"/>
      <c r="AC2" s="232"/>
      <c r="AE2" s="232" t="s">
        <v>124</v>
      </c>
      <c r="AF2" s="232"/>
      <c r="AG2" s="232"/>
      <c r="AH2" s="232"/>
      <c r="AJ2" s="233" t="s">
        <v>125</v>
      </c>
      <c r="AK2" s="233"/>
      <c r="AL2" s="233"/>
      <c r="AM2" s="233"/>
      <c r="AO2" s="232" t="s">
        <v>126</v>
      </c>
      <c r="AP2" s="232"/>
      <c r="AQ2" s="232"/>
      <c r="AR2" s="232"/>
    </row>
    <row r="3" spans="1:44" ht="65.25" customHeight="1" x14ac:dyDescent="0.25">
      <c r="B3" s="66" t="s">
        <v>0</v>
      </c>
      <c r="C3" s="66" t="s">
        <v>1</v>
      </c>
      <c r="D3" s="66" t="s">
        <v>2</v>
      </c>
      <c r="F3" s="67" t="s">
        <v>17</v>
      </c>
      <c r="G3" s="67" t="s">
        <v>18</v>
      </c>
      <c r="H3" s="67" t="s">
        <v>21</v>
      </c>
      <c r="I3" s="67" t="s">
        <v>19</v>
      </c>
      <c r="K3" s="70" t="s">
        <v>17</v>
      </c>
      <c r="L3" s="70" t="s">
        <v>18</v>
      </c>
      <c r="M3" s="70" t="s">
        <v>21</v>
      </c>
      <c r="N3" s="67" t="s">
        <v>19</v>
      </c>
      <c r="P3" s="67" t="s">
        <v>17</v>
      </c>
      <c r="Q3" s="67" t="s">
        <v>18</v>
      </c>
      <c r="R3" s="67" t="s">
        <v>21</v>
      </c>
      <c r="S3" s="67" t="s">
        <v>19</v>
      </c>
      <c r="U3" s="67" t="s">
        <v>17</v>
      </c>
      <c r="V3" s="67" t="s">
        <v>18</v>
      </c>
      <c r="W3" s="67" t="s">
        <v>21</v>
      </c>
      <c r="X3" s="67" t="s">
        <v>19</v>
      </c>
      <c r="Z3" s="67" t="s">
        <v>17</v>
      </c>
      <c r="AA3" s="67" t="s">
        <v>18</v>
      </c>
      <c r="AB3" s="67" t="s">
        <v>21</v>
      </c>
      <c r="AC3" s="67" t="s">
        <v>19</v>
      </c>
      <c r="AE3" s="67" t="s">
        <v>17</v>
      </c>
      <c r="AF3" s="67" t="s">
        <v>18</v>
      </c>
      <c r="AG3" s="67" t="s">
        <v>21</v>
      </c>
      <c r="AH3" s="67" t="s">
        <v>19</v>
      </c>
      <c r="AJ3" s="70" t="s">
        <v>17</v>
      </c>
      <c r="AK3" s="70" t="s">
        <v>18</v>
      </c>
      <c r="AL3" s="70" t="s">
        <v>21</v>
      </c>
      <c r="AM3" s="67" t="s">
        <v>19</v>
      </c>
      <c r="AO3" s="2" t="s">
        <v>17</v>
      </c>
      <c r="AP3" s="2" t="s">
        <v>18</v>
      </c>
      <c r="AQ3" s="2" t="s">
        <v>21</v>
      </c>
      <c r="AR3" s="2" t="s">
        <v>19</v>
      </c>
    </row>
    <row r="4" spans="1:44" ht="173.25" x14ac:dyDescent="0.25">
      <c r="A4" s="77">
        <v>1</v>
      </c>
      <c r="B4" s="78" t="s">
        <v>3</v>
      </c>
      <c r="C4" s="78" t="s">
        <v>4</v>
      </c>
      <c r="D4" s="78" t="s">
        <v>127</v>
      </c>
      <c r="E4" s="77"/>
      <c r="F4" s="79"/>
      <c r="G4" s="80"/>
      <c r="H4" s="81">
        <f>F4*G4</f>
        <v>0</v>
      </c>
      <c r="I4" s="82"/>
      <c r="J4" s="77"/>
      <c r="K4" s="83">
        <v>1</v>
      </c>
      <c r="L4" s="84">
        <v>0.99</v>
      </c>
      <c r="M4" s="85">
        <f>K4*L4</f>
        <v>0.99</v>
      </c>
      <c r="N4" s="86" t="s">
        <v>1197</v>
      </c>
      <c r="O4" s="77"/>
      <c r="P4" s="79"/>
      <c r="Q4" s="80"/>
      <c r="R4" s="81">
        <f>P4*Q4</f>
        <v>0</v>
      </c>
      <c r="S4" s="82"/>
      <c r="T4" s="77"/>
      <c r="U4" s="79"/>
      <c r="V4" s="80"/>
      <c r="W4" s="81">
        <f>U4*V4</f>
        <v>0</v>
      </c>
      <c r="X4" s="82"/>
      <c r="Y4" s="77"/>
      <c r="Z4" s="79"/>
      <c r="AA4" s="80"/>
      <c r="AB4" s="81">
        <f>Z4*AA4</f>
        <v>0</v>
      </c>
      <c r="AC4" s="82"/>
      <c r="AD4" s="77"/>
      <c r="AE4" s="79"/>
      <c r="AF4" s="80"/>
      <c r="AG4" s="81">
        <f>AE4*AF4</f>
        <v>0</v>
      </c>
      <c r="AH4" s="82"/>
      <c r="AI4" s="77"/>
      <c r="AJ4" s="83">
        <v>1</v>
      </c>
      <c r="AK4" s="84">
        <v>0.4</v>
      </c>
      <c r="AL4" s="85">
        <f>AJ4*AK4</f>
        <v>0.4</v>
      </c>
      <c r="AM4" s="87" t="s">
        <v>1443</v>
      </c>
      <c r="AO4" s="88"/>
      <c r="AP4" s="89"/>
      <c r="AQ4" s="90">
        <f>AO4*AP4</f>
        <v>0</v>
      </c>
      <c r="AR4" s="91"/>
    </row>
    <row r="5" spans="1:44" ht="78.75" x14ac:dyDescent="0.25">
      <c r="A5" s="77">
        <v>2</v>
      </c>
      <c r="B5" s="78" t="s">
        <v>3</v>
      </c>
      <c r="C5" s="78" t="s">
        <v>4</v>
      </c>
      <c r="D5" s="78" t="s">
        <v>33</v>
      </c>
      <c r="E5" s="77"/>
      <c r="F5" s="79"/>
      <c r="G5" s="80"/>
      <c r="H5" s="81">
        <f t="shared" ref="H5:H56" si="0">F5*G5</f>
        <v>0</v>
      </c>
      <c r="I5" s="82"/>
      <c r="J5" s="77"/>
      <c r="K5" s="92">
        <v>1</v>
      </c>
      <c r="L5" s="93">
        <v>0.95</v>
      </c>
      <c r="M5" s="85">
        <f t="shared" ref="M5:M56" si="1">K5*L5</f>
        <v>0.95</v>
      </c>
      <c r="N5" s="94" t="s">
        <v>1179</v>
      </c>
      <c r="O5" s="77"/>
      <c r="P5" s="79"/>
      <c r="Q5" s="80"/>
      <c r="R5" s="81">
        <f t="shared" ref="R5:R56" si="2">P5*Q5</f>
        <v>0</v>
      </c>
      <c r="S5" s="82"/>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92">
        <v>1</v>
      </c>
      <c r="AK5" s="93">
        <v>0.6</v>
      </c>
      <c r="AL5" s="85">
        <f t="shared" ref="AL5:AL56" si="6">AJ5*AK5</f>
        <v>0.6</v>
      </c>
      <c r="AM5" s="95" t="s">
        <v>1420</v>
      </c>
      <c r="AO5" s="88"/>
      <c r="AP5" s="89"/>
      <c r="AQ5" s="90">
        <f t="shared" ref="AQ5:AQ56" si="7">AO5*AP5</f>
        <v>0</v>
      </c>
      <c r="AR5" s="91"/>
    </row>
    <row r="6" spans="1:44" ht="78.75" x14ac:dyDescent="0.25">
      <c r="A6" s="77">
        <v>3</v>
      </c>
      <c r="B6" s="78" t="s">
        <v>3</v>
      </c>
      <c r="C6" s="78" t="s">
        <v>4</v>
      </c>
      <c r="D6" s="78" t="s">
        <v>128</v>
      </c>
      <c r="E6" s="77"/>
      <c r="F6" s="79"/>
      <c r="G6" s="80"/>
      <c r="H6" s="81">
        <f t="shared" si="0"/>
        <v>0</v>
      </c>
      <c r="I6" s="82"/>
      <c r="J6" s="77"/>
      <c r="K6" s="83">
        <v>1</v>
      </c>
      <c r="L6" s="84">
        <v>1</v>
      </c>
      <c r="M6" s="85">
        <f t="shared" si="1"/>
        <v>1</v>
      </c>
      <c r="N6" s="86"/>
      <c r="O6" s="77"/>
      <c r="P6" s="79"/>
      <c r="Q6" s="80"/>
      <c r="R6" s="81">
        <f t="shared" si="2"/>
        <v>0</v>
      </c>
      <c r="S6" s="82"/>
      <c r="T6" s="77"/>
      <c r="U6" s="79"/>
      <c r="V6" s="80"/>
      <c r="W6" s="81">
        <f t="shared" si="3"/>
        <v>0</v>
      </c>
      <c r="X6" s="82"/>
      <c r="Y6" s="77"/>
      <c r="Z6" s="79"/>
      <c r="AA6" s="80"/>
      <c r="AB6" s="81">
        <f t="shared" si="4"/>
        <v>0</v>
      </c>
      <c r="AC6" s="82"/>
      <c r="AD6" s="77"/>
      <c r="AE6" s="79"/>
      <c r="AF6" s="80"/>
      <c r="AG6" s="81">
        <f t="shared" si="5"/>
        <v>0</v>
      </c>
      <c r="AH6" s="82"/>
      <c r="AI6" s="77"/>
      <c r="AJ6" s="83">
        <v>1</v>
      </c>
      <c r="AK6" s="84">
        <v>0.85</v>
      </c>
      <c r="AL6" s="85">
        <f t="shared" si="6"/>
        <v>0.85</v>
      </c>
      <c r="AM6" s="87" t="s">
        <v>1240</v>
      </c>
      <c r="AO6" s="88"/>
      <c r="AP6" s="89"/>
      <c r="AQ6" s="90">
        <f t="shared" si="7"/>
        <v>0</v>
      </c>
      <c r="AR6" s="91"/>
    </row>
    <row r="7" spans="1:44" ht="78.75" x14ac:dyDescent="0.25">
      <c r="A7" s="77">
        <v>4</v>
      </c>
      <c r="B7" s="78" t="s">
        <v>3</v>
      </c>
      <c r="C7" s="78" t="s">
        <v>4</v>
      </c>
      <c r="D7" s="78" t="s">
        <v>34</v>
      </c>
      <c r="E7" s="77"/>
      <c r="F7" s="79"/>
      <c r="G7" s="80"/>
      <c r="H7" s="81">
        <f t="shared" si="0"/>
        <v>0</v>
      </c>
      <c r="I7" s="82"/>
      <c r="J7" s="77"/>
      <c r="K7" s="92">
        <v>1</v>
      </c>
      <c r="L7" s="93">
        <v>0.94499999999999995</v>
      </c>
      <c r="M7" s="85">
        <f t="shared" si="1"/>
        <v>0.94499999999999995</v>
      </c>
      <c r="N7" s="94" t="s">
        <v>1421</v>
      </c>
      <c r="O7" s="77"/>
      <c r="P7" s="79"/>
      <c r="Q7" s="80"/>
      <c r="R7" s="81">
        <f t="shared" si="2"/>
        <v>0</v>
      </c>
      <c r="S7" s="82"/>
      <c r="T7" s="77"/>
      <c r="U7" s="79"/>
      <c r="V7" s="80"/>
      <c r="W7" s="81">
        <f t="shared" si="3"/>
        <v>0</v>
      </c>
      <c r="X7" s="82"/>
      <c r="Y7" s="77"/>
      <c r="Z7" s="79"/>
      <c r="AA7" s="80"/>
      <c r="AB7" s="81">
        <f t="shared" si="4"/>
        <v>0</v>
      </c>
      <c r="AC7" s="82"/>
      <c r="AD7" s="77"/>
      <c r="AE7" s="79"/>
      <c r="AF7" s="80"/>
      <c r="AG7" s="81">
        <f t="shared" si="5"/>
        <v>0</v>
      </c>
      <c r="AH7" s="82"/>
      <c r="AI7" s="77"/>
      <c r="AJ7" s="92">
        <v>1</v>
      </c>
      <c r="AK7" s="93">
        <v>0.85</v>
      </c>
      <c r="AL7" s="85">
        <f t="shared" si="6"/>
        <v>0.85</v>
      </c>
      <c r="AM7" s="95" t="s">
        <v>1423</v>
      </c>
      <c r="AO7" s="88"/>
      <c r="AP7" s="89"/>
      <c r="AQ7" s="90">
        <f t="shared" si="7"/>
        <v>0</v>
      </c>
      <c r="AR7" s="91"/>
    </row>
    <row r="8" spans="1:44" ht="126" x14ac:dyDescent="0.25">
      <c r="A8" s="77">
        <v>5</v>
      </c>
      <c r="B8" s="78" t="s">
        <v>3</v>
      </c>
      <c r="C8" s="78" t="s">
        <v>4</v>
      </c>
      <c r="D8" s="78" t="s">
        <v>35</v>
      </c>
      <c r="E8" s="77"/>
      <c r="F8" s="79"/>
      <c r="G8" s="80"/>
      <c r="H8" s="81">
        <f t="shared" si="0"/>
        <v>0</v>
      </c>
      <c r="I8" s="82"/>
      <c r="J8" s="77"/>
      <c r="K8" s="83">
        <v>1</v>
      </c>
      <c r="L8" s="84">
        <v>0.7</v>
      </c>
      <c r="M8" s="85">
        <f t="shared" si="1"/>
        <v>0.7</v>
      </c>
      <c r="N8" s="86" t="s">
        <v>1180</v>
      </c>
      <c r="O8" s="77"/>
      <c r="P8" s="79"/>
      <c r="Q8" s="80"/>
      <c r="R8" s="81">
        <f t="shared" si="2"/>
        <v>0</v>
      </c>
      <c r="S8" s="78"/>
      <c r="T8" s="77"/>
      <c r="U8" s="79"/>
      <c r="V8" s="80"/>
      <c r="W8" s="81">
        <f t="shared" si="3"/>
        <v>0</v>
      </c>
      <c r="X8" s="78"/>
      <c r="Y8" s="77"/>
      <c r="Z8" s="79"/>
      <c r="AA8" s="80"/>
      <c r="AB8" s="81">
        <f t="shared" si="4"/>
        <v>0</v>
      </c>
      <c r="AC8" s="78"/>
      <c r="AD8" s="77"/>
      <c r="AE8" s="79"/>
      <c r="AF8" s="80"/>
      <c r="AG8" s="81">
        <f t="shared" si="5"/>
        <v>0</v>
      </c>
      <c r="AH8" s="78"/>
      <c r="AI8" s="77"/>
      <c r="AJ8" s="83">
        <v>1</v>
      </c>
      <c r="AK8" s="84">
        <v>0.95</v>
      </c>
      <c r="AL8" s="85">
        <f t="shared" si="6"/>
        <v>0.95</v>
      </c>
      <c r="AM8" s="87" t="s">
        <v>1241</v>
      </c>
      <c r="AO8" s="88"/>
      <c r="AP8" s="89"/>
      <c r="AQ8" s="90">
        <f t="shared" si="7"/>
        <v>0</v>
      </c>
      <c r="AR8" s="96"/>
    </row>
    <row r="9" spans="1:44" ht="126" x14ac:dyDescent="0.25">
      <c r="A9" s="77">
        <v>6</v>
      </c>
      <c r="B9" s="78" t="s">
        <v>3</v>
      </c>
      <c r="C9" s="78" t="s">
        <v>4</v>
      </c>
      <c r="D9" s="78" t="s">
        <v>129</v>
      </c>
      <c r="E9" s="77"/>
      <c r="F9" s="79"/>
      <c r="G9" s="80"/>
      <c r="H9" s="81">
        <f t="shared" si="0"/>
        <v>0</v>
      </c>
      <c r="I9" s="78"/>
      <c r="J9" s="77"/>
      <c r="K9" s="92">
        <v>1</v>
      </c>
      <c r="L9" s="93">
        <v>0.76</v>
      </c>
      <c r="M9" s="85">
        <f t="shared" si="1"/>
        <v>0.76</v>
      </c>
      <c r="N9" s="94" t="s">
        <v>1630</v>
      </c>
      <c r="O9" s="77"/>
      <c r="P9" s="79"/>
      <c r="Q9" s="80"/>
      <c r="R9" s="81">
        <f t="shared" si="2"/>
        <v>0</v>
      </c>
      <c r="S9" s="78"/>
      <c r="T9" s="77"/>
      <c r="U9" s="79"/>
      <c r="V9" s="80"/>
      <c r="W9" s="81">
        <f t="shared" si="3"/>
        <v>0</v>
      </c>
      <c r="X9" s="78"/>
      <c r="Y9" s="77"/>
      <c r="Z9" s="79"/>
      <c r="AA9" s="80"/>
      <c r="AB9" s="81">
        <f t="shared" si="4"/>
        <v>0</v>
      </c>
      <c r="AC9" s="78"/>
      <c r="AD9" s="77"/>
      <c r="AE9" s="79"/>
      <c r="AF9" s="80"/>
      <c r="AG9" s="81">
        <f t="shared" si="5"/>
        <v>0</v>
      </c>
      <c r="AH9" s="78"/>
      <c r="AI9" s="77"/>
      <c r="AJ9" s="92">
        <v>1</v>
      </c>
      <c r="AK9" s="93">
        <v>0.5</v>
      </c>
      <c r="AL9" s="85">
        <f t="shared" si="6"/>
        <v>0.5</v>
      </c>
      <c r="AM9" s="97" t="s">
        <v>1242</v>
      </c>
      <c r="AO9" s="88"/>
      <c r="AP9" s="89"/>
      <c r="AQ9" s="90">
        <f t="shared" si="7"/>
        <v>0</v>
      </c>
      <c r="AR9" s="96"/>
    </row>
    <row r="10" spans="1:44" ht="157.5" x14ac:dyDescent="0.25">
      <c r="A10" s="77">
        <v>7</v>
      </c>
      <c r="B10" s="78" t="s">
        <v>3</v>
      </c>
      <c r="C10" s="78" t="s">
        <v>4</v>
      </c>
      <c r="D10" s="78" t="s">
        <v>36</v>
      </c>
      <c r="E10" s="77"/>
      <c r="F10" s="79"/>
      <c r="G10" s="80"/>
      <c r="H10" s="81">
        <f t="shared" si="0"/>
        <v>0</v>
      </c>
      <c r="I10" s="82"/>
      <c r="J10" s="77"/>
      <c r="K10" s="83">
        <v>1</v>
      </c>
      <c r="L10" s="84">
        <v>0.75</v>
      </c>
      <c r="M10" s="85">
        <f t="shared" si="1"/>
        <v>0.75</v>
      </c>
      <c r="N10" s="86" t="s">
        <v>1181</v>
      </c>
      <c r="O10" s="77"/>
      <c r="P10" s="79"/>
      <c r="Q10" s="80"/>
      <c r="R10" s="81">
        <f t="shared" si="2"/>
        <v>0</v>
      </c>
      <c r="S10" s="82"/>
      <c r="T10" s="77"/>
      <c r="U10" s="79"/>
      <c r="V10" s="80"/>
      <c r="W10" s="81">
        <f t="shared" si="3"/>
        <v>0</v>
      </c>
      <c r="X10" s="82"/>
      <c r="Y10" s="77"/>
      <c r="Z10" s="79"/>
      <c r="AA10" s="80"/>
      <c r="AB10" s="81">
        <f t="shared" si="4"/>
        <v>0</v>
      </c>
      <c r="AC10" s="82"/>
      <c r="AD10" s="77"/>
      <c r="AE10" s="79"/>
      <c r="AF10" s="80"/>
      <c r="AG10" s="81">
        <f t="shared" si="5"/>
        <v>0</v>
      </c>
      <c r="AH10" s="82"/>
      <c r="AI10" s="77"/>
      <c r="AJ10" s="83">
        <v>1</v>
      </c>
      <c r="AK10" s="84">
        <v>0.4</v>
      </c>
      <c r="AL10" s="85">
        <f t="shared" si="6"/>
        <v>0.4</v>
      </c>
      <c r="AM10" s="98" t="s">
        <v>1243</v>
      </c>
      <c r="AO10" s="88"/>
      <c r="AP10" s="89"/>
      <c r="AQ10" s="90">
        <f t="shared" si="7"/>
        <v>0</v>
      </c>
      <c r="AR10" s="91"/>
    </row>
    <row r="11" spans="1:44" ht="63" x14ac:dyDescent="0.25">
      <c r="A11" s="77">
        <v>8</v>
      </c>
      <c r="B11" s="78" t="s">
        <v>3</v>
      </c>
      <c r="C11" s="78" t="s">
        <v>4</v>
      </c>
      <c r="D11" s="78" t="s">
        <v>64</v>
      </c>
      <c r="E11" s="77"/>
      <c r="F11" s="79"/>
      <c r="G11" s="80"/>
      <c r="H11" s="81">
        <f t="shared" si="0"/>
        <v>0</v>
      </c>
      <c r="I11" s="78"/>
      <c r="J11" s="77"/>
      <c r="K11" s="92">
        <v>1</v>
      </c>
      <c r="L11" s="93">
        <v>1</v>
      </c>
      <c r="M11" s="85">
        <f t="shared" si="1"/>
        <v>1</v>
      </c>
      <c r="N11" s="94"/>
      <c r="O11" s="77"/>
      <c r="P11" s="79"/>
      <c r="Q11" s="80"/>
      <c r="R11" s="81">
        <f t="shared" si="2"/>
        <v>0</v>
      </c>
      <c r="S11" s="82"/>
      <c r="T11" s="77"/>
      <c r="U11" s="79"/>
      <c r="V11" s="80"/>
      <c r="W11" s="81">
        <f t="shared" si="3"/>
        <v>0</v>
      </c>
      <c r="X11" s="82"/>
      <c r="Y11" s="77"/>
      <c r="Z11" s="79"/>
      <c r="AA11" s="80"/>
      <c r="AB11" s="81">
        <f t="shared" si="4"/>
        <v>0</v>
      </c>
      <c r="AC11" s="82"/>
      <c r="AD11" s="77"/>
      <c r="AE11" s="79"/>
      <c r="AF11" s="80"/>
      <c r="AG11" s="81">
        <f t="shared" si="5"/>
        <v>0</v>
      </c>
      <c r="AH11" s="82"/>
      <c r="AI11" s="77"/>
      <c r="AJ11" s="92">
        <v>1</v>
      </c>
      <c r="AK11" s="93">
        <v>0.5</v>
      </c>
      <c r="AL11" s="85">
        <f t="shared" si="6"/>
        <v>0.5</v>
      </c>
      <c r="AM11" s="97" t="s">
        <v>1244</v>
      </c>
      <c r="AO11" s="88"/>
      <c r="AP11" s="89"/>
      <c r="AQ11" s="90">
        <f t="shared" si="7"/>
        <v>0</v>
      </c>
      <c r="AR11" s="91"/>
    </row>
    <row r="12" spans="1:44" ht="78.75" x14ac:dyDescent="0.25">
      <c r="A12" s="77">
        <v>9</v>
      </c>
      <c r="B12" s="78" t="s">
        <v>3</v>
      </c>
      <c r="C12" s="78" t="s">
        <v>5</v>
      </c>
      <c r="D12" s="78" t="s">
        <v>37</v>
      </c>
      <c r="E12" s="77"/>
      <c r="F12" s="79"/>
      <c r="G12" s="80"/>
      <c r="H12" s="81">
        <f t="shared" si="0"/>
        <v>0</v>
      </c>
      <c r="I12" s="82"/>
      <c r="J12" s="77"/>
      <c r="K12" s="83">
        <v>1</v>
      </c>
      <c r="L12" s="99">
        <v>0.54</v>
      </c>
      <c r="M12" s="85">
        <f t="shared" si="1"/>
        <v>0.54</v>
      </c>
      <c r="N12" s="86" t="s">
        <v>1288</v>
      </c>
      <c r="O12" s="77"/>
      <c r="P12" s="79"/>
      <c r="Q12" s="80"/>
      <c r="R12" s="81">
        <f t="shared" si="2"/>
        <v>0</v>
      </c>
      <c r="S12" s="82"/>
      <c r="T12" s="77"/>
      <c r="U12" s="79"/>
      <c r="V12" s="80"/>
      <c r="W12" s="81">
        <f t="shared" si="3"/>
        <v>0</v>
      </c>
      <c r="X12" s="82"/>
      <c r="Y12" s="77"/>
      <c r="Z12" s="79"/>
      <c r="AA12" s="80"/>
      <c r="AB12" s="81">
        <f t="shared" si="4"/>
        <v>0</v>
      </c>
      <c r="AC12" s="82"/>
      <c r="AD12" s="77"/>
      <c r="AE12" s="79"/>
      <c r="AF12" s="80"/>
      <c r="AG12" s="81">
        <f t="shared" si="5"/>
        <v>0</v>
      </c>
      <c r="AH12" s="82"/>
      <c r="AI12" s="77"/>
      <c r="AJ12" s="83">
        <v>1</v>
      </c>
      <c r="AK12" s="84">
        <v>0.15</v>
      </c>
      <c r="AL12" s="85">
        <f t="shared" si="6"/>
        <v>0.15</v>
      </c>
      <c r="AM12" s="98" t="s">
        <v>1245</v>
      </c>
      <c r="AO12" s="88"/>
      <c r="AP12" s="89"/>
      <c r="AQ12" s="90">
        <f t="shared" si="7"/>
        <v>0</v>
      </c>
      <c r="AR12" s="91"/>
    </row>
    <row r="13" spans="1:44" ht="94.5" x14ac:dyDescent="0.25">
      <c r="A13" s="77">
        <v>10</v>
      </c>
      <c r="B13" s="78" t="s">
        <v>3</v>
      </c>
      <c r="C13" s="78" t="s">
        <v>5</v>
      </c>
      <c r="D13" s="78" t="s">
        <v>38</v>
      </c>
      <c r="E13" s="77"/>
      <c r="F13" s="79"/>
      <c r="G13" s="80"/>
      <c r="H13" s="81">
        <f t="shared" si="0"/>
        <v>0</v>
      </c>
      <c r="I13" s="82"/>
      <c r="J13" s="77"/>
      <c r="K13" s="92">
        <v>1</v>
      </c>
      <c r="L13" s="93">
        <v>0.54</v>
      </c>
      <c r="M13" s="85">
        <f t="shared" si="1"/>
        <v>0.54</v>
      </c>
      <c r="N13" s="94" t="s">
        <v>1534</v>
      </c>
      <c r="O13" s="77"/>
      <c r="P13" s="79"/>
      <c r="Q13" s="80"/>
      <c r="R13" s="81">
        <f t="shared" si="2"/>
        <v>0</v>
      </c>
      <c r="S13" s="82"/>
      <c r="T13" s="77"/>
      <c r="U13" s="79"/>
      <c r="V13" s="80"/>
      <c r="W13" s="81">
        <f t="shared" si="3"/>
        <v>0</v>
      </c>
      <c r="X13" s="82"/>
      <c r="Y13" s="77"/>
      <c r="Z13" s="79"/>
      <c r="AA13" s="80"/>
      <c r="AB13" s="81">
        <f t="shared" si="4"/>
        <v>0</v>
      </c>
      <c r="AC13" s="82"/>
      <c r="AD13" s="77"/>
      <c r="AE13" s="79"/>
      <c r="AF13" s="80"/>
      <c r="AG13" s="81">
        <f t="shared" si="5"/>
        <v>0</v>
      </c>
      <c r="AH13" s="82"/>
      <c r="AI13" s="77"/>
      <c r="AJ13" s="92">
        <v>1</v>
      </c>
      <c r="AK13" s="93">
        <v>0.15</v>
      </c>
      <c r="AL13" s="85">
        <f t="shared" si="6"/>
        <v>0.15</v>
      </c>
      <c r="AM13" s="97" t="s">
        <v>1246</v>
      </c>
      <c r="AO13" s="88"/>
      <c r="AP13" s="89"/>
      <c r="AQ13" s="90">
        <f t="shared" si="7"/>
        <v>0</v>
      </c>
      <c r="AR13" s="91"/>
    </row>
    <row r="14" spans="1:44" ht="78.75" x14ac:dyDescent="0.25">
      <c r="A14" s="77">
        <v>11</v>
      </c>
      <c r="B14" s="78" t="s">
        <v>3</v>
      </c>
      <c r="C14" s="78" t="s">
        <v>31</v>
      </c>
      <c r="D14" s="78" t="s">
        <v>39</v>
      </c>
      <c r="E14" s="77"/>
      <c r="F14" s="79"/>
      <c r="G14" s="80"/>
      <c r="H14" s="81">
        <f t="shared" si="0"/>
        <v>0</v>
      </c>
      <c r="I14" s="82"/>
      <c r="J14" s="77"/>
      <c r="K14" s="83">
        <v>1</v>
      </c>
      <c r="L14" s="84">
        <v>0.85</v>
      </c>
      <c r="M14" s="85">
        <f t="shared" si="1"/>
        <v>0.85</v>
      </c>
      <c r="N14" s="86" t="s">
        <v>1182</v>
      </c>
      <c r="O14" s="77"/>
      <c r="P14" s="79"/>
      <c r="Q14" s="80"/>
      <c r="R14" s="81">
        <f t="shared" si="2"/>
        <v>0</v>
      </c>
      <c r="S14" s="82"/>
      <c r="T14" s="77"/>
      <c r="U14" s="79"/>
      <c r="V14" s="80"/>
      <c r="W14" s="81">
        <f t="shared" si="3"/>
        <v>0</v>
      </c>
      <c r="X14" s="82"/>
      <c r="Y14" s="77"/>
      <c r="Z14" s="79"/>
      <c r="AA14" s="80"/>
      <c r="AB14" s="81">
        <f t="shared" si="4"/>
        <v>0</v>
      </c>
      <c r="AC14" s="82"/>
      <c r="AD14" s="77"/>
      <c r="AE14" s="79"/>
      <c r="AF14" s="80"/>
      <c r="AG14" s="81">
        <f t="shared" si="5"/>
        <v>0</v>
      </c>
      <c r="AH14" s="82"/>
      <c r="AI14" s="77"/>
      <c r="AJ14" s="83">
        <v>1</v>
      </c>
      <c r="AK14" s="84">
        <v>0.3</v>
      </c>
      <c r="AL14" s="85">
        <f t="shared" si="6"/>
        <v>0.3</v>
      </c>
      <c r="AM14" s="98" t="s">
        <v>1265</v>
      </c>
      <c r="AO14" s="88"/>
      <c r="AP14" s="89"/>
      <c r="AQ14" s="90">
        <f t="shared" si="7"/>
        <v>0</v>
      </c>
      <c r="AR14" s="91"/>
    </row>
    <row r="15" spans="1:44" ht="110.25" x14ac:dyDescent="0.25">
      <c r="A15" s="77">
        <v>12</v>
      </c>
      <c r="B15" s="78" t="s">
        <v>3</v>
      </c>
      <c r="C15" s="78" t="s">
        <v>31</v>
      </c>
      <c r="D15" s="78" t="s">
        <v>40</v>
      </c>
      <c r="E15" s="77"/>
      <c r="F15" s="79"/>
      <c r="G15" s="80"/>
      <c r="H15" s="81">
        <f t="shared" si="0"/>
        <v>0</v>
      </c>
      <c r="I15" s="82"/>
      <c r="J15" s="77"/>
      <c r="K15" s="92">
        <v>1</v>
      </c>
      <c r="L15" s="93">
        <v>1</v>
      </c>
      <c r="M15" s="85">
        <f t="shared" si="1"/>
        <v>1</v>
      </c>
      <c r="N15" s="94"/>
      <c r="O15" s="77"/>
      <c r="P15" s="79"/>
      <c r="Q15" s="80"/>
      <c r="R15" s="81">
        <f t="shared" si="2"/>
        <v>0</v>
      </c>
      <c r="S15" s="82"/>
      <c r="T15" s="77"/>
      <c r="U15" s="79"/>
      <c r="V15" s="80"/>
      <c r="W15" s="81">
        <f t="shared" si="3"/>
        <v>0</v>
      </c>
      <c r="X15" s="82"/>
      <c r="Y15" s="77"/>
      <c r="Z15" s="79"/>
      <c r="AA15" s="80"/>
      <c r="AB15" s="81">
        <f t="shared" si="4"/>
        <v>0</v>
      </c>
      <c r="AC15" s="82"/>
      <c r="AD15" s="77"/>
      <c r="AE15" s="79"/>
      <c r="AF15" s="80"/>
      <c r="AG15" s="81">
        <f t="shared" si="5"/>
        <v>0</v>
      </c>
      <c r="AH15" s="82"/>
      <c r="AI15" s="77"/>
      <c r="AJ15" s="92">
        <v>1</v>
      </c>
      <c r="AK15" s="93">
        <v>0.3</v>
      </c>
      <c r="AL15" s="85">
        <f t="shared" si="6"/>
        <v>0.3</v>
      </c>
      <c r="AM15" s="97" t="s">
        <v>1248</v>
      </c>
      <c r="AO15" s="88"/>
      <c r="AP15" s="89"/>
      <c r="AQ15" s="90">
        <f t="shared" si="7"/>
        <v>0</v>
      </c>
      <c r="AR15" s="91"/>
    </row>
    <row r="16" spans="1:44" ht="157.5" x14ac:dyDescent="0.25">
      <c r="A16" s="77">
        <v>13</v>
      </c>
      <c r="B16" s="78" t="s">
        <v>6</v>
      </c>
      <c r="C16" s="78" t="s">
        <v>7</v>
      </c>
      <c r="D16" s="78" t="s">
        <v>41</v>
      </c>
      <c r="E16" s="77"/>
      <c r="F16" s="79"/>
      <c r="G16" s="80"/>
      <c r="H16" s="81">
        <f t="shared" si="0"/>
        <v>0</v>
      </c>
      <c r="I16" s="82"/>
      <c r="J16" s="77"/>
      <c r="K16" s="100">
        <v>1</v>
      </c>
      <c r="L16" s="101">
        <v>1</v>
      </c>
      <c r="M16" s="85">
        <f t="shared" si="1"/>
        <v>1</v>
      </c>
      <c r="N16" s="78" t="s">
        <v>940</v>
      </c>
      <c r="O16" s="77"/>
      <c r="P16" s="79"/>
      <c r="Q16" s="80"/>
      <c r="R16" s="81">
        <f t="shared" si="2"/>
        <v>0</v>
      </c>
      <c r="S16" s="82"/>
      <c r="T16" s="77"/>
      <c r="U16" s="79"/>
      <c r="V16" s="80"/>
      <c r="W16" s="81">
        <f t="shared" si="3"/>
        <v>0</v>
      </c>
      <c r="X16" s="82"/>
      <c r="Y16" s="77"/>
      <c r="Z16" s="79"/>
      <c r="AA16" s="80"/>
      <c r="AB16" s="81">
        <f t="shared" si="4"/>
        <v>0</v>
      </c>
      <c r="AC16" s="82"/>
      <c r="AD16" s="77"/>
      <c r="AE16" s="79"/>
      <c r="AF16" s="80"/>
      <c r="AG16" s="81">
        <f t="shared" si="5"/>
        <v>0</v>
      </c>
      <c r="AH16" s="82"/>
      <c r="AI16" s="77"/>
      <c r="AJ16" s="100">
        <v>1</v>
      </c>
      <c r="AK16" s="101">
        <v>0.7</v>
      </c>
      <c r="AL16" s="85">
        <f t="shared" si="6"/>
        <v>0.7</v>
      </c>
      <c r="AM16" s="78" t="s">
        <v>954</v>
      </c>
      <c r="AO16" s="88"/>
      <c r="AP16" s="89"/>
      <c r="AQ16" s="90"/>
      <c r="AR16" s="91"/>
    </row>
    <row r="17" spans="1:44" ht="110.25" x14ac:dyDescent="0.25">
      <c r="A17" s="77">
        <v>14</v>
      </c>
      <c r="B17" s="78" t="s">
        <v>6</v>
      </c>
      <c r="C17" s="78" t="s">
        <v>7</v>
      </c>
      <c r="D17" s="78" t="s">
        <v>130</v>
      </c>
      <c r="E17" s="77"/>
      <c r="F17" s="79"/>
      <c r="G17" s="80"/>
      <c r="H17" s="81">
        <f t="shared" si="0"/>
        <v>0</v>
      </c>
      <c r="I17" s="82"/>
      <c r="J17" s="77"/>
      <c r="K17" s="100">
        <v>1</v>
      </c>
      <c r="L17" s="101">
        <v>1</v>
      </c>
      <c r="M17" s="85">
        <f t="shared" si="1"/>
        <v>1</v>
      </c>
      <c r="N17" s="78" t="s">
        <v>560</v>
      </c>
      <c r="O17" s="77"/>
      <c r="P17" s="79"/>
      <c r="Q17" s="80"/>
      <c r="R17" s="81">
        <f t="shared" si="2"/>
        <v>0</v>
      </c>
      <c r="S17" s="82"/>
      <c r="T17" s="77"/>
      <c r="U17" s="79"/>
      <c r="V17" s="80"/>
      <c r="W17" s="81">
        <f t="shared" si="3"/>
        <v>0</v>
      </c>
      <c r="X17" s="82"/>
      <c r="Y17" s="77"/>
      <c r="Z17" s="79"/>
      <c r="AA17" s="80"/>
      <c r="AB17" s="81">
        <f t="shared" si="4"/>
        <v>0</v>
      </c>
      <c r="AC17" s="82"/>
      <c r="AD17" s="77"/>
      <c r="AE17" s="79"/>
      <c r="AF17" s="80"/>
      <c r="AG17" s="81">
        <f t="shared" si="5"/>
        <v>0</v>
      </c>
      <c r="AH17" s="82"/>
      <c r="AI17" s="77"/>
      <c r="AJ17" s="100">
        <v>1</v>
      </c>
      <c r="AK17" s="101">
        <v>0.15</v>
      </c>
      <c r="AL17" s="85">
        <f t="shared" si="6"/>
        <v>0.15</v>
      </c>
      <c r="AM17" s="78" t="s">
        <v>955</v>
      </c>
      <c r="AO17" s="88"/>
      <c r="AP17" s="89"/>
      <c r="AQ17" s="90">
        <f t="shared" si="7"/>
        <v>0</v>
      </c>
      <c r="AR17" s="91"/>
    </row>
    <row r="18" spans="1:44" ht="189" x14ac:dyDescent="0.25">
      <c r="A18" s="77">
        <v>15</v>
      </c>
      <c r="B18" s="78" t="s">
        <v>6</v>
      </c>
      <c r="C18" s="78" t="s">
        <v>7</v>
      </c>
      <c r="D18" s="78" t="s">
        <v>131</v>
      </c>
      <c r="E18" s="77"/>
      <c r="F18" s="79"/>
      <c r="G18" s="80"/>
      <c r="H18" s="81">
        <f t="shared" si="0"/>
        <v>0</v>
      </c>
      <c r="I18" s="82"/>
      <c r="J18" s="77"/>
      <c r="K18" s="100">
        <v>1</v>
      </c>
      <c r="L18" s="101">
        <v>1</v>
      </c>
      <c r="M18" s="85">
        <f t="shared" si="1"/>
        <v>1</v>
      </c>
      <c r="N18" s="78" t="s">
        <v>941</v>
      </c>
      <c r="O18" s="77"/>
      <c r="P18" s="79"/>
      <c r="Q18" s="80"/>
      <c r="R18" s="81">
        <f t="shared" si="2"/>
        <v>0</v>
      </c>
      <c r="S18" s="82"/>
      <c r="T18" s="77"/>
      <c r="U18" s="79"/>
      <c r="V18" s="80"/>
      <c r="W18" s="81">
        <f t="shared" si="3"/>
        <v>0</v>
      </c>
      <c r="X18" s="82"/>
      <c r="Y18" s="77"/>
      <c r="Z18" s="79"/>
      <c r="AA18" s="80"/>
      <c r="AB18" s="81">
        <f t="shared" si="4"/>
        <v>0</v>
      </c>
      <c r="AC18" s="82"/>
      <c r="AD18" s="77"/>
      <c r="AE18" s="79"/>
      <c r="AF18" s="80"/>
      <c r="AG18" s="81">
        <f t="shared" si="5"/>
        <v>0</v>
      </c>
      <c r="AH18" s="82"/>
      <c r="AI18" s="77"/>
      <c r="AJ18" s="100">
        <v>1</v>
      </c>
      <c r="AK18" s="101">
        <v>0.45</v>
      </c>
      <c r="AL18" s="85">
        <f t="shared" si="6"/>
        <v>0.45</v>
      </c>
      <c r="AM18" s="82" t="s">
        <v>956</v>
      </c>
      <c r="AO18" s="88"/>
      <c r="AP18" s="89"/>
      <c r="AQ18" s="90">
        <f t="shared" si="7"/>
        <v>0</v>
      </c>
      <c r="AR18" s="91"/>
    </row>
    <row r="19" spans="1:44" ht="94.5" x14ac:dyDescent="0.25">
      <c r="A19" s="77">
        <v>16</v>
      </c>
      <c r="B19" s="78" t="s">
        <v>6</v>
      </c>
      <c r="C19" s="78" t="s">
        <v>7</v>
      </c>
      <c r="D19" s="78" t="s">
        <v>42</v>
      </c>
      <c r="E19" s="77"/>
      <c r="F19" s="79"/>
      <c r="G19" s="80"/>
      <c r="H19" s="81">
        <f t="shared" si="0"/>
        <v>0</v>
      </c>
      <c r="I19" s="82"/>
      <c r="J19" s="77"/>
      <c r="K19" s="100">
        <v>1</v>
      </c>
      <c r="L19" s="101">
        <v>1</v>
      </c>
      <c r="M19" s="85">
        <f t="shared" si="1"/>
        <v>1</v>
      </c>
      <c r="N19" s="78" t="s">
        <v>942</v>
      </c>
      <c r="O19" s="77"/>
      <c r="P19" s="79"/>
      <c r="Q19" s="80"/>
      <c r="R19" s="81">
        <f t="shared" si="2"/>
        <v>0</v>
      </c>
      <c r="S19" s="82"/>
      <c r="T19" s="77"/>
      <c r="U19" s="79"/>
      <c r="V19" s="80"/>
      <c r="W19" s="81">
        <f t="shared" si="3"/>
        <v>0</v>
      </c>
      <c r="X19" s="82"/>
      <c r="Y19" s="77"/>
      <c r="Z19" s="79"/>
      <c r="AA19" s="80"/>
      <c r="AB19" s="81">
        <f t="shared" si="4"/>
        <v>0</v>
      </c>
      <c r="AC19" s="82"/>
      <c r="AD19" s="77"/>
      <c r="AE19" s="79"/>
      <c r="AF19" s="80"/>
      <c r="AG19" s="81">
        <f t="shared" si="5"/>
        <v>0</v>
      </c>
      <c r="AH19" s="82"/>
      <c r="AI19" s="77"/>
      <c r="AJ19" s="100">
        <v>1</v>
      </c>
      <c r="AK19" s="101">
        <v>0.96</v>
      </c>
      <c r="AL19" s="85">
        <f t="shared" si="6"/>
        <v>0.96</v>
      </c>
      <c r="AM19" s="82" t="s">
        <v>957</v>
      </c>
      <c r="AO19" s="88"/>
      <c r="AP19" s="89"/>
      <c r="AQ19" s="90">
        <f t="shared" si="7"/>
        <v>0</v>
      </c>
      <c r="AR19" s="91"/>
    </row>
    <row r="20" spans="1:44" ht="299.25" x14ac:dyDescent="0.25">
      <c r="A20" s="77">
        <v>17</v>
      </c>
      <c r="B20" s="78" t="s">
        <v>6</v>
      </c>
      <c r="C20" s="78" t="s">
        <v>7</v>
      </c>
      <c r="D20" s="78" t="s">
        <v>43</v>
      </c>
      <c r="E20" s="77"/>
      <c r="F20" s="79"/>
      <c r="G20" s="80"/>
      <c r="H20" s="81">
        <f t="shared" si="0"/>
        <v>0</v>
      </c>
      <c r="I20" s="82"/>
      <c r="J20" s="77"/>
      <c r="K20" s="100">
        <v>1</v>
      </c>
      <c r="L20" s="101">
        <v>0.75</v>
      </c>
      <c r="M20" s="85">
        <f t="shared" si="1"/>
        <v>0.75</v>
      </c>
      <c r="N20" s="78" t="s">
        <v>943</v>
      </c>
      <c r="O20" s="77"/>
      <c r="P20" s="79"/>
      <c r="Q20" s="80"/>
      <c r="R20" s="81">
        <f t="shared" si="2"/>
        <v>0</v>
      </c>
      <c r="S20" s="82"/>
      <c r="T20" s="77"/>
      <c r="U20" s="79"/>
      <c r="V20" s="80"/>
      <c r="W20" s="81">
        <f t="shared" si="3"/>
        <v>0</v>
      </c>
      <c r="X20" s="82"/>
      <c r="Y20" s="77"/>
      <c r="Z20" s="79"/>
      <c r="AA20" s="80"/>
      <c r="AB20" s="81">
        <f t="shared" si="4"/>
        <v>0</v>
      </c>
      <c r="AC20" s="82"/>
      <c r="AD20" s="77"/>
      <c r="AE20" s="79"/>
      <c r="AF20" s="80"/>
      <c r="AG20" s="81">
        <f t="shared" si="5"/>
        <v>0</v>
      </c>
      <c r="AH20" s="82"/>
      <c r="AI20" s="77"/>
      <c r="AJ20" s="100">
        <v>1</v>
      </c>
      <c r="AK20" s="101">
        <v>0.5</v>
      </c>
      <c r="AL20" s="85">
        <f>AJ20*AK20</f>
        <v>0.5</v>
      </c>
      <c r="AM20" s="78" t="s">
        <v>958</v>
      </c>
      <c r="AO20" s="88"/>
      <c r="AP20" s="89"/>
      <c r="AQ20" s="90">
        <f t="shared" si="7"/>
        <v>0</v>
      </c>
      <c r="AR20" s="91"/>
    </row>
    <row r="21" spans="1:44" ht="126" x14ac:dyDescent="0.25">
      <c r="A21" s="77">
        <v>18</v>
      </c>
      <c r="B21" s="78" t="s">
        <v>6</v>
      </c>
      <c r="C21" s="78" t="s">
        <v>7</v>
      </c>
      <c r="D21" s="78" t="s">
        <v>44</v>
      </c>
      <c r="E21" s="77"/>
      <c r="F21" s="79"/>
      <c r="G21" s="80"/>
      <c r="H21" s="81">
        <f t="shared" si="0"/>
        <v>0</v>
      </c>
      <c r="I21" s="82"/>
      <c r="J21" s="77"/>
      <c r="K21" s="100">
        <v>1</v>
      </c>
      <c r="L21" s="101">
        <v>0.75</v>
      </c>
      <c r="M21" s="85">
        <f t="shared" si="1"/>
        <v>0.75</v>
      </c>
      <c r="N21" s="102" t="s">
        <v>915</v>
      </c>
      <c r="O21" s="77"/>
      <c r="P21" s="79"/>
      <c r="Q21" s="80"/>
      <c r="R21" s="81">
        <f t="shared" si="2"/>
        <v>0</v>
      </c>
      <c r="S21" s="82"/>
      <c r="T21" s="77"/>
      <c r="U21" s="79"/>
      <c r="V21" s="80"/>
      <c r="W21" s="81">
        <f t="shared" si="3"/>
        <v>0</v>
      </c>
      <c r="X21" s="82"/>
      <c r="Y21" s="77"/>
      <c r="Z21" s="79"/>
      <c r="AA21" s="80"/>
      <c r="AB21" s="81">
        <f t="shared" si="4"/>
        <v>0</v>
      </c>
      <c r="AC21" s="82"/>
      <c r="AD21" s="77"/>
      <c r="AE21" s="79"/>
      <c r="AF21" s="80"/>
      <c r="AG21" s="81">
        <f t="shared" si="5"/>
        <v>0</v>
      </c>
      <c r="AH21" s="82"/>
      <c r="AI21" s="77"/>
      <c r="AJ21" s="100">
        <v>1</v>
      </c>
      <c r="AK21" s="101">
        <v>0.5</v>
      </c>
      <c r="AL21" s="85">
        <f t="shared" ref="AL21:AL23" si="8">AJ21*AK21</f>
        <v>0.5</v>
      </c>
      <c r="AM21" s="78" t="s">
        <v>959</v>
      </c>
      <c r="AO21" s="88"/>
      <c r="AP21" s="89"/>
      <c r="AQ21" s="90">
        <f t="shared" si="7"/>
        <v>0</v>
      </c>
      <c r="AR21" s="91"/>
    </row>
    <row r="22" spans="1:44" ht="78.75" x14ac:dyDescent="0.25">
      <c r="A22" s="77">
        <v>19</v>
      </c>
      <c r="B22" s="78" t="s">
        <v>6</v>
      </c>
      <c r="C22" s="78" t="s">
        <v>7</v>
      </c>
      <c r="D22" s="78" t="s">
        <v>45</v>
      </c>
      <c r="E22" s="77"/>
      <c r="F22" s="79"/>
      <c r="G22" s="80"/>
      <c r="H22" s="81">
        <f t="shared" si="0"/>
        <v>0</v>
      </c>
      <c r="I22" s="82"/>
      <c r="J22" s="77"/>
      <c r="K22" s="100">
        <v>1</v>
      </c>
      <c r="L22" s="101">
        <v>0.7</v>
      </c>
      <c r="M22" s="85">
        <f t="shared" si="1"/>
        <v>0.7</v>
      </c>
      <c r="N22" s="78" t="s">
        <v>944</v>
      </c>
      <c r="O22" s="77"/>
      <c r="P22" s="79"/>
      <c r="Q22" s="80"/>
      <c r="R22" s="81">
        <f t="shared" si="2"/>
        <v>0</v>
      </c>
      <c r="S22" s="82"/>
      <c r="T22" s="77"/>
      <c r="U22" s="79"/>
      <c r="V22" s="80"/>
      <c r="W22" s="81">
        <f t="shared" si="3"/>
        <v>0</v>
      </c>
      <c r="X22" s="82"/>
      <c r="Y22" s="77"/>
      <c r="Z22" s="79"/>
      <c r="AA22" s="80"/>
      <c r="AB22" s="81">
        <f t="shared" si="4"/>
        <v>0</v>
      </c>
      <c r="AC22" s="82"/>
      <c r="AD22" s="77"/>
      <c r="AE22" s="79"/>
      <c r="AF22" s="80"/>
      <c r="AG22" s="81">
        <f t="shared" si="5"/>
        <v>0</v>
      </c>
      <c r="AH22" s="82"/>
      <c r="AI22" s="77"/>
      <c r="AJ22" s="100">
        <v>1</v>
      </c>
      <c r="AK22" s="101">
        <v>0.7</v>
      </c>
      <c r="AL22" s="85">
        <f t="shared" si="8"/>
        <v>0.7</v>
      </c>
      <c r="AM22" s="78" t="s">
        <v>960</v>
      </c>
      <c r="AO22" s="88"/>
      <c r="AP22" s="89"/>
      <c r="AQ22" s="90">
        <f t="shared" si="7"/>
        <v>0</v>
      </c>
      <c r="AR22" s="91"/>
    </row>
    <row r="23" spans="1:44" ht="94.5" x14ac:dyDescent="0.25">
      <c r="A23" s="77">
        <v>20</v>
      </c>
      <c r="B23" s="78" t="s">
        <v>6</v>
      </c>
      <c r="C23" s="78" t="s">
        <v>7</v>
      </c>
      <c r="D23" s="78" t="s">
        <v>46</v>
      </c>
      <c r="E23" s="77"/>
      <c r="F23" s="79"/>
      <c r="G23" s="80"/>
      <c r="H23" s="81">
        <f t="shared" si="0"/>
        <v>0</v>
      </c>
      <c r="I23" s="82"/>
      <c r="J23" s="77"/>
      <c r="K23" s="100">
        <v>1</v>
      </c>
      <c r="L23" s="101">
        <v>0.9</v>
      </c>
      <c r="M23" s="85">
        <f t="shared" si="1"/>
        <v>0.9</v>
      </c>
      <c r="N23" s="78" t="s">
        <v>945</v>
      </c>
      <c r="O23" s="77"/>
      <c r="P23" s="79"/>
      <c r="Q23" s="80"/>
      <c r="R23" s="81">
        <f t="shared" si="2"/>
        <v>0</v>
      </c>
      <c r="S23" s="82"/>
      <c r="T23" s="77"/>
      <c r="U23" s="79"/>
      <c r="V23" s="80"/>
      <c r="W23" s="81">
        <f t="shared" si="3"/>
        <v>0</v>
      </c>
      <c r="X23" s="82"/>
      <c r="Y23" s="77"/>
      <c r="Z23" s="79"/>
      <c r="AA23" s="80"/>
      <c r="AB23" s="81">
        <f t="shared" si="4"/>
        <v>0</v>
      </c>
      <c r="AC23" s="82"/>
      <c r="AD23" s="77"/>
      <c r="AE23" s="79"/>
      <c r="AF23" s="80"/>
      <c r="AG23" s="81">
        <f t="shared" si="5"/>
        <v>0</v>
      </c>
      <c r="AH23" s="82"/>
      <c r="AI23" s="77"/>
      <c r="AJ23" s="100">
        <v>1</v>
      </c>
      <c r="AK23" s="101">
        <v>0.6</v>
      </c>
      <c r="AL23" s="85">
        <f t="shared" si="8"/>
        <v>0.6</v>
      </c>
      <c r="AM23" s="78" t="s">
        <v>961</v>
      </c>
      <c r="AO23" s="88"/>
      <c r="AP23" s="89"/>
      <c r="AQ23" s="90">
        <f t="shared" si="7"/>
        <v>0</v>
      </c>
      <c r="AR23" s="91"/>
    </row>
    <row r="24" spans="1:44" ht="94.5" x14ac:dyDescent="0.25">
      <c r="A24" s="77">
        <v>21</v>
      </c>
      <c r="B24" s="78" t="s">
        <v>6</v>
      </c>
      <c r="C24" s="78" t="s">
        <v>7</v>
      </c>
      <c r="D24" s="78" t="s">
        <v>47</v>
      </c>
      <c r="E24" s="77"/>
      <c r="F24" s="79"/>
      <c r="G24" s="80"/>
      <c r="H24" s="81">
        <f t="shared" si="0"/>
        <v>0</v>
      </c>
      <c r="I24" s="82"/>
      <c r="J24" s="77" t="s">
        <v>30</v>
      </c>
      <c r="K24" s="100">
        <v>1</v>
      </c>
      <c r="L24" s="101">
        <v>0.98</v>
      </c>
      <c r="M24" s="85">
        <f t="shared" si="1"/>
        <v>0.98</v>
      </c>
      <c r="N24" s="78" t="s">
        <v>358</v>
      </c>
      <c r="O24" s="77"/>
      <c r="P24" s="79"/>
      <c r="Q24" s="80"/>
      <c r="R24" s="81">
        <f t="shared" si="2"/>
        <v>0</v>
      </c>
      <c r="S24" s="82"/>
      <c r="T24" s="77"/>
      <c r="U24" s="79"/>
      <c r="V24" s="80"/>
      <c r="W24" s="81">
        <f t="shared" si="3"/>
        <v>0</v>
      </c>
      <c r="X24" s="82"/>
      <c r="Y24" s="77"/>
      <c r="Z24" s="79"/>
      <c r="AA24" s="80"/>
      <c r="AB24" s="81">
        <f t="shared" si="4"/>
        <v>0</v>
      </c>
      <c r="AC24" s="82"/>
      <c r="AD24" s="77"/>
      <c r="AE24" s="79"/>
      <c r="AF24" s="80"/>
      <c r="AG24" s="81">
        <f t="shared" si="5"/>
        <v>0</v>
      </c>
      <c r="AH24" s="82"/>
      <c r="AI24" s="77"/>
      <c r="AJ24" s="100">
        <v>1</v>
      </c>
      <c r="AK24" s="101">
        <v>0.98</v>
      </c>
      <c r="AL24" s="85">
        <f t="shared" si="6"/>
        <v>0.98</v>
      </c>
      <c r="AM24" s="78" t="s">
        <v>142</v>
      </c>
      <c r="AO24" s="88"/>
      <c r="AP24" s="89"/>
      <c r="AQ24" s="90">
        <f t="shared" si="7"/>
        <v>0</v>
      </c>
      <c r="AR24" s="91"/>
    </row>
    <row r="25" spans="1:44" s="73" customFormat="1" ht="173.25" x14ac:dyDescent="0.25">
      <c r="A25" s="77">
        <v>22</v>
      </c>
      <c r="B25" s="78" t="s">
        <v>6</v>
      </c>
      <c r="C25" s="78" t="s">
        <v>8</v>
      </c>
      <c r="D25" s="78" t="s">
        <v>48</v>
      </c>
      <c r="E25" s="77"/>
      <c r="F25" s="79"/>
      <c r="G25" s="80"/>
      <c r="H25" s="81">
        <f t="shared" si="0"/>
        <v>0</v>
      </c>
      <c r="I25" s="82"/>
      <c r="J25" s="77"/>
      <c r="K25" s="100">
        <v>1</v>
      </c>
      <c r="L25" s="101">
        <v>1</v>
      </c>
      <c r="M25" s="85">
        <f t="shared" si="1"/>
        <v>1</v>
      </c>
      <c r="N25" s="78" t="s">
        <v>567</v>
      </c>
      <c r="O25" s="77"/>
      <c r="P25" s="79"/>
      <c r="Q25" s="80"/>
      <c r="R25" s="81">
        <f t="shared" si="2"/>
        <v>0</v>
      </c>
      <c r="S25" s="82"/>
      <c r="T25" s="77"/>
      <c r="U25" s="79"/>
      <c r="V25" s="80"/>
      <c r="W25" s="81">
        <f t="shared" si="3"/>
        <v>0</v>
      </c>
      <c r="X25" s="82"/>
      <c r="Y25" s="77"/>
      <c r="Z25" s="79"/>
      <c r="AA25" s="80"/>
      <c r="AB25" s="81">
        <f t="shared" si="4"/>
        <v>0</v>
      </c>
      <c r="AC25" s="82"/>
      <c r="AD25" s="77"/>
      <c r="AE25" s="79"/>
      <c r="AF25" s="80"/>
      <c r="AG25" s="81">
        <f t="shared" si="5"/>
        <v>0</v>
      </c>
      <c r="AH25" s="82"/>
      <c r="AI25" s="77"/>
      <c r="AJ25" s="100">
        <v>1</v>
      </c>
      <c r="AK25" s="101">
        <v>0.35</v>
      </c>
      <c r="AL25" s="85">
        <f t="shared" si="6"/>
        <v>0.35</v>
      </c>
      <c r="AM25" s="78" t="s">
        <v>962</v>
      </c>
      <c r="AO25" s="103"/>
      <c r="AP25" s="104"/>
      <c r="AQ25" s="105">
        <f t="shared" si="7"/>
        <v>0</v>
      </c>
      <c r="AR25" s="106"/>
    </row>
    <row r="26" spans="1:44" ht="94.5" x14ac:dyDescent="0.25">
      <c r="A26" s="77">
        <v>23</v>
      </c>
      <c r="B26" s="78" t="s">
        <v>6</v>
      </c>
      <c r="C26" s="78" t="s">
        <v>8</v>
      </c>
      <c r="D26" s="78" t="s">
        <v>49</v>
      </c>
      <c r="E26" s="77"/>
      <c r="F26" s="79"/>
      <c r="G26" s="80"/>
      <c r="H26" s="81">
        <f t="shared" si="0"/>
        <v>0</v>
      </c>
      <c r="I26" s="82"/>
      <c r="J26" s="77"/>
      <c r="K26" s="100">
        <v>1</v>
      </c>
      <c r="L26" s="101">
        <v>1</v>
      </c>
      <c r="M26" s="85">
        <f t="shared" si="1"/>
        <v>1</v>
      </c>
      <c r="N26" s="78" t="s">
        <v>946</v>
      </c>
      <c r="O26" s="77"/>
      <c r="P26" s="79"/>
      <c r="Q26" s="80"/>
      <c r="R26" s="81">
        <f t="shared" si="2"/>
        <v>0</v>
      </c>
      <c r="S26" s="82"/>
      <c r="T26" s="77"/>
      <c r="U26" s="79"/>
      <c r="V26" s="80"/>
      <c r="W26" s="81">
        <f t="shared" si="3"/>
        <v>0</v>
      </c>
      <c r="X26" s="82"/>
      <c r="Y26" s="77"/>
      <c r="Z26" s="79"/>
      <c r="AA26" s="80"/>
      <c r="AB26" s="81">
        <f t="shared" si="4"/>
        <v>0</v>
      </c>
      <c r="AC26" s="82"/>
      <c r="AD26" s="77"/>
      <c r="AE26" s="79"/>
      <c r="AF26" s="80"/>
      <c r="AG26" s="81">
        <f t="shared" si="5"/>
        <v>0</v>
      </c>
      <c r="AH26" s="82"/>
      <c r="AI26" s="77"/>
      <c r="AJ26" s="100">
        <v>1</v>
      </c>
      <c r="AK26" s="101">
        <v>0.2</v>
      </c>
      <c r="AL26" s="85">
        <f t="shared" si="6"/>
        <v>0.2</v>
      </c>
      <c r="AM26" s="78" t="s">
        <v>963</v>
      </c>
      <c r="AO26" s="88"/>
      <c r="AP26" s="89"/>
      <c r="AQ26" s="90">
        <f t="shared" si="7"/>
        <v>0</v>
      </c>
      <c r="AR26" s="91"/>
    </row>
    <row r="27" spans="1:44" ht="110.25" x14ac:dyDescent="0.25">
      <c r="A27" s="77">
        <v>24</v>
      </c>
      <c r="B27" s="78" t="s">
        <v>6</v>
      </c>
      <c r="C27" s="78" t="s">
        <v>8</v>
      </c>
      <c r="D27" s="78" t="s">
        <v>50</v>
      </c>
      <c r="E27" s="77"/>
      <c r="F27" s="79"/>
      <c r="G27" s="80"/>
      <c r="H27" s="81">
        <f t="shared" si="0"/>
        <v>0</v>
      </c>
      <c r="I27" s="82"/>
      <c r="J27" s="77"/>
      <c r="K27" s="100">
        <v>1</v>
      </c>
      <c r="L27" s="101">
        <v>0.99</v>
      </c>
      <c r="M27" s="85">
        <f t="shared" si="1"/>
        <v>0.99</v>
      </c>
      <c r="N27" s="78" t="s">
        <v>947</v>
      </c>
      <c r="O27" s="77"/>
      <c r="P27" s="79"/>
      <c r="Q27" s="80"/>
      <c r="R27" s="81">
        <f t="shared" si="2"/>
        <v>0</v>
      </c>
      <c r="S27" s="82"/>
      <c r="T27" s="77"/>
      <c r="U27" s="79"/>
      <c r="V27" s="80"/>
      <c r="W27" s="81">
        <f t="shared" si="3"/>
        <v>0</v>
      </c>
      <c r="X27" s="82"/>
      <c r="Y27" s="77"/>
      <c r="Z27" s="79"/>
      <c r="AA27" s="80"/>
      <c r="AB27" s="81">
        <f t="shared" si="4"/>
        <v>0</v>
      </c>
      <c r="AC27" s="82"/>
      <c r="AD27" s="77"/>
      <c r="AE27" s="79"/>
      <c r="AF27" s="80"/>
      <c r="AG27" s="81">
        <f t="shared" si="5"/>
        <v>0</v>
      </c>
      <c r="AH27" s="82"/>
      <c r="AI27" s="77"/>
      <c r="AJ27" s="100">
        <v>1</v>
      </c>
      <c r="AK27" s="101">
        <v>0.45</v>
      </c>
      <c r="AL27" s="85">
        <f t="shared" si="6"/>
        <v>0.45</v>
      </c>
      <c r="AM27" s="78" t="s">
        <v>964</v>
      </c>
      <c r="AO27" s="88"/>
      <c r="AP27" s="89"/>
      <c r="AQ27" s="90">
        <f t="shared" si="7"/>
        <v>0</v>
      </c>
      <c r="AR27" s="91"/>
    </row>
    <row r="28" spans="1:44" ht="204.75" x14ac:dyDescent="0.25">
      <c r="A28" s="77">
        <v>25</v>
      </c>
      <c r="B28" s="78" t="s">
        <v>6</v>
      </c>
      <c r="C28" s="78" t="s">
        <v>8</v>
      </c>
      <c r="D28" s="78" t="s">
        <v>51</v>
      </c>
      <c r="E28" s="77"/>
      <c r="F28" s="79"/>
      <c r="G28" s="80"/>
      <c r="H28" s="81">
        <f t="shared" si="0"/>
        <v>0</v>
      </c>
      <c r="I28" s="82"/>
      <c r="J28" s="77"/>
      <c r="K28" s="100">
        <v>1</v>
      </c>
      <c r="L28" s="101">
        <v>0.8</v>
      </c>
      <c r="M28" s="85">
        <f t="shared" si="1"/>
        <v>0.8</v>
      </c>
      <c r="N28" s="78" t="s">
        <v>948</v>
      </c>
      <c r="O28" s="77"/>
      <c r="P28" s="79"/>
      <c r="Q28" s="80"/>
      <c r="R28" s="81">
        <f t="shared" si="2"/>
        <v>0</v>
      </c>
      <c r="S28" s="82"/>
      <c r="T28" s="77"/>
      <c r="U28" s="79"/>
      <c r="V28" s="80"/>
      <c r="W28" s="81">
        <f t="shared" si="3"/>
        <v>0</v>
      </c>
      <c r="X28" s="82"/>
      <c r="Y28" s="77"/>
      <c r="Z28" s="79"/>
      <c r="AA28" s="80"/>
      <c r="AB28" s="81">
        <f t="shared" si="4"/>
        <v>0</v>
      </c>
      <c r="AC28" s="82"/>
      <c r="AD28" s="77"/>
      <c r="AE28" s="79"/>
      <c r="AF28" s="80"/>
      <c r="AG28" s="81">
        <f t="shared" si="5"/>
        <v>0</v>
      </c>
      <c r="AH28" s="82"/>
      <c r="AI28" s="77"/>
      <c r="AJ28" s="100">
        <v>1</v>
      </c>
      <c r="AK28" s="101">
        <v>0.1</v>
      </c>
      <c r="AL28" s="85">
        <f t="shared" si="6"/>
        <v>0.1</v>
      </c>
      <c r="AM28" s="78" t="s">
        <v>604</v>
      </c>
      <c r="AO28" s="88"/>
      <c r="AP28" s="89"/>
      <c r="AQ28" s="90">
        <f t="shared" si="7"/>
        <v>0</v>
      </c>
      <c r="AR28" s="91"/>
    </row>
    <row r="29" spans="1:44" ht="126" x14ac:dyDescent="0.25">
      <c r="A29" s="77">
        <v>26</v>
      </c>
      <c r="B29" s="78" t="s">
        <v>6</v>
      </c>
      <c r="C29" s="78" t="s">
        <v>8</v>
      </c>
      <c r="D29" s="78" t="s">
        <v>52</v>
      </c>
      <c r="E29" s="77"/>
      <c r="F29" s="79"/>
      <c r="G29" s="80"/>
      <c r="H29" s="81">
        <f t="shared" si="0"/>
        <v>0</v>
      </c>
      <c r="I29" s="82"/>
      <c r="J29" s="77"/>
      <c r="K29" s="100">
        <v>1</v>
      </c>
      <c r="L29" s="101">
        <v>0.98</v>
      </c>
      <c r="M29" s="85">
        <f t="shared" si="1"/>
        <v>0.98</v>
      </c>
      <c r="N29" s="78" t="s">
        <v>949</v>
      </c>
      <c r="O29" s="77"/>
      <c r="P29" s="79"/>
      <c r="Q29" s="80"/>
      <c r="R29" s="81">
        <f t="shared" si="2"/>
        <v>0</v>
      </c>
      <c r="S29" s="78"/>
      <c r="T29" s="77"/>
      <c r="U29" s="79"/>
      <c r="V29" s="80"/>
      <c r="W29" s="81">
        <f t="shared" si="3"/>
        <v>0</v>
      </c>
      <c r="X29" s="78"/>
      <c r="Y29" s="77"/>
      <c r="Z29" s="79"/>
      <c r="AA29" s="80"/>
      <c r="AB29" s="81">
        <f t="shared" si="4"/>
        <v>0</v>
      </c>
      <c r="AC29" s="78"/>
      <c r="AD29" s="77"/>
      <c r="AE29" s="79"/>
      <c r="AF29" s="80"/>
      <c r="AG29" s="81">
        <f t="shared" si="5"/>
        <v>0</v>
      </c>
      <c r="AH29" s="78"/>
      <c r="AI29" s="77"/>
      <c r="AJ29" s="100">
        <v>1</v>
      </c>
      <c r="AK29" s="101">
        <v>0.1</v>
      </c>
      <c r="AL29" s="85">
        <f t="shared" si="6"/>
        <v>0.1</v>
      </c>
      <c r="AM29" s="78" t="s">
        <v>605</v>
      </c>
      <c r="AO29" s="88"/>
      <c r="AP29" s="89"/>
      <c r="AQ29" s="90">
        <f t="shared" si="7"/>
        <v>0</v>
      </c>
      <c r="AR29" s="96"/>
    </row>
    <row r="30" spans="1:44" ht="157.5" x14ac:dyDescent="0.25">
      <c r="A30" s="77">
        <v>27</v>
      </c>
      <c r="B30" s="78" t="s">
        <v>6</v>
      </c>
      <c r="C30" s="78" t="s">
        <v>8</v>
      </c>
      <c r="D30" s="78" t="s">
        <v>53</v>
      </c>
      <c r="E30" s="77"/>
      <c r="F30" s="79"/>
      <c r="G30" s="80"/>
      <c r="H30" s="81">
        <f t="shared" si="0"/>
        <v>0</v>
      </c>
      <c r="I30" s="82"/>
      <c r="J30" s="77"/>
      <c r="K30" s="100">
        <v>1</v>
      </c>
      <c r="L30" s="107">
        <v>1</v>
      </c>
      <c r="M30" s="85">
        <f t="shared" si="1"/>
        <v>1</v>
      </c>
      <c r="N30" s="78"/>
      <c r="O30" s="77"/>
      <c r="P30" s="79"/>
      <c r="Q30" s="80"/>
      <c r="R30" s="81">
        <f t="shared" si="2"/>
        <v>0</v>
      </c>
      <c r="S30" s="82"/>
      <c r="T30" s="77"/>
      <c r="U30" s="79"/>
      <c r="V30" s="80"/>
      <c r="W30" s="81">
        <f t="shared" si="3"/>
        <v>0</v>
      </c>
      <c r="X30" s="82"/>
      <c r="Y30" s="77"/>
      <c r="Z30" s="79"/>
      <c r="AA30" s="80"/>
      <c r="AB30" s="81">
        <f t="shared" si="4"/>
        <v>0</v>
      </c>
      <c r="AC30" s="82"/>
      <c r="AD30" s="77"/>
      <c r="AE30" s="79"/>
      <c r="AF30" s="80"/>
      <c r="AG30" s="81">
        <f t="shared" si="5"/>
        <v>0</v>
      </c>
      <c r="AH30" s="82"/>
      <c r="AI30" s="77"/>
      <c r="AJ30" s="100">
        <v>1</v>
      </c>
      <c r="AK30" s="107">
        <v>0.85</v>
      </c>
      <c r="AL30" s="107">
        <f t="shared" si="6"/>
        <v>0.85</v>
      </c>
      <c r="AM30" s="78" t="s">
        <v>606</v>
      </c>
      <c r="AO30" s="88"/>
      <c r="AP30" s="89"/>
      <c r="AQ30" s="90">
        <f t="shared" si="7"/>
        <v>0</v>
      </c>
      <c r="AR30" s="91"/>
    </row>
    <row r="31" spans="1:44" ht="94.5" x14ac:dyDescent="0.25">
      <c r="A31" s="77">
        <v>28</v>
      </c>
      <c r="B31" s="78" t="s">
        <v>6</v>
      </c>
      <c r="C31" s="78" t="s">
        <v>8</v>
      </c>
      <c r="D31" s="78" t="s">
        <v>54</v>
      </c>
      <c r="E31" s="77"/>
      <c r="F31" s="79"/>
      <c r="G31" s="80"/>
      <c r="H31" s="81">
        <f t="shared" si="0"/>
        <v>0</v>
      </c>
      <c r="I31" s="82"/>
      <c r="J31" s="77"/>
      <c r="K31" s="100">
        <v>1</v>
      </c>
      <c r="L31" s="101">
        <v>1</v>
      </c>
      <c r="M31" s="85">
        <f t="shared" si="1"/>
        <v>1</v>
      </c>
      <c r="N31" s="78" t="s">
        <v>211</v>
      </c>
      <c r="O31" s="77"/>
      <c r="P31" s="79"/>
      <c r="Q31" s="80"/>
      <c r="R31" s="81">
        <f t="shared" si="2"/>
        <v>0</v>
      </c>
      <c r="S31" s="82"/>
      <c r="T31" s="77"/>
      <c r="U31" s="79"/>
      <c r="V31" s="80"/>
      <c r="W31" s="81">
        <f t="shared" si="3"/>
        <v>0</v>
      </c>
      <c r="X31" s="82"/>
      <c r="Y31" s="77"/>
      <c r="Z31" s="79"/>
      <c r="AA31" s="80"/>
      <c r="AB31" s="81">
        <f t="shared" si="4"/>
        <v>0</v>
      </c>
      <c r="AC31" s="82"/>
      <c r="AD31" s="77"/>
      <c r="AE31" s="79"/>
      <c r="AF31" s="80"/>
      <c r="AG31" s="81">
        <f t="shared" si="5"/>
        <v>0</v>
      </c>
      <c r="AH31" s="82"/>
      <c r="AI31" s="77"/>
      <c r="AJ31" s="100">
        <v>1</v>
      </c>
      <c r="AK31" s="101">
        <v>1</v>
      </c>
      <c r="AL31" s="85">
        <f t="shared" si="6"/>
        <v>1</v>
      </c>
      <c r="AM31" s="78" t="s">
        <v>672</v>
      </c>
      <c r="AO31" s="88"/>
      <c r="AP31" s="89"/>
      <c r="AQ31" s="90">
        <f t="shared" si="7"/>
        <v>0</v>
      </c>
      <c r="AR31" s="91"/>
    </row>
    <row r="32" spans="1:44" ht="110.25" x14ac:dyDescent="0.25">
      <c r="A32" s="77">
        <v>29</v>
      </c>
      <c r="B32" s="78" t="s">
        <v>6</v>
      </c>
      <c r="C32" s="78" t="s">
        <v>8</v>
      </c>
      <c r="D32" s="78" t="s">
        <v>55</v>
      </c>
      <c r="E32" s="77"/>
      <c r="F32" s="79"/>
      <c r="G32" s="80"/>
      <c r="H32" s="81">
        <f t="shared" si="0"/>
        <v>0</v>
      </c>
      <c r="I32" s="82"/>
      <c r="J32" s="77"/>
      <c r="K32" s="100">
        <v>1</v>
      </c>
      <c r="L32" s="101">
        <v>1</v>
      </c>
      <c r="M32" s="85">
        <f t="shared" si="1"/>
        <v>1</v>
      </c>
      <c r="N32" s="78" t="s">
        <v>786</v>
      </c>
      <c r="O32" s="77"/>
      <c r="P32" s="79"/>
      <c r="Q32" s="80"/>
      <c r="R32" s="81">
        <f t="shared" si="2"/>
        <v>0</v>
      </c>
      <c r="S32" s="82"/>
      <c r="T32" s="77"/>
      <c r="U32" s="79"/>
      <c r="V32" s="80"/>
      <c r="W32" s="81">
        <f t="shared" si="3"/>
        <v>0</v>
      </c>
      <c r="X32" s="82"/>
      <c r="Y32" s="77"/>
      <c r="Z32" s="79"/>
      <c r="AA32" s="80"/>
      <c r="AB32" s="81">
        <f t="shared" si="4"/>
        <v>0</v>
      </c>
      <c r="AC32" s="82"/>
      <c r="AD32" s="77"/>
      <c r="AE32" s="79"/>
      <c r="AF32" s="80"/>
      <c r="AG32" s="81">
        <f t="shared" si="5"/>
        <v>0</v>
      </c>
      <c r="AH32" s="82"/>
      <c r="AI32" s="77"/>
      <c r="AJ32" s="100">
        <v>1</v>
      </c>
      <c r="AK32" s="101">
        <v>1</v>
      </c>
      <c r="AL32" s="85">
        <f t="shared" si="6"/>
        <v>1</v>
      </c>
      <c r="AM32" s="78" t="s">
        <v>673</v>
      </c>
      <c r="AO32" s="88"/>
      <c r="AP32" s="89"/>
      <c r="AQ32" s="90">
        <f t="shared" si="7"/>
        <v>0</v>
      </c>
      <c r="AR32" s="91"/>
    </row>
    <row r="33" spans="1:44" ht="110.25" x14ac:dyDescent="0.25">
      <c r="A33" s="77">
        <v>30</v>
      </c>
      <c r="B33" s="78" t="s">
        <v>6</v>
      </c>
      <c r="C33" s="78" t="s">
        <v>8</v>
      </c>
      <c r="D33" s="78" t="s">
        <v>56</v>
      </c>
      <c r="E33" s="77"/>
      <c r="F33" s="79"/>
      <c r="G33" s="80"/>
      <c r="H33" s="81">
        <f t="shared" si="0"/>
        <v>0</v>
      </c>
      <c r="I33" s="82"/>
      <c r="J33" s="77"/>
      <c r="K33" s="100">
        <v>1</v>
      </c>
      <c r="L33" s="101">
        <v>0.95</v>
      </c>
      <c r="M33" s="85">
        <f t="shared" si="1"/>
        <v>0.95</v>
      </c>
      <c r="N33" s="78" t="s">
        <v>950</v>
      </c>
      <c r="O33" s="77"/>
      <c r="P33" s="79"/>
      <c r="Q33" s="80"/>
      <c r="R33" s="81">
        <f t="shared" si="2"/>
        <v>0</v>
      </c>
      <c r="S33" s="82"/>
      <c r="T33" s="77"/>
      <c r="U33" s="79"/>
      <c r="V33" s="80"/>
      <c r="W33" s="81">
        <f t="shared" si="3"/>
        <v>0</v>
      </c>
      <c r="X33" s="82"/>
      <c r="Y33" s="77"/>
      <c r="Z33" s="79"/>
      <c r="AA33" s="80"/>
      <c r="AB33" s="81">
        <f t="shared" si="4"/>
        <v>0</v>
      </c>
      <c r="AC33" s="82"/>
      <c r="AD33" s="77"/>
      <c r="AE33" s="79"/>
      <c r="AF33" s="80"/>
      <c r="AG33" s="81">
        <f t="shared" si="5"/>
        <v>0</v>
      </c>
      <c r="AH33" s="82"/>
      <c r="AI33" s="77"/>
      <c r="AJ33" s="100">
        <v>1</v>
      </c>
      <c r="AK33" s="101">
        <v>0.3</v>
      </c>
      <c r="AL33" s="85">
        <f t="shared" si="6"/>
        <v>0.3</v>
      </c>
      <c r="AM33" s="78" t="s">
        <v>809</v>
      </c>
      <c r="AO33" s="88"/>
      <c r="AP33" s="89"/>
      <c r="AQ33" s="90">
        <f t="shared" si="7"/>
        <v>0</v>
      </c>
      <c r="AR33" s="91"/>
    </row>
    <row r="34" spans="1:44" ht="94.5" customHeight="1" x14ac:dyDescent="0.25">
      <c r="A34" s="77">
        <v>31</v>
      </c>
      <c r="B34" s="78" t="s">
        <v>6</v>
      </c>
      <c r="C34" s="78" t="s">
        <v>9</v>
      </c>
      <c r="D34" s="102" t="s">
        <v>57</v>
      </c>
      <c r="E34" s="77"/>
      <c r="F34" s="79"/>
      <c r="G34" s="80"/>
      <c r="H34" s="81">
        <f t="shared" si="0"/>
        <v>0</v>
      </c>
      <c r="I34" s="82"/>
      <c r="J34" s="77"/>
      <c r="K34" s="100">
        <v>1</v>
      </c>
      <c r="L34" s="101">
        <v>0.62</v>
      </c>
      <c r="M34" s="85">
        <f t="shared" si="1"/>
        <v>0.62</v>
      </c>
      <c r="N34" s="78" t="s">
        <v>951</v>
      </c>
      <c r="O34" s="77"/>
      <c r="P34" s="79"/>
      <c r="Q34" s="80"/>
      <c r="R34" s="81">
        <f t="shared" si="2"/>
        <v>0</v>
      </c>
      <c r="S34" s="82"/>
      <c r="T34" s="77"/>
      <c r="U34" s="79"/>
      <c r="V34" s="80"/>
      <c r="W34" s="81">
        <f t="shared" si="3"/>
        <v>0</v>
      </c>
      <c r="X34" s="82"/>
      <c r="Y34" s="77"/>
      <c r="Z34" s="79"/>
      <c r="AA34" s="80"/>
      <c r="AB34" s="81">
        <f t="shared" si="4"/>
        <v>0</v>
      </c>
      <c r="AC34" s="82"/>
      <c r="AD34" s="77"/>
      <c r="AE34" s="79"/>
      <c r="AF34" s="80"/>
      <c r="AG34" s="81">
        <f t="shared" si="5"/>
        <v>0</v>
      </c>
      <c r="AH34" s="82"/>
      <c r="AI34" s="77"/>
      <c r="AJ34" s="100">
        <v>1</v>
      </c>
      <c r="AK34" s="101">
        <v>0.3</v>
      </c>
      <c r="AL34" s="85">
        <f t="shared" si="6"/>
        <v>0.3</v>
      </c>
      <c r="AM34" s="78" t="s">
        <v>610</v>
      </c>
      <c r="AO34" s="88"/>
      <c r="AP34" s="89"/>
      <c r="AQ34" s="90">
        <f t="shared" si="7"/>
        <v>0</v>
      </c>
      <c r="AR34" s="91"/>
    </row>
    <row r="35" spans="1:44" ht="110.25" x14ac:dyDescent="0.25">
      <c r="A35" s="77">
        <v>32</v>
      </c>
      <c r="B35" s="78" t="s">
        <v>6</v>
      </c>
      <c r="C35" s="78" t="s">
        <v>9</v>
      </c>
      <c r="D35" s="102" t="s">
        <v>58</v>
      </c>
      <c r="E35" s="77"/>
      <c r="F35" s="79"/>
      <c r="G35" s="80"/>
      <c r="H35" s="81">
        <f t="shared" si="0"/>
        <v>0</v>
      </c>
      <c r="I35" s="78"/>
      <c r="J35" s="77"/>
      <c r="K35" s="100">
        <v>1</v>
      </c>
      <c r="L35" s="101">
        <v>0.9</v>
      </c>
      <c r="M35" s="85">
        <f t="shared" si="1"/>
        <v>0.9</v>
      </c>
      <c r="N35" s="78" t="s">
        <v>152</v>
      </c>
      <c r="O35" s="77"/>
      <c r="P35" s="79"/>
      <c r="Q35" s="80"/>
      <c r="R35" s="81">
        <f t="shared" si="2"/>
        <v>0</v>
      </c>
      <c r="S35" s="82"/>
      <c r="T35" s="77"/>
      <c r="U35" s="79"/>
      <c r="V35" s="80"/>
      <c r="W35" s="81">
        <f t="shared" si="3"/>
        <v>0</v>
      </c>
      <c r="X35" s="82"/>
      <c r="Y35" s="77"/>
      <c r="Z35" s="79"/>
      <c r="AA35" s="80"/>
      <c r="AB35" s="81">
        <f t="shared" si="4"/>
        <v>0</v>
      </c>
      <c r="AC35" s="82"/>
      <c r="AD35" s="77"/>
      <c r="AE35" s="79"/>
      <c r="AF35" s="80"/>
      <c r="AG35" s="81">
        <f t="shared" si="5"/>
        <v>0</v>
      </c>
      <c r="AH35" s="82"/>
      <c r="AI35" s="77"/>
      <c r="AJ35" s="100">
        <v>1</v>
      </c>
      <c r="AK35" s="101">
        <v>0.1</v>
      </c>
      <c r="AL35" s="85">
        <f t="shared" si="6"/>
        <v>0.1</v>
      </c>
      <c r="AM35" s="78" t="s">
        <v>965</v>
      </c>
      <c r="AO35" s="88"/>
      <c r="AP35" s="89"/>
      <c r="AQ35" s="90">
        <f t="shared" si="7"/>
        <v>0</v>
      </c>
      <c r="AR35" s="91"/>
    </row>
    <row r="36" spans="1:44" ht="126" x14ac:dyDescent="0.25">
      <c r="A36" s="77">
        <v>33</v>
      </c>
      <c r="B36" s="78" t="s">
        <v>6</v>
      </c>
      <c r="C36" s="78" t="s">
        <v>9</v>
      </c>
      <c r="D36" s="78" t="s">
        <v>59</v>
      </c>
      <c r="E36" s="77"/>
      <c r="F36" s="79"/>
      <c r="G36" s="80"/>
      <c r="H36" s="81">
        <f t="shared" si="0"/>
        <v>0</v>
      </c>
      <c r="I36" s="82"/>
      <c r="J36" s="77"/>
      <c r="K36" s="100">
        <v>1</v>
      </c>
      <c r="L36" s="101">
        <v>1</v>
      </c>
      <c r="M36" s="85">
        <f t="shared" si="1"/>
        <v>1</v>
      </c>
      <c r="N36" s="78"/>
      <c r="O36" s="77"/>
      <c r="P36" s="79"/>
      <c r="Q36" s="80"/>
      <c r="R36" s="81">
        <f t="shared" si="2"/>
        <v>0</v>
      </c>
      <c r="S36" s="82"/>
      <c r="T36" s="77"/>
      <c r="U36" s="79"/>
      <c r="V36" s="80"/>
      <c r="W36" s="81">
        <f t="shared" si="3"/>
        <v>0</v>
      </c>
      <c r="X36" s="82"/>
      <c r="Y36" s="77"/>
      <c r="Z36" s="79"/>
      <c r="AA36" s="80"/>
      <c r="AB36" s="81">
        <f t="shared" si="4"/>
        <v>0</v>
      </c>
      <c r="AC36" s="82"/>
      <c r="AD36" s="77"/>
      <c r="AE36" s="79"/>
      <c r="AF36" s="80"/>
      <c r="AG36" s="81">
        <f t="shared" si="5"/>
        <v>0</v>
      </c>
      <c r="AH36" s="82"/>
      <c r="AI36" s="77"/>
      <c r="AJ36" s="100">
        <v>1</v>
      </c>
      <c r="AK36" s="101">
        <v>0.5</v>
      </c>
      <c r="AL36" s="85">
        <f t="shared" si="6"/>
        <v>0.5</v>
      </c>
      <c r="AM36" s="78" t="s">
        <v>612</v>
      </c>
      <c r="AO36" s="88"/>
      <c r="AP36" s="89"/>
      <c r="AQ36" s="90">
        <f t="shared" si="7"/>
        <v>0</v>
      </c>
      <c r="AR36" s="91"/>
    </row>
    <row r="37" spans="1:44" ht="110.25" x14ac:dyDescent="0.25">
      <c r="A37" s="77">
        <v>34</v>
      </c>
      <c r="B37" s="78" t="s">
        <v>6</v>
      </c>
      <c r="C37" s="78" t="s">
        <v>9</v>
      </c>
      <c r="D37" s="78" t="s">
        <v>60</v>
      </c>
      <c r="E37" s="77"/>
      <c r="F37" s="79"/>
      <c r="G37" s="80"/>
      <c r="H37" s="81">
        <f t="shared" si="0"/>
        <v>0</v>
      </c>
      <c r="I37" s="82"/>
      <c r="J37" s="77"/>
      <c r="K37" s="100">
        <v>1</v>
      </c>
      <c r="L37" s="101">
        <v>0.98</v>
      </c>
      <c r="M37" s="85">
        <f t="shared" si="1"/>
        <v>0.98</v>
      </c>
      <c r="N37" s="78" t="s">
        <v>952</v>
      </c>
      <c r="O37" s="77"/>
      <c r="P37" s="79"/>
      <c r="Q37" s="80"/>
      <c r="R37" s="81">
        <f t="shared" si="2"/>
        <v>0</v>
      </c>
      <c r="S37" s="82"/>
      <c r="T37" s="77"/>
      <c r="U37" s="79"/>
      <c r="V37" s="80"/>
      <c r="W37" s="81">
        <f t="shared" si="3"/>
        <v>0</v>
      </c>
      <c r="X37" s="82"/>
      <c r="Y37" s="77"/>
      <c r="Z37" s="79"/>
      <c r="AA37" s="80"/>
      <c r="AB37" s="81">
        <f t="shared" si="4"/>
        <v>0</v>
      </c>
      <c r="AC37" s="82"/>
      <c r="AD37" s="77"/>
      <c r="AE37" s="79"/>
      <c r="AF37" s="80"/>
      <c r="AG37" s="81">
        <f t="shared" si="5"/>
        <v>0</v>
      </c>
      <c r="AH37" s="82"/>
      <c r="AI37" s="77"/>
      <c r="AJ37" s="100">
        <v>1</v>
      </c>
      <c r="AK37" s="101">
        <v>1</v>
      </c>
      <c r="AL37" s="85">
        <f t="shared" si="6"/>
        <v>1</v>
      </c>
      <c r="AM37" s="78" t="s">
        <v>613</v>
      </c>
      <c r="AO37" s="88"/>
      <c r="AP37" s="89"/>
      <c r="AQ37" s="90">
        <f t="shared" si="7"/>
        <v>0</v>
      </c>
      <c r="AR37" s="91"/>
    </row>
    <row r="38" spans="1:44" ht="110.25" x14ac:dyDescent="0.25">
      <c r="A38" s="77">
        <v>35</v>
      </c>
      <c r="B38" s="78" t="s">
        <v>6</v>
      </c>
      <c r="C38" s="78" t="s">
        <v>9</v>
      </c>
      <c r="D38" s="78" t="s">
        <v>61</v>
      </c>
      <c r="E38" s="77"/>
      <c r="F38" s="79"/>
      <c r="G38" s="80"/>
      <c r="H38" s="81">
        <f t="shared" si="0"/>
        <v>0</v>
      </c>
      <c r="I38" s="82"/>
      <c r="J38" s="77"/>
      <c r="K38" s="100">
        <v>1</v>
      </c>
      <c r="L38" s="101">
        <v>0.9</v>
      </c>
      <c r="M38" s="85">
        <f t="shared" si="1"/>
        <v>0.9</v>
      </c>
      <c r="N38" s="78" t="s">
        <v>577</v>
      </c>
      <c r="O38" s="77"/>
      <c r="P38" s="79"/>
      <c r="Q38" s="80"/>
      <c r="R38" s="81">
        <f t="shared" si="2"/>
        <v>0</v>
      </c>
      <c r="S38" s="82"/>
      <c r="T38" s="77"/>
      <c r="U38" s="79"/>
      <c r="V38" s="80"/>
      <c r="W38" s="81">
        <f t="shared" si="3"/>
        <v>0</v>
      </c>
      <c r="X38" s="82"/>
      <c r="Y38" s="77"/>
      <c r="Z38" s="79"/>
      <c r="AA38" s="80"/>
      <c r="AB38" s="81">
        <f t="shared" si="4"/>
        <v>0</v>
      </c>
      <c r="AC38" s="82"/>
      <c r="AD38" s="77"/>
      <c r="AE38" s="79"/>
      <c r="AF38" s="80"/>
      <c r="AG38" s="81">
        <f t="shared" si="5"/>
        <v>0</v>
      </c>
      <c r="AH38" s="82"/>
      <c r="AI38" s="77"/>
      <c r="AJ38" s="100">
        <v>1</v>
      </c>
      <c r="AK38" s="101">
        <v>0.1</v>
      </c>
      <c r="AL38" s="85">
        <f t="shared" si="6"/>
        <v>0.1</v>
      </c>
      <c r="AM38" s="78" t="s">
        <v>723</v>
      </c>
      <c r="AO38" s="88"/>
      <c r="AP38" s="89"/>
      <c r="AQ38" s="90">
        <f t="shared" si="7"/>
        <v>0</v>
      </c>
      <c r="AR38" s="91"/>
    </row>
    <row r="39" spans="1:44" ht="236.25" x14ac:dyDescent="0.25">
      <c r="A39" s="77">
        <v>36</v>
      </c>
      <c r="B39" s="78" t="s">
        <v>6</v>
      </c>
      <c r="C39" s="78" t="s">
        <v>9</v>
      </c>
      <c r="D39" s="78" t="s">
        <v>62</v>
      </c>
      <c r="E39" s="77"/>
      <c r="F39" s="79"/>
      <c r="G39" s="80"/>
      <c r="H39" s="81">
        <f t="shared" si="0"/>
        <v>0</v>
      </c>
      <c r="I39" s="82"/>
      <c r="J39" s="77"/>
      <c r="K39" s="100">
        <v>1</v>
      </c>
      <c r="L39" s="101">
        <v>0.9</v>
      </c>
      <c r="M39" s="85">
        <f t="shared" si="1"/>
        <v>0.9</v>
      </c>
      <c r="N39" s="78" t="s">
        <v>928</v>
      </c>
      <c r="O39" s="77"/>
      <c r="P39" s="79"/>
      <c r="Q39" s="80"/>
      <c r="R39" s="81">
        <f t="shared" si="2"/>
        <v>0</v>
      </c>
      <c r="S39" s="82"/>
      <c r="T39" s="77"/>
      <c r="U39" s="79"/>
      <c r="V39" s="80"/>
      <c r="W39" s="81">
        <f t="shared" si="3"/>
        <v>0</v>
      </c>
      <c r="X39" s="82"/>
      <c r="Y39" s="77"/>
      <c r="Z39" s="79"/>
      <c r="AA39" s="80"/>
      <c r="AB39" s="81">
        <f t="shared" si="4"/>
        <v>0</v>
      </c>
      <c r="AC39" s="82"/>
      <c r="AD39" s="77"/>
      <c r="AE39" s="79"/>
      <c r="AF39" s="80"/>
      <c r="AG39" s="81">
        <f t="shared" si="5"/>
        <v>0</v>
      </c>
      <c r="AH39" s="82"/>
      <c r="AI39" s="77"/>
      <c r="AJ39" s="100">
        <v>1</v>
      </c>
      <c r="AK39" s="101">
        <v>0.4</v>
      </c>
      <c r="AL39" s="85">
        <f t="shared" si="6"/>
        <v>0.4</v>
      </c>
      <c r="AM39" s="78" t="s">
        <v>675</v>
      </c>
      <c r="AO39" s="88"/>
      <c r="AP39" s="89"/>
      <c r="AQ39" s="90">
        <f t="shared" si="7"/>
        <v>0</v>
      </c>
      <c r="AR39" s="91"/>
    </row>
    <row r="40" spans="1:44" ht="78.75" x14ac:dyDescent="0.25">
      <c r="A40" s="77">
        <v>37</v>
      </c>
      <c r="B40" s="78" t="s">
        <v>6</v>
      </c>
      <c r="C40" s="78" t="s">
        <v>9</v>
      </c>
      <c r="D40" s="78" t="s">
        <v>63</v>
      </c>
      <c r="E40" s="77"/>
      <c r="F40" s="79"/>
      <c r="G40" s="80"/>
      <c r="H40" s="81">
        <f t="shared" si="0"/>
        <v>0</v>
      </c>
      <c r="I40" s="82"/>
      <c r="J40" s="77"/>
      <c r="K40" s="100">
        <v>1</v>
      </c>
      <c r="L40" s="101">
        <v>0.65</v>
      </c>
      <c r="M40" s="85">
        <f t="shared" si="1"/>
        <v>0.65</v>
      </c>
      <c r="N40" s="78" t="s">
        <v>953</v>
      </c>
      <c r="O40" s="77"/>
      <c r="P40" s="79"/>
      <c r="Q40" s="80"/>
      <c r="R40" s="81">
        <f t="shared" si="2"/>
        <v>0</v>
      </c>
      <c r="S40" s="82"/>
      <c r="T40" s="77"/>
      <c r="U40" s="79"/>
      <c r="V40" s="80"/>
      <c r="W40" s="81">
        <f t="shared" si="3"/>
        <v>0</v>
      </c>
      <c r="X40" s="82"/>
      <c r="Y40" s="77"/>
      <c r="Z40" s="79"/>
      <c r="AA40" s="80"/>
      <c r="AB40" s="81">
        <f t="shared" si="4"/>
        <v>0</v>
      </c>
      <c r="AC40" s="82"/>
      <c r="AD40" s="77"/>
      <c r="AE40" s="79"/>
      <c r="AF40" s="80"/>
      <c r="AG40" s="81">
        <f t="shared" si="5"/>
        <v>0</v>
      </c>
      <c r="AH40" s="82"/>
      <c r="AI40" s="77"/>
      <c r="AJ40" s="100">
        <v>1</v>
      </c>
      <c r="AK40" s="101">
        <v>0.99</v>
      </c>
      <c r="AL40" s="85">
        <f t="shared" si="6"/>
        <v>0.99</v>
      </c>
      <c r="AM40" s="78" t="s">
        <v>616</v>
      </c>
      <c r="AO40" s="88"/>
      <c r="AP40" s="89"/>
      <c r="AQ40" s="90">
        <f t="shared" si="7"/>
        <v>0</v>
      </c>
      <c r="AR40" s="91"/>
    </row>
    <row r="41" spans="1:44" ht="189" x14ac:dyDescent="0.25">
      <c r="A41" s="77">
        <v>38</v>
      </c>
      <c r="B41" s="78" t="s">
        <v>10</v>
      </c>
      <c r="C41" s="78" t="s">
        <v>11</v>
      </c>
      <c r="D41" s="78" t="s">
        <v>65</v>
      </c>
      <c r="E41" s="77"/>
      <c r="F41" s="79"/>
      <c r="G41" s="80"/>
      <c r="H41" s="81">
        <f t="shared" si="0"/>
        <v>0</v>
      </c>
      <c r="I41" s="82"/>
      <c r="J41" s="77"/>
      <c r="K41" s="100">
        <v>1</v>
      </c>
      <c r="L41" s="101">
        <v>0.97</v>
      </c>
      <c r="M41" s="85">
        <f t="shared" si="1"/>
        <v>0.97</v>
      </c>
      <c r="N41" s="78" t="s">
        <v>1528</v>
      </c>
      <c r="O41" s="77"/>
      <c r="P41" s="79"/>
      <c r="Q41" s="80"/>
      <c r="R41" s="81">
        <f t="shared" si="2"/>
        <v>0</v>
      </c>
      <c r="S41" s="82"/>
      <c r="T41" s="77"/>
      <c r="U41" s="79"/>
      <c r="V41" s="80"/>
      <c r="W41" s="81">
        <f t="shared" si="3"/>
        <v>0</v>
      </c>
      <c r="X41" s="82"/>
      <c r="Y41" s="77"/>
      <c r="Z41" s="79"/>
      <c r="AA41" s="80"/>
      <c r="AB41" s="81">
        <f t="shared" si="4"/>
        <v>0</v>
      </c>
      <c r="AC41" s="82"/>
      <c r="AD41" s="77"/>
      <c r="AE41" s="79"/>
      <c r="AF41" s="80"/>
      <c r="AG41" s="81">
        <f t="shared" si="5"/>
        <v>0</v>
      </c>
      <c r="AH41" s="82"/>
      <c r="AI41" s="77"/>
      <c r="AJ41" s="100">
        <v>1</v>
      </c>
      <c r="AK41" s="101">
        <v>0.67</v>
      </c>
      <c r="AL41" s="85">
        <f t="shared" si="6"/>
        <v>0.67</v>
      </c>
      <c r="AM41" s="78" t="s">
        <v>1529</v>
      </c>
      <c r="AO41" s="88"/>
      <c r="AP41" s="89"/>
      <c r="AQ41" s="90">
        <f t="shared" si="7"/>
        <v>0</v>
      </c>
      <c r="AR41" s="91"/>
    </row>
    <row r="42" spans="1:44" ht="105.75" customHeight="1" x14ac:dyDescent="0.25">
      <c r="A42" s="77">
        <v>39</v>
      </c>
      <c r="B42" s="78" t="s">
        <v>10</v>
      </c>
      <c r="C42" s="78" t="s">
        <v>11</v>
      </c>
      <c r="D42" s="78" t="s">
        <v>66</v>
      </c>
      <c r="E42" s="77"/>
      <c r="F42" s="79"/>
      <c r="G42" s="80"/>
      <c r="H42" s="81">
        <f t="shared" si="0"/>
        <v>0</v>
      </c>
      <c r="I42" s="82"/>
      <c r="J42" s="77"/>
      <c r="K42" s="100">
        <v>1</v>
      </c>
      <c r="L42" s="101">
        <v>1</v>
      </c>
      <c r="M42" s="85">
        <f t="shared" si="1"/>
        <v>1</v>
      </c>
      <c r="N42" s="78" t="s">
        <v>1067</v>
      </c>
      <c r="O42" s="77"/>
      <c r="P42" s="79"/>
      <c r="Q42" s="80"/>
      <c r="R42" s="81">
        <f t="shared" si="2"/>
        <v>0</v>
      </c>
      <c r="S42" s="82"/>
      <c r="T42" s="77"/>
      <c r="U42" s="79"/>
      <c r="V42" s="80"/>
      <c r="W42" s="81">
        <f t="shared" si="3"/>
        <v>0</v>
      </c>
      <c r="X42" s="82"/>
      <c r="Y42" s="77"/>
      <c r="Z42" s="79"/>
      <c r="AA42" s="80"/>
      <c r="AB42" s="81">
        <f t="shared" si="4"/>
        <v>0</v>
      </c>
      <c r="AC42" s="82"/>
      <c r="AD42" s="77"/>
      <c r="AE42" s="79"/>
      <c r="AF42" s="80"/>
      <c r="AG42" s="81">
        <f t="shared" si="5"/>
        <v>0</v>
      </c>
      <c r="AH42" s="82"/>
      <c r="AI42" s="77"/>
      <c r="AJ42" s="100">
        <v>1</v>
      </c>
      <c r="AK42" s="101">
        <v>1</v>
      </c>
      <c r="AL42" s="85">
        <f t="shared" si="6"/>
        <v>1</v>
      </c>
      <c r="AM42" s="78" t="s">
        <v>1071</v>
      </c>
      <c r="AO42" s="88"/>
      <c r="AP42" s="89"/>
      <c r="AQ42" s="90">
        <f t="shared" si="7"/>
        <v>0</v>
      </c>
      <c r="AR42" s="91"/>
    </row>
    <row r="43" spans="1:44" ht="45.75" customHeight="1" x14ac:dyDescent="0.25">
      <c r="A43" s="77">
        <v>40</v>
      </c>
      <c r="B43" s="78" t="s">
        <v>10</v>
      </c>
      <c r="C43" s="78" t="s">
        <v>11</v>
      </c>
      <c r="D43" s="78" t="s">
        <v>67</v>
      </c>
      <c r="E43" s="77"/>
      <c r="F43" s="79"/>
      <c r="G43" s="80"/>
      <c r="H43" s="81">
        <f t="shared" si="0"/>
        <v>0</v>
      </c>
      <c r="I43" s="82"/>
      <c r="J43" s="77"/>
      <c r="K43" s="100">
        <v>1</v>
      </c>
      <c r="L43" s="101">
        <v>1</v>
      </c>
      <c r="M43" s="85">
        <f t="shared" si="1"/>
        <v>1</v>
      </c>
      <c r="N43" s="78" t="s">
        <v>1080</v>
      </c>
      <c r="O43" s="77"/>
      <c r="P43" s="79"/>
      <c r="Q43" s="80"/>
      <c r="R43" s="81">
        <f t="shared" si="2"/>
        <v>0</v>
      </c>
      <c r="S43" s="82"/>
      <c r="T43" s="77"/>
      <c r="U43" s="79"/>
      <c r="V43" s="80"/>
      <c r="W43" s="81">
        <f t="shared" si="3"/>
        <v>0</v>
      </c>
      <c r="X43" s="82"/>
      <c r="Y43" s="77"/>
      <c r="Z43" s="79"/>
      <c r="AA43" s="80"/>
      <c r="AB43" s="81">
        <f t="shared" si="4"/>
        <v>0</v>
      </c>
      <c r="AC43" s="82"/>
      <c r="AD43" s="77"/>
      <c r="AE43" s="79"/>
      <c r="AF43" s="80"/>
      <c r="AG43" s="81">
        <f t="shared" si="5"/>
        <v>0</v>
      </c>
      <c r="AH43" s="82"/>
      <c r="AI43" s="77"/>
      <c r="AJ43" s="100">
        <v>1</v>
      </c>
      <c r="AK43" s="101">
        <v>0.5</v>
      </c>
      <c r="AL43" s="85">
        <f t="shared" si="6"/>
        <v>0.5</v>
      </c>
      <c r="AM43" s="78" t="s">
        <v>1530</v>
      </c>
      <c r="AO43" s="88"/>
      <c r="AP43" s="89"/>
      <c r="AQ43" s="90">
        <f t="shared" si="7"/>
        <v>0</v>
      </c>
      <c r="AR43" s="91"/>
    </row>
    <row r="44" spans="1:44" ht="78.75" x14ac:dyDescent="0.25">
      <c r="A44" s="77">
        <v>41</v>
      </c>
      <c r="B44" s="78" t="s">
        <v>10</v>
      </c>
      <c r="C44" s="78" t="s">
        <v>11</v>
      </c>
      <c r="D44" s="78" t="s">
        <v>68</v>
      </c>
      <c r="E44" s="77"/>
      <c r="F44" s="79"/>
      <c r="G44" s="80"/>
      <c r="H44" s="81">
        <f t="shared" si="0"/>
        <v>0</v>
      </c>
      <c r="I44" s="82"/>
      <c r="J44" s="77"/>
      <c r="K44" s="100">
        <v>1</v>
      </c>
      <c r="L44" s="101">
        <v>1</v>
      </c>
      <c r="M44" s="85">
        <f t="shared" si="1"/>
        <v>1</v>
      </c>
      <c r="N44" s="78" t="s">
        <v>1067</v>
      </c>
      <c r="O44" s="77"/>
      <c r="P44" s="79"/>
      <c r="Q44" s="80"/>
      <c r="R44" s="81">
        <f t="shared" si="2"/>
        <v>0</v>
      </c>
      <c r="S44" s="82"/>
      <c r="T44" s="77"/>
      <c r="U44" s="79"/>
      <c r="V44" s="80"/>
      <c r="W44" s="81">
        <f t="shared" si="3"/>
        <v>0</v>
      </c>
      <c r="X44" s="82"/>
      <c r="Y44" s="77"/>
      <c r="Z44" s="79"/>
      <c r="AA44" s="80"/>
      <c r="AB44" s="81">
        <f t="shared" si="4"/>
        <v>0</v>
      </c>
      <c r="AC44" s="82"/>
      <c r="AD44" s="77"/>
      <c r="AE44" s="79"/>
      <c r="AF44" s="80"/>
      <c r="AG44" s="81">
        <f t="shared" si="5"/>
        <v>0</v>
      </c>
      <c r="AH44" s="82"/>
      <c r="AI44" s="77"/>
      <c r="AJ44" s="100">
        <v>1</v>
      </c>
      <c r="AK44" s="101">
        <v>0.8</v>
      </c>
      <c r="AL44" s="85">
        <f t="shared" si="6"/>
        <v>0.8</v>
      </c>
      <c r="AM44" s="78" t="s">
        <v>1531</v>
      </c>
      <c r="AO44" s="88"/>
      <c r="AP44" s="89"/>
      <c r="AQ44" s="90">
        <f t="shared" si="7"/>
        <v>0</v>
      </c>
      <c r="AR44" s="91"/>
    </row>
    <row r="45" spans="1:44" ht="47.25" x14ac:dyDescent="0.25">
      <c r="A45" s="77">
        <v>42</v>
      </c>
      <c r="B45" s="78" t="s">
        <v>10</v>
      </c>
      <c r="C45" s="78" t="s">
        <v>11</v>
      </c>
      <c r="D45" s="78" t="s">
        <v>69</v>
      </c>
      <c r="E45" s="77"/>
      <c r="F45" s="79"/>
      <c r="G45" s="80"/>
      <c r="H45" s="81">
        <f t="shared" si="0"/>
        <v>0</v>
      </c>
      <c r="I45" s="82"/>
      <c r="J45" s="77"/>
      <c r="K45" s="100">
        <v>1</v>
      </c>
      <c r="L45" s="101">
        <v>1</v>
      </c>
      <c r="M45" s="85">
        <f t="shared" si="1"/>
        <v>1</v>
      </c>
      <c r="N45" s="78" t="s">
        <v>1063</v>
      </c>
      <c r="O45" s="77"/>
      <c r="P45" s="79"/>
      <c r="Q45" s="80"/>
      <c r="R45" s="81">
        <f t="shared" si="2"/>
        <v>0</v>
      </c>
      <c r="S45" s="82"/>
      <c r="T45" s="77"/>
      <c r="U45" s="79"/>
      <c r="V45" s="80"/>
      <c r="W45" s="81">
        <f t="shared" si="3"/>
        <v>0</v>
      </c>
      <c r="X45" s="82"/>
      <c r="Y45" s="77"/>
      <c r="Z45" s="79"/>
      <c r="AA45" s="80"/>
      <c r="AB45" s="81">
        <f t="shared" si="4"/>
        <v>0</v>
      </c>
      <c r="AC45" s="82"/>
      <c r="AD45" s="77"/>
      <c r="AE45" s="79"/>
      <c r="AF45" s="80"/>
      <c r="AG45" s="81">
        <f t="shared" si="5"/>
        <v>0</v>
      </c>
      <c r="AH45" s="82"/>
      <c r="AI45" s="77"/>
      <c r="AJ45" s="100">
        <v>1</v>
      </c>
      <c r="AK45" s="101">
        <v>0.7</v>
      </c>
      <c r="AL45" s="85">
        <f t="shared" si="6"/>
        <v>0.7</v>
      </c>
      <c r="AM45" s="78" t="s">
        <v>1409</v>
      </c>
      <c r="AO45" s="88"/>
      <c r="AP45" s="89"/>
      <c r="AQ45" s="90">
        <f t="shared" si="7"/>
        <v>0</v>
      </c>
      <c r="AR45" s="91"/>
    </row>
    <row r="46" spans="1:44" ht="189" x14ac:dyDescent="0.25">
      <c r="A46" s="77">
        <v>43</v>
      </c>
      <c r="B46" s="78" t="s">
        <v>10</v>
      </c>
      <c r="C46" s="78" t="s">
        <v>11</v>
      </c>
      <c r="D46" s="78" t="s">
        <v>70</v>
      </c>
      <c r="E46" s="77"/>
      <c r="F46" s="79"/>
      <c r="G46" s="80"/>
      <c r="H46" s="81">
        <f t="shared" si="0"/>
        <v>0</v>
      </c>
      <c r="I46" s="82"/>
      <c r="J46" s="77"/>
      <c r="K46" s="100">
        <v>1</v>
      </c>
      <c r="L46" s="101">
        <v>1</v>
      </c>
      <c r="M46" s="85">
        <f t="shared" si="1"/>
        <v>1</v>
      </c>
      <c r="N46" s="78" t="s">
        <v>1083</v>
      </c>
      <c r="O46" s="77"/>
      <c r="P46" s="79"/>
      <c r="Q46" s="80"/>
      <c r="R46" s="81">
        <f t="shared" si="2"/>
        <v>0</v>
      </c>
      <c r="S46" s="82"/>
      <c r="T46" s="77"/>
      <c r="U46" s="79"/>
      <c r="V46" s="80"/>
      <c r="W46" s="81">
        <f t="shared" si="3"/>
        <v>0</v>
      </c>
      <c r="X46" s="82"/>
      <c r="Y46" s="77"/>
      <c r="Z46" s="79"/>
      <c r="AA46" s="80"/>
      <c r="AB46" s="81">
        <f t="shared" si="4"/>
        <v>0</v>
      </c>
      <c r="AC46" s="82"/>
      <c r="AD46" s="77"/>
      <c r="AE46" s="79"/>
      <c r="AF46" s="80"/>
      <c r="AG46" s="81">
        <f t="shared" si="5"/>
        <v>0</v>
      </c>
      <c r="AH46" s="82"/>
      <c r="AI46" s="77"/>
      <c r="AJ46" s="100">
        <v>1</v>
      </c>
      <c r="AK46" s="101">
        <v>0.63</v>
      </c>
      <c r="AL46" s="85">
        <f t="shared" si="6"/>
        <v>0.63</v>
      </c>
      <c r="AM46" s="78" t="s">
        <v>1532</v>
      </c>
      <c r="AO46" s="88"/>
      <c r="AP46" s="89"/>
      <c r="AQ46" s="90">
        <f t="shared" si="7"/>
        <v>0</v>
      </c>
      <c r="AR46" s="91"/>
    </row>
    <row r="47" spans="1:44" ht="63" x14ac:dyDescent="0.25">
      <c r="A47" s="77">
        <v>44</v>
      </c>
      <c r="B47" s="78" t="s">
        <v>10</v>
      </c>
      <c r="C47" s="78" t="s">
        <v>11</v>
      </c>
      <c r="D47" s="78" t="s">
        <v>12</v>
      </c>
      <c r="E47" s="77"/>
      <c r="F47" s="79"/>
      <c r="G47" s="80"/>
      <c r="H47" s="81">
        <f t="shared" si="0"/>
        <v>0</v>
      </c>
      <c r="I47" s="82"/>
      <c r="J47" s="77"/>
      <c r="K47" s="100">
        <v>1</v>
      </c>
      <c r="L47" s="101">
        <v>1</v>
      </c>
      <c r="M47" s="85">
        <f t="shared" si="1"/>
        <v>1</v>
      </c>
      <c r="N47" s="78" t="s">
        <v>1062</v>
      </c>
      <c r="O47" s="77"/>
      <c r="P47" s="79"/>
      <c r="Q47" s="80"/>
      <c r="R47" s="81">
        <f t="shared" si="2"/>
        <v>0</v>
      </c>
      <c r="S47" s="82"/>
      <c r="T47" s="77"/>
      <c r="U47" s="79"/>
      <c r="V47" s="80"/>
      <c r="W47" s="81">
        <f t="shared" si="3"/>
        <v>0</v>
      </c>
      <c r="X47" s="82"/>
      <c r="Y47" s="77"/>
      <c r="Z47" s="79"/>
      <c r="AA47" s="80"/>
      <c r="AB47" s="81">
        <f t="shared" si="4"/>
        <v>0</v>
      </c>
      <c r="AC47" s="82"/>
      <c r="AD47" s="77"/>
      <c r="AE47" s="79"/>
      <c r="AF47" s="80"/>
      <c r="AG47" s="81">
        <f t="shared" si="5"/>
        <v>0</v>
      </c>
      <c r="AH47" s="82"/>
      <c r="AI47" s="77"/>
      <c r="AJ47" s="100">
        <v>1</v>
      </c>
      <c r="AK47" s="101">
        <v>0.5</v>
      </c>
      <c r="AL47" s="85">
        <f t="shared" si="6"/>
        <v>0.5</v>
      </c>
      <c r="AM47" s="78" t="s">
        <v>1414</v>
      </c>
      <c r="AO47" s="88"/>
      <c r="AP47" s="89"/>
      <c r="AQ47" s="90">
        <f t="shared" si="7"/>
        <v>0</v>
      </c>
      <c r="AR47" s="91"/>
    </row>
    <row r="48" spans="1:44" ht="110.25" x14ac:dyDescent="0.25">
      <c r="A48" s="77">
        <v>45</v>
      </c>
      <c r="B48" s="78" t="s">
        <v>10</v>
      </c>
      <c r="C48" s="78" t="s">
        <v>71</v>
      </c>
      <c r="D48" s="78" t="s">
        <v>72</v>
      </c>
      <c r="E48" s="77"/>
      <c r="F48" s="79"/>
      <c r="G48" s="80"/>
      <c r="H48" s="81">
        <f t="shared" si="0"/>
        <v>0</v>
      </c>
      <c r="I48" s="82"/>
      <c r="J48" s="77"/>
      <c r="K48" s="100">
        <v>1</v>
      </c>
      <c r="L48" s="101">
        <v>1</v>
      </c>
      <c r="M48" s="85">
        <f t="shared" si="1"/>
        <v>1</v>
      </c>
      <c r="N48" s="78" t="s">
        <v>1082</v>
      </c>
      <c r="O48" s="77"/>
      <c r="P48" s="79"/>
      <c r="Q48" s="80"/>
      <c r="R48" s="81">
        <f t="shared" si="2"/>
        <v>0</v>
      </c>
      <c r="S48" s="82"/>
      <c r="T48" s="77"/>
      <c r="U48" s="79"/>
      <c r="V48" s="80"/>
      <c r="W48" s="81">
        <f t="shared" si="3"/>
        <v>0</v>
      </c>
      <c r="X48" s="82"/>
      <c r="Y48" s="77"/>
      <c r="Z48" s="79"/>
      <c r="AA48" s="80"/>
      <c r="AB48" s="81">
        <f t="shared" si="4"/>
        <v>0</v>
      </c>
      <c r="AC48" s="82"/>
      <c r="AD48" s="77"/>
      <c r="AE48" s="79"/>
      <c r="AF48" s="80"/>
      <c r="AG48" s="81">
        <f t="shared" si="5"/>
        <v>0</v>
      </c>
      <c r="AH48" s="82"/>
      <c r="AI48" s="77"/>
      <c r="AJ48" s="100">
        <v>1</v>
      </c>
      <c r="AK48" s="101">
        <v>0.65</v>
      </c>
      <c r="AL48" s="85">
        <f t="shared" si="6"/>
        <v>0.65</v>
      </c>
      <c r="AM48" s="78" t="s">
        <v>1533</v>
      </c>
      <c r="AO48" s="88"/>
      <c r="AP48" s="89"/>
      <c r="AQ48" s="90">
        <f t="shared" si="7"/>
        <v>0</v>
      </c>
      <c r="AR48" s="91"/>
    </row>
    <row r="49" spans="1:44" ht="47.25" x14ac:dyDescent="0.25">
      <c r="A49" s="77">
        <v>46</v>
      </c>
      <c r="B49" s="78" t="s">
        <v>10</v>
      </c>
      <c r="C49" s="78" t="s">
        <v>11</v>
      </c>
      <c r="D49" s="78" t="s">
        <v>13</v>
      </c>
      <c r="E49" s="77"/>
      <c r="F49" s="79"/>
      <c r="G49" s="80"/>
      <c r="H49" s="81">
        <f t="shared" si="0"/>
        <v>0</v>
      </c>
      <c r="I49" s="82"/>
      <c r="J49" s="77"/>
      <c r="K49" s="100">
        <v>1</v>
      </c>
      <c r="L49" s="101">
        <v>1</v>
      </c>
      <c r="M49" s="85">
        <f t="shared" si="1"/>
        <v>1</v>
      </c>
      <c r="N49" s="78" t="s">
        <v>1060</v>
      </c>
      <c r="O49" s="77"/>
      <c r="P49" s="79"/>
      <c r="Q49" s="80"/>
      <c r="R49" s="81">
        <f t="shared" si="2"/>
        <v>0</v>
      </c>
      <c r="S49" s="82"/>
      <c r="T49" s="77"/>
      <c r="U49" s="79"/>
      <c r="V49" s="80"/>
      <c r="W49" s="81">
        <f t="shared" si="3"/>
        <v>0</v>
      </c>
      <c r="X49" s="82"/>
      <c r="Y49" s="77"/>
      <c r="Z49" s="79"/>
      <c r="AA49" s="80"/>
      <c r="AB49" s="81">
        <f t="shared" si="4"/>
        <v>0</v>
      </c>
      <c r="AC49" s="82"/>
      <c r="AD49" s="77"/>
      <c r="AE49" s="79"/>
      <c r="AF49" s="80"/>
      <c r="AG49" s="81">
        <f t="shared" si="5"/>
        <v>0</v>
      </c>
      <c r="AH49" s="82"/>
      <c r="AI49" s="77"/>
      <c r="AJ49" s="100">
        <v>1</v>
      </c>
      <c r="AK49" s="101">
        <v>1</v>
      </c>
      <c r="AL49" s="85">
        <f t="shared" si="6"/>
        <v>1</v>
      </c>
      <c r="AM49" s="78" t="s">
        <v>1072</v>
      </c>
      <c r="AO49" s="88"/>
      <c r="AP49" s="89"/>
      <c r="AQ49" s="90">
        <f t="shared" si="7"/>
        <v>0</v>
      </c>
      <c r="AR49" s="91"/>
    </row>
    <row r="50" spans="1:44" ht="220.5" x14ac:dyDescent="0.25">
      <c r="A50" s="77">
        <v>47</v>
      </c>
      <c r="B50" s="78" t="s">
        <v>14</v>
      </c>
      <c r="C50" s="78" t="s">
        <v>14</v>
      </c>
      <c r="D50" s="78" t="s">
        <v>15</v>
      </c>
      <c r="E50" s="77"/>
      <c r="F50" s="79"/>
      <c r="G50" s="80"/>
      <c r="H50" s="81">
        <f t="shared" si="0"/>
        <v>0</v>
      </c>
      <c r="I50" s="82"/>
      <c r="J50" s="77"/>
      <c r="K50" s="100">
        <v>1</v>
      </c>
      <c r="L50" s="101">
        <v>0.55000000000000004</v>
      </c>
      <c r="M50" s="85">
        <f t="shared" si="1"/>
        <v>0.55000000000000004</v>
      </c>
      <c r="N50" s="78" t="s">
        <v>1295</v>
      </c>
      <c r="O50" s="77"/>
      <c r="P50" s="79"/>
      <c r="Q50" s="80"/>
      <c r="R50" s="81">
        <f t="shared" si="2"/>
        <v>0</v>
      </c>
      <c r="S50" s="82"/>
      <c r="T50" s="77"/>
      <c r="U50" s="79"/>
      <c r="V50" s="80"/>
      <c r="W50" s="81">
        <f t="shared" si="3"/>
        <v>0</v>
      </c>
      <c r="X50" s="82"/>
      <c r="Y50" s="77"/>
      <c r="Z50" s="79"/>
      <c r="AA50" s="80"/>
      <c r="AB50" s="81">
        <f t="shared" si="4"/>
        <v>0</v>
      </c>
      <c r="AC50" s="82"/>
      <c r="AD50" s="77"/>
      <c r="AE50" s="79"/>
      <c r="AF50" s="80"/>
      <c r="AG50" s="81">
        <f t="shared" si="5"/>
        <v>0</v>
      </c>
      <c r="AH50" s="82"/>
      <c r="AI50" s="77"/>
      <c r="AJ50" s="100">
        <v>1</v>
      </c>
      <c r="AK50" s="101">
        <v>0.35</v>
      </c>
      <c r="AL50" s="85">
        <f t="shared" si="6"/>
        <v>0.35</v>
      </c>
      <c r="AM50" s="78" t="s">
        <v>1127</v>
      </c>
      <c r="AO50" s="88"/>
      <c r="AP50" s="89"/>
      <c r="AQ50" s="90">
        <f t="shared" si="7"/>
        <v>0</v>
      </c>
      <c r="AR50" s="91"/>
    </row>
    <row r="51" spans="1:44" ht="142.5" customHeight="1" x14ac:dyDescent="0.25">
      <c r="A51" s="77">
        <v>48</v>
      </c>
      <c r="B51" s="78" t="s">
        <v>14</v>
      </c>
      <c r="C51" s="78" t="s">
        <v>14</v>
      </c>
      <c r="D51" s="78" t="s">
        <v>73</v>
      </c>
      <c r="E51" s="77"/>
      <c r="F51" s="79"/>
      <c r="G51" s="80"/>
      <c r="H51" s="81">
        <f t="shared" si="0"/>
        <v>0</v>
      </c>
      <c r="I51" s="82"/>
      <c r="J51" s="77"/>
      <c r="K51" s="100">
        <v>1</v>
      </c>
      <c r="L51" s="101">
        <v>0.65</v>
      </c>
      <c r="M51" s="85">
        <f t="shared" si="1"/>
        <v>0.65</v>
      </c>
      <c r="N51" s="78" t="s">
        <v>1163</v>
      </c>
      <c r="O51" s="77"/>
      <c r="P51" s="79"/>
      <c r="Q51" s="80"/>
      <c r="R51" s="81">
        <f t="shared" si="2"/>
        <v>0</v>
      </c>
      <c r="S51" s="82"/>
      <c r="T51" s="77"/>
      <c r="U51" s="79"/>
      <c r="V51" s="80"/>
      <c r="W51" s="81">
        <f t="shared" si="3"/>
        <v>0</v>
      </c>
      <c r="X51" s="82"/>
      <c r="Y51" s="77"/>
      <c r="Z51" s="79"/>
      <c r="AA51" s="80"/>
      <c r="AB51" s="81">
        <f t="shared" si="4"/>
        <v>0</v>
      </c>
      <c r="AC51" s="82"/>
      <c r="AD51" s="77"/>
      <c r="AE51" s="79"/>
      <c r="AF51" s="80"/>
      <c r="AG51" s="81">
        <f t="shared" si="5"/>
        <v>0</v>
      </c>
      <c r="AH51" s="82"/>
      <c r="AI51" s="77"/>
      <c r="AJ51" s="100">
        <v>1</v>
      </c>
      <c r="AK51" s="101">
        <v>0.15</v>
      </c>
      <c r="AL51" s="85">
        <f t="shared" si="6"/>
        <v>0.15</v>
      </c>
      <c r="AM51" s="78" t="s">
        <v>1527</v>
      </c>
      <c r="AO51" s="88"/>
      <c r="AP51" s="89"/>
      <c r="AQ51" s="90">
        <f t="shared" si="7"/>
        <v>0</v>
      </c>
      <c r="AR51" s="91"/>
    </row>
    <row r="52" spans="1:44" ht="124.5" customHeight="1" x14ac:dyDescent="0.25">
      <c r="A52" s="77">
        <v>49</v>
      </c>
      <c r="B52" s="78" t="s">
        <v>14</v>
      </c>
      <c r="C52" s="78" t="s">
        <v>14</v>
      </c>
      <c r="D52" s="78" t="s">
        <v>74</v>
      </c>
      <c r="E52" s="77"/>
      <c r="F52" s="79"/>
      <c r="G52" s="80"/>
      <c r="H52" s="81">
        <f t="shared" si="0"/>
        <v>0</v>
      </c>
      <c r="I52" s="82"/>
      <c r="J52" s="77"/>
      <c r="K52" s="100">
        <v>1</v>
      </c>
      <c r="L52" s="101">
        <v>0.5</v>
      </c>
      <c r="M52" s="85">
        <f t="shared" si="1"/>
        <v>0.5</v>
      </c>
      <c r="N52" s="78" t="s">
        <v>1164</v>
      </c>
      <c r="O52" s="77"/>
      <c r="P52" s="79"/>
      <c r="Q52" s="80"/>
      <c r="R52" s="81">
        <f t="shared" si="2"/>
        <v>0</v>
      </c>
      <c r="S52" s="82"/>
      <c r="T52" s="77"/>
      <c r="U52" s="79"/>
      <c r="V52" s="80"/>
      <c r="W52" s="81">
        <f t="shared" si="3"/>
        <v>0</v>
      </c>
      <c r="X52" s="82"/>
      <c r="Y52" s="77"/>
      <c r="Z52" s="79"/>
      <c r="AA52" s="80"/>
      <c r="AB52" s="81">
        <f t="shared" si="4"/>
        <v>0</v>
      </c>
      <c r="AC52" s="82"/>
      <c r="AD52" s="77"/>
      <c r="AE52" s="79"/>
      <c r="AF52" s="80"/>
      <c r="AG52" s="81">
        <f t="shared" si="5"/>
        <v>0</v>
      </c>
      <c r="AH52" s="82"/>
      <c r="AI52" s="77"/>
      <c r="AJ52" s="100">
        <v>1</v>
      </c>
      <c r="AK52" s="101">
        <v>0.15</v>
      </c>
      <c r="AL52" s="85">
        <f t="shared" si="6"/>
        <v>0.15</v>
      </c>
      <c r="AM52" s="78" t="s">
        <v>1165</v>
      </c>
      <c r="AO52" s="88"/>
      <c r="AP52" s="89"/>
      <c r="AQ52" s="90">
        <f t="shared" si="7"/>
        <v>0</v>
      </c>
      <c r="AR52" s="91"/>
    </row>
    <row r="53" spans="1:44" ht="138" customHeight="1" x14ac:dyDescent="0.25">
      <c r="A53" s="77">
        <v>50</v>
      </c>
      <c r="B53" s="78" t="s">
        <v>14</v>
      </c>
      <c r="C53" s="78" t="s">
        <v>14</v>
      </c>
      <c r="D53" s="78" t="s">
        <v>75</v>
      </c>
      <c r="E53" s="77"/>
      <c r="F53" s="79"/>
      <c r="G53" s="80"/>
      <c r="H53" s="81">
        <f t="shared" si="0"/>
        <v>0</v>
      </c>
      <c r="I53" s="82"/>
      <c r="J53" s="77"/>
      <c r="K53" s="100">
        <v>1</v>
      </c>
      <c r="L53" s="101">
        <v>0.7</v>
      </c>
      <c r="M53" s="85">
        <f t="shared" si="1"/>
        <v>0.7</v>
      </c>
      <c r="N53" s="78" t="s">
        <v>1086</v>
      </c>
      <c r="O53" s="77"/>
      <c r="P53" s="79"/>
      <c r="Q53" s="80"/>
      <c r="R53" s="81">
        <f t="shared" si="2"/>
        <v>0</v>
      </c>
      <c r="S53" s="82"/>
      <c r="T53" s="77"/>
      <c r="U53" s="79"/>
      <c r="V53" s="80"/>
      <c r="W53" s="81">
        <f t="shared" si="3"/>
        <v>0</v>
      </c>
      <c r="X53" s="82"/>
      <c r="Y53" s="77"/>
      <c r="Z53" s="79"/>
      <c r="AA53" s="80"/>
      <c r="AB53" s="81">
        <f t="shared" si="4"/>
        <v>0</v>
      </c>
      <c r="AC53" s="82"/>
      <c r="AD53" s="77"/>
      <c r="AE53" s="79"/>
      <c r="AF53" s="80"/>
      <c r="AG53" s="81">
        <f t="shared" si="5"/>
        <v>0</v>
      </c>
      <c r="AH53" s="82"/>
      <c r="AI53" s="77"/>
      <c r="AJ53" s="100">
        <v>1</v>
      </c>
      <c r="AK53" s="101">
        <v>0.55000000000000004</v>
      </c>
      <c r="AL53" s="85">
        <f t="shared" si="6"/>
        <v>0.55000000000000004</v>
      </c>
      <c r="AM53" s="78" t="s">
        <v>1128</v>
      </c>
      <c r="AO53" s="88"/>
      <c r="AP53" s="89"/>
      <c r="AQ53" s="90">
        <f t="shared" si="7"/>
        <v>0</v>
      </c>
      <c r="AR53" s="91"/>
    </row>
    <row r="54" spans="1:44" ht="109.5" customHeight="1" x14ac:dyDescent="0.25">
      <c r="A54" s="77">
        <v>51</v>
      </c>
      <c r="B54" s="78" t="s">
        <v>14</v>
      </c>
      <c r="C54" s="78" t="s">
        <v>14</v>
      </c>
      <c r="D54" s="78" t="s">
        <v>76</v>
      </c>
      <c r="E54" s="77"/>
      <c r="F54" s="79"/>
      <c r="G54" s="80"/>
      <c r="H54" s="81">
        <f t="shared" si="0"/>
        <v>0</v>
      </c>
      <c r="I54" s="82"/>
      <c r="J54" s="77"/>
      <c r="K54" s="100">
        <v>1</v>
      </c>
      <c r="L54" s="101">
        <v>1</v>
      </c>
      <c r="M54" s="85">
        <f t="shared" si="1"/>
        <v>1</v>
      </c>
      <c r="N54" s="78" t="s">
        <v>1087</v>
      </c>
      <c r="O54" s="77"/>
      <c r="P54" s="79"/>
      <c r="Q54" s="80"/>
      <c r="R54" s="81">
        <f t="shared" si="2"/>
        <v>0</v>
      </c>
      <c r="S54" s="82"/>
      <c r="T54" s="77"/>
      <c r="U54" s="79"/>
      <c r="V54" s="80"/>
      <c r="W54" s="81">
        <f t="shared" si="3"/>
        <v>0</v>
      </c>
      <c r="X54" s="82"/>
      <c r="Y54" s="77"/>
      <c r="Z54" s="79"/>
      <c r="AA54" s="80"/>
      <c r="AB54" s="81">
        <f t="shared" si="4"/>
        <v>0</v>
      </c>
      <c r="AC54" s="82"/>
      <c r="AD54" s="77"/>
      <c r="AE54" s="79"/>
      <c r="AF54" s="80"/>
      <c r="AG54" s="81">
        <f t="shared" si="5"/>
        <v>0</v>
      </c>
      <c r="AH54" s="82"/>
      <c r="AI54" s="77"/>
      <c r="AJ54" s="100">
        <v>1</v>
      </c>
      <c r="AK54" s="101">
        <v>0.5</v>
      </c>
      <c r="AL54" s="85">
        <f t="shared" si="6"/>
        <v>0.5</v>
      </c>
      <c r="AM54" s="78" t="s">
        <v>1161</v>
      </c>
      <c r="AO54" s="88"/>
      <c r="AP54" s="89"/>
      <c r="AQ54" s="90">
        <f t="shared" si="7"/>
        <v>0</v>
      </c>
      <c r="AR54" s="91"/>
    </row>
    <row r="55" spans="1:44" ht="267.75" x14ac:dyDescent="0.25">
      <c r="A55" s="77">
        <v>52</v>
      </c>
      <c r="B55" s="78" t="s">
        <v>14</v>
      </c>
      <c r="C55" s="78" t="s">
        <v>14</v>
      </c>
      <c r="D55" s="78" t="s">
        <v>77</v>
      </c>
      <c r="E55" s="77"/>
      <c r="F55" s="79"/>
      <c r="G55" s="80"/>
      <c r="H55" s="81">
        <f t="shared" si="0"/>
        <v>0</v>
      </c>
      <c r="I55" s="82"/>
      <c r="J55" s="77"/>
      <c r="K55" s="100">
        <v>1</v>
      </c>
      <c r="L55" s="101">
        <v>1</v>
      </c>
      <c r="M55" s="85">
        <f t="shared" si="1"/>
        <v>1</v>
      </c>
      <c r="N55" s="78" t="s">
        <v>1087</v>
      </c>
      <c r="O55" s="77"/>
      <c r="P55" s="79"/>
      <c r="Q55" s="80"/>
      <c r="R55" s="81">
        <f t="shared" si="2"/>
        <v>0</v>
      </c>
      <c r="S55" s="82"/>
      <c r="T55" s="77"/>
      <c r="U55" s="79"/>
      <c r="V55" s="80"/>
      <c r="W55" s="81">
        <f t="shared" si="3"/>
        <v>0</v>
      </c>
      <c r="X55" s="82"/>
      <c r="Y55" s="77"/>
      <c r="Z55" s="79"/>
      <c r="AA55" s="80"/>
      <c r="AB55" s="81">
        <f t="shared" si="4"/>
        <v>0</v>
      </c>
      <c r="AC55" s="82"/>
      <c r="AD55" s="77"/>
      <c r="AE55" s="79"/>
      <c r="AF55" s="80"/>
      <c r="AG55" s="81">
        <f t="shared" si="5"/>
        <v>0</v>
      </c>
      <c r="AH55" s="82"/>
      <c r="AI55" s="77"/>
      <c r="AJ55" s="100">
        <v>1</v>
      </c>
      <c r="AK55" s="101">
        <v>0.1</v>
      </c>
      <c r="AL55" s="85">
        <f t="shared" si="6"/>
        <v>0.1</v>
      </c>
      <c r="AM55" s="78" t="s">
        <v>1162</v>
      </c>
      <c r="AO55" s="88"/>
      <c r="AP55" s="89"/>
      <c r="AQ55" s="90">
        <f t="shared" si="7"/>
        <v>0</v>
      </c>
      <c r="AR55" s="91"/>
    </row>
    <row r="56" spans="1:44" ht="79.5" customHeight="1" x14ac:dyDescent="0.25">
      <c r="A56" s="77">
        <v>53</v>
      </c>
      <c r="B56" s="78" t="s">
        <v>14</v>
      </c>
      <c r="C56" s="78" t="s">
        <v>14</v>
      </c>
      <c r="D56" s="78" t="s">
        <v>78</v>
      </c>
      <c r="E56" s="77"/>
      <c r="F56" s="79">
        <v>1</v>
      </c>
      <c r="G56" s="80"/>
      <c r="H56" s="81">
        <f t="shared" si="0"/>
        <v>0</v>
      </c>
      <c r="I56" s="82"/>
      <c r="J56" s="77"/>
      <c r="K56" s="100">
        <v>1</v>
      </c>
      <c r="L56" s="101">
        <v>1</v>
      </c>
      <c r="M56" s="85">
        <f t="shared" si="1"/>
        <v>1</v>
      </c>
      <c r="N56" s="78" t="s">
        <v>1087</v>
      </c>
      <c r="O56" s="77"/>
      <c r="P56" s="79"/>
      <c r="Q56" s="80"/>
      <c r="R56" s="81">
        <f t="shared" si="2"/>
        <v>0</v>
      </c>
      <c r="S56" s="77"/>
      <c r="T56" s="77"/>
      <c r="U56" s="79"/>
      <c r="V56" s="80"/>
      <c r="W56" s="81">
        <f t="shared" si="3"/>
        <v>0</v>
      </c>
      <c r="X56" s="77"/>
      <c r="Y56" s="77"/>
      <c r="Z56" s="79"/>
      <c r="AA56" s="80"/>
      <c r="AB56" s="81">
        <f t="shared" si="4"/>
        <v>0</v>
      </c>
      <c r="AC56" s="77"/>
      <c r="AD56" s="77"/>
      <c r="AE56" s="79"/>
      <c r="AF56" s="80"/>
      <c r="AG56" s="81">
        <f t="shared" si="5"/>
        <v>0</v>
      </c>
      <c r="AH56" s="77"/>
      <c r="AI56" s="77"/>
      <c r="AJ56" s="100">
        <v>1</v>
      </c>
      <c r="AK56" s="101">
        <v>1</v>
      </c>
      <c r="AL56" s="85">
        <f t="shared" si="6"/>
        <v>1</v>
      </c>
      <c r="AM56" s="78" t="s">
        <v>1087</v>
      </c>
      <c r="AO56" s="88"/>
      <c r="AP56" s="89"/>
      <c r="AQ56" s="90">
        <f t="shared" si="7"/>
        <v>0</v>
      </c>
      <c r="AR56" s="108"/>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AK4:AK15" xr:uid="{BBE90069-8D2E-4C4A-8EB6-3491C04E1BDE}">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DDF79D07-01B4-4147-B1CF-3DA6D19EC73B}">
          <x14:formula1>
            <xm:f>'C:\Users\michele.cerqueira\AppData\Local\Microsoft\Windows\INetCache\Content.Outlook\CUTOBPMD\[ESTUDOS DE MERCADO - AVALIAÇÕES FINAIS.xlsx]Parâmetros'!#REF!</xm:f>
          </x14:formula1>
          <xm:sqref>K4:K15 AJ4:AJ15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R61"/>
  <sheetViews>
    <sheetView zoomScale="60" zoomScaleNormal="60" workbookViewId="0">
      <pane xSplit="9" ySplit="3" topLeftCell="O9" activePane="bottomRight" state="frozen"/>
      <selection pane="topRight" activeCell="J1" sqref="J1"/>
      <selection pane="bottomLeft" activeCell="A4" sqref="A4"/>
      <selection pane="bottomRight" activeCell="S10" sqref="S10"/>
    </sheetView>
  </sheetViews>
  <sheetFormatPr defaultRowHeight="15" x14ac:dyDescent="0.25"/>
  <cols>
    <col min="1" max="1" width="4.42578125" style="73" customWidth="1"/>
    <col min="2" max="2" width="18.28515625" style="74" customWidth="1"/>
    <col min="3" max="3" width="19.28515625" style="74" customWidth="1"/>
    <col min="4" max="4" width="64.140625" style="74" bestFit="1" customWidth="1"/>
    <col min="5" max="5" width="6.7109375" style="74" hidden="1" customWidth="1"/>
    <col min="6" max="6" width="20.140625" style="74" hidden="1" customWidth="1"/>
    <col min="7" max="7" width="14.28515625" style="74" hidden="1" customWidth="1"/>
    <col min="8" max="8" width="9.140625" style="74" hidden="1" customWidth="1"/>
    <col min="9" max="9" width="52.85546875" style="110" hidden="1" customWidth="1"/>
    <col min="10" max="10" width="1.85546875" style="74" customWidth="1"/>
    <col min="11" max="11" width="11.5703125" style="74" customWidth="1"/>
    <col min="12" max="12" width="11" style="74" customWidth="1"/>
    <col min="13" max="13" width="9.140625" style="74" customWidth="1"/>
    <col min="14" max="14" width="131.7109375" style="74" customWidth="1"/>
    <col min="15" max="15" width="1.5703125" style="74" customWidth="1"/>
    <col min="16" max="16" width="20.140625" style="74" customWidth="1"/>
    <col min="17" max="17" width="14.28515625" style="74" bestFit="1" customWidth="1"/>
    <col min="18" max="18" width="9" style="74" bestFit="1" customWidth="1"/>
    <col min="19" max="19" width="131" style="74" customWidth="1"/>
    <col min="20" max="20" width="6.85546875" style="74" hidden="1" customWidth="1"/>
    <col min="21" max="21" width="17.85546875" style="74" hidden="1" customWidth="1"/>
    <col min="22" max="22" width="18.5703125" style="74" hidden="1" customWidth="1"/>
    <col min="23" max="23" width="14.140625" style="74" hidden="1" customWidth="1"/>
    <col min="24" max="24" width="55.140625" style="74" hidden="1" customWidth="1"/>
    <col min="25" max="25" width="0" style="74" hidden="1" customWidth="1"/>
    <col min="26" max="26" width="14.85546875" style="74" hidden="1" customWidth="1"/>
    <col min="27" max="27" width="16" style="74" hidden="1" customWidth="1"/>
    <col min="28" max="28" width="0" style="74" hidden="1" customWidth="1"/>
    <col min="29" max="29" width="66.42578125" style="74" hidden="1" customWidth="1"/>
    <col min="30" max="30" width="0" style="74" hidden="1" customWidth="1"/>
    <col min="31" max="31" width="16.42578125" style="74" hidden="1" customWidth="1"/>
    <col min="32" max="32" width="17.85546875" style="74" hidden="1" customWidth="1"/>
    <col min="33" max="33" width="0" style="74" hidden="1" customWidth="1"/>
    <col min="34" max="34" width="60.28515625" style="74" hidden="1" customWidth="1"/>
    <col min="35" max="35" width="3.5703125" style="74" customWidth="1"/>
    <col min="36" max="36" width="17" style="74" hidden="1" customWidth="1"/>
    <col min="37" max="37" width="18" style="74" hidden="1" customWidth="1"/>
    <col min="38" max="38" width="0" style="74" hidden="1" customWidth="1"/>
    <col min="39" max="39" width="61" style="74" hidden="1" customWidth="1"/>
    <col min="40" max="40" width="7.28515625" style="74" hidden="1" customWidth="1"/>
    <col min="41" max="41" width="19.5703125" style="74" bestFit="1" customWidth="1"/>
    <col min="42" max="42" width="14.28515625" style="74" bestFit="1" customWidth="1"/>
    <col min="43" max="43" width="9" style="74" bestFit="1" customWidth="1"/>
    <col min="44" max="44" width="146" style="74" customWidth="1"/>
    <col min="45" max="16384" width="9.140625" style="74"/>
  </cols>
  <sheetData>
    <row r="1" spans="1:44" x14ac:dyDescent="0.25">
      <c r="I1" s="74"/>
    </row>
    <row r="2" spans="1:44" ht="39.75" customHeight="1" x14ac:dyDescent="0.25">
      <c r="B2" s="233" t="s">
        <v>16</v>
      </c>
      <c r="C2" s="233"/>
      <c r="D2" s="233"/>
      <c r="F2" s="232" t="s">
        <v>121</v>
      </c>
      <c r="G2" s="232"/>
      <c r="H2" s="232"/>
      <c r="I2" s="232"/>
      <c r="K2" s="234" t="s">
        <v>119</v>
      </c>
      <c r="L2" s="235"/>
      <c r="M2" s="235"/>
      <c r="N2" s="236"/>
      <c r="P2" s="233" t="s">
        <v>120</v>
      </c>
      <c r="Q2" s="233"/>
      <c r="R2" s="233"/>
      <c r="S2" s="233"/>
      <c r="U2" s="232" t="s">
        <v>122</v>
      </c>
      <c r="V2" s="232"/>
      <c r="W2" s="232"/>
      <c r="X2" s="232"/>
      <c r="Z2" s="232" t="s">
        <v>123</v>
      </c>
      <c r="AA2" s="232"/>
      <c r="AB2" s="232"/>
      <c r="AC2" s="232"/>
      <c r="AE2" s="232" t="s">
        <v>124</v>
      </c>
      <c r="AF2" s="232"/>
      <c r="AG2" s="232"/>
      <c r="AH2" s="232"/>
      <c r="AJ2" s="232" t="s">
        <v>125</v>
      </c>
      <c r="AK2" s="232"/>
      <c r="AL2" s="232"/>
      <c r="AM2" s="232"/>
      <c r="AO2" s="233" t="s">
        <v>1318</v>
      </c>
      <c r="AP2" s="233"/>
      <c r="AQ2" s="233"/>
      <c r="AR2" s="233"/>
    </row>
    <row r="3" spans="1:44" ht="60" x14ac:dyDescent="0.25">
      <c r="B3" s="1" t="s">
        <v>0</v>
      </c>
      <c r="C3" s="1" t="s">
        <v>1</v>
      </c>
      <c r="D3" s="1" t="s">
        <v>2</v>
      </c>
      <c r="F3" s="2" t="s">
        <v>17</v>
      </c>
      <c r="G3" s="2" t="s">
        <v>18</v>
      </c>
      <c r="H3" s="2" t="s">
        <v>21</v>
      </c>
      <c r="I3" s="2" t="s">
        <v>19</v>
      </c>
      <c r="K3" s="2" t="s">
        <v>17</v>
      </c>
      <c r="L3" s="2" t="s">
        <v>18</v>
      </c>
      <c r="M3" s="2" t="s">
        <v>21</v>
      </c>
      <c r="N3" s="2" t="s">
        <v>19</v>
      </c>
      <c r="P3" s="2" t="s">
        <v>17</v>
      </c>
      <c r="Q3" s="2" t="s">
        <v>18</v>
      </c>
      <c r="R3" s="2" t="s">
        <v>21</v>
      </c>
      <c r="S3" s="2" t="s">
        <v>19</v>
      </c>
      <c r="U3" s="2" t="s">
        <v>17</v>
      </c>
      <c r="V3" s="2" t="s">
        <v>18</v>
      </c>
      <c r="W3" s="2" t="s">
        <v>21</v>
      </c>
      <c r="X3" s="2" t="s">
        <v>19</v>
      </c>
      <c r="Z3" s="2" t="s">
        <v>17</v>
      </c>
      <c r="AA3" s="2" t="s">
        <v>18</v>
      </c>
      <c r="AB3" s="2" t="s">
        <v>21</v>
      </c>
      <c r="AC3" s="2" t="s">
        <v>19</v>
      </c>
      <c r="AE3" s="2" t="s">
        <v>17</v>
      </c>
      <c r="AF3" s="2" t="s">
        <v>18</v>
      </c>
      <c r="AG3" s="2" t="s">
        <v>21</v>
      </c>
      <c r="AH3" s="2" t="s">
        <v>19</v>
      </c>
      <c r="AJ3" s="2" t="s">
        <v>17</v>
      </c>
      <c r="AK3" s="2" t="s">
        <v>18</v>
      </c>
      <c r="AL3" s="2" t="s">
        <v>21</v>
      </c>
      <c r="AM3" s="2" t="s">
        <v>19</v>
      </c>
      <c r="AO3" s="2" t="s">
        <v>17</v>
      </c>
      <c r="AP3" s="2" t="s">
        <v>18</v>
      </c>
      <c r="AQ3" s="2" t="s">
        <v>21</v>
      </c>
      <c r="AR3" s="2" t="s">
        <v>19</v>
      </c>
    </row>
    <row r="4" spans="1:44" s="184" customFormat="1" ht="141.75" customHeight="1" x14ac:dyDescent="0.25">
      <c r="A4" s="184">
        <v>1</v>
      </c>
      <c r="B4" s="125" t="s">
        <v>3</v>
      </c>
      <c r="C4" s="125" t="s">
        <v>4</v>
      </c>
      <c r="D4" s="102" t="s">
        <v>127</v>
      </c>
      <c r="F4" s="100"/>
      <c r="G4" s="101"/>
      <c r="H4" s="85">
        <v>0</v>
      </c>
      <c r="I4" s="125"/>
      <c r="K4" s="83">
        <v>1</v>
      </c>
      <c r="L4" s="84">
        <v>1</v>
      </c>
      <c r="M4" s="85">
        <f>K4*L4</f>
        <v>1</v>
      </c>
      <c r="N4" s="185"/>
      <c r="P4" s="83">
        <v>1</v>
      </c>
      <c r="Q4" s="84">
        <v>0.8</v>
      </c>
      <c r="R4" s="85">
        <f>P4*Q4</f>
        <v>0.8</v>
      </c>
      <c r="S4" s="87" t="s">
        <v>1283</v>
      </c>
      <c r="U4" s="100"/>
      <c r="V4" s="101"/>
      <c r="W4" s="85">
        <f>U4*V4</f>
        <v>0</v>
      </c>
      <c r="X4" s="125"/>
      <c r="Z4" s="100"/>
      <c r="AA4" s="101"/>
      <c r="AB4" s="85">
        <f>Z4*AA4</f>
        <v>0</v>
      </c>
      <c r="AC4" s="125"/>
      <c r="AE4" s="100"/>
      <c r="AF4" s="101"/>
      <c r="AG4" s="85">
        <f>AE4*AF4</f>
        <v>0</v>
      </c>
      <c r="AH4" s="125"/>
      <c r="AJ4" s="100"/>
      <c r="AK4" s="101"/>
      <c r="AL4" s="85">
        <f>AJ4*AK4</f>
        <v>0</v>
      </c>
      <c r="AM4" s="125"/>
      <c r="AO4" s="83">
        <v>1</v>
      </c>
      <c r="AP4" s="118">
        <v>0.4</v>
      </c>
      <c r="AQ4" s="85">
        <f>AO4*AP4</f>
        <v>0.4</v>
      </c>
      <c r="AR4" s="186" t="s">
        <v>1188</v>
      </c>
    </row>
    <row r="5" spans="1:44" s="184" customFormat="1" ht="184.5" customHeight="1" x14ac:dyDescent="0.25">
      <c r="A5" s="184">
        <v>2</v>
      </c>
      <c r="B5" s="125" t="s">
        <v>3</v>
      </c>
      <c r="C5" s="125" t="s">
        <v>4</v>
      </c>
      <c r="D5" s="102" t="s">
        <v>33</v>
      </c>
      <c r="F5" s="100"/>
      <c r="G5" s="101"/>
      <c r="H5" s="85">
        <v>0</v>
      </c>
      <c r="I5" s="125"/>
      <c r="K5" s="126">
        <v>1</v>
      </c>
      <c r="L5" s="127">
        <v>0.95</v>
      </c>
      <c r="M5" s="85">
        <f t="shared" ref="M5:M56" si="0">K5*L5</f>
        <v>0.95</v>
      </c>
      <c r="N5" s="144" t="s">
        <v>1179</v>
      </c>
      <c r="P5" s="126">
        <v>1</v>
      </c>
      <c r="Q5" s="127">
        <v>0.75</v>
      </c>
      <c r="R5" s="85">
        <f t="shared" ref="R5:R56" si="1">P5*Q5</f>
        <v>0.75</v>
      </c>
      <c r="S5" s="144" t="s">
        <v>1284</v>
      </c>
      <c r="U5" s="100"/>
      <c r="V5" s="101"/>
      <c r="W5" s="85">
        <f t="shared" ref="W5:W56" si="2">U5*V5</f>
        <v>0</v>
      </c>
      <c r="X5" s="125"/>
      <c r="Z5" s="100"/>
      <c r="AA5" s="101"/>
      <c r="AB5" s="85">
        <f t="shared" ref="AB5:AB56" si="3">Z5*AA5</f>
        <v>0</v>
      </c>
      <c r="AC5" s="125"/>
      <c r="AE5" s="100"/>
      <c r="AF5" s="101"/>
      <c r="AG5" s="85">
        <f t="shared" ref="AG5:AG56" si="4">AE5*AF5</f>
        <v>0</v>
      </c>
      <c r="AH5" s="125"/>
      <c r="AJ5" s="100"/>
      <c r="AK5" s="101"/>
      <c r="AL5" s="85">
        <f t="shared" ref="AL5:AL56" si="5">AJ5*AK5</f>
        <v>0</v>
      </c>
      <c r="AM5" s="125"/>
      <c r="AO5" s="126">
        <v>1</v>
      </c>
      <c r="AP5" s="129">
        <v>0.15</v>
      </c>
      <c r="AQ5" s="85">
        <f t="shared" ref="AQ5:AQ56" si="6">AO5*AP5</f>
        <v>0.15</v>
      </c>
      <c r="AR5" s="144" t="s">
        <v>1189</v>
      </c>
    </row>
    <row r="6" spans="1:44" s="184" customFormat="1" ht="220.5" customHeight="1" x14ac:dyDescent="0.25">
      <c r="A6" s="184">
        <v>3</v>
      </c>
      <c r="B6" s="125" t="s">
        <v>3</v>
      </c>
      <c r="C6" s="125" t="s">
        <v>4</v>
      </c>
      <c r="D6" s="102" t="s">
        <v>128</v>
      </c>
      <c r="F6" s="100"/>
      <c r="G6" s="101"/>
      <c r="H6" s="85">
        <v>0</v>
      </c>
      <c r="I6" s="125"/>
      <c r="K6" s="83">
        <v>1</v>
      </c>
      <c r="L6" s="84">
        <v>1</v>
      </c>
      <c r="M6" s="85">
        <f t="shared" si="0"/>
        <v>1</v>
      </c>
      <c r="N6" s="185"/>
      <c r="P6" s="83">
        <v>1</v>
      </c>
      <c r="Q6" s="84">
        <v>0.95</v>
      </c>
      <c r="R6" s="85">
        <f t="shared" si="1"/>
        <v>0.95</v>
      </c>
      <c r="S6" s="87" t="s">
        <v>1183</v>
      </c>
      <c r="U6" s="100"/>
      <c r="V6" s="101"/>
      <c r="W6" s="85">
        <f t="shared" si="2"/>
        <v>0</v>
      </c>
      <c r="X6" s="125"/>
      <c r="Z6" s="100"/>
      <c r="AA6" s="101"/>
      <c r="AB6" s="85">
        <f t="shared" si="3"/>
        <v>0</v>
      </c>
      <c r="AC6" s="125"/>
      <c r="AE6" s="100"/>
      <c r="AF6" s="101"/>
      <c r="AG6" s="85">
        <f t="shared" si="4"/>
        <v>0</v>
      </c>
      <c r="AH6" s="125"/>
      <c r="AJ6" s="100"/>
      <c r="AK6" s="101"/>
      <c r="AL6" s="85">
        <f t="shared" si="5"/>
        <v>0</v>
      </c>
      <c r="AM6" s="125"/>
      <c r="AO6" s="83">
        <v>1</v>
      </c>
      <c r="AP6" s="118">
        <v>0.2</v>
      </c>
      <c r="AQ6" s="85">
        <f t="shared" si="6"/>
        <v>0.2</v>
      </c>
      <c r="AR6" s="102" t="s">
        <v>1589</v>
      </c>
    </row>
    <row r="7" spans="1:44" s="184" customFormat="1" ht="252" customHeight="1" x14ac:dyDescent="0.25">
      <c r="A7" s="184">
        <v>4</v>
      </c>
      <c r="B7" s="125" t="s">
        <v>3</v>
      </c>
      <c r="C7" s="125" t="s">
        <v>4</v>
      </c>
      <c r="D7" s="102" t="s">
        <v>34</v>
      </c>
      <c r="F7" s="100"/>
      <c r="G7" s="101"/>
      <c r="H7" s="85">
        <v>0</v>
      </c>
      <c r="I7" s="125"/>
      <c r="K7" s="126">
        <v>1</v>
      </c>
      <c r="L7" s="127">
        <v>0.94499999999999995</v>
      </c>
      <c r="M7" s="85">
        <f t="shared" si="0"/>
        <v>0.94499999999999995</v>
      </c>
      <c r="N7" s="144" t="s">
        <v>1285</v>
      </c>
      <c r="P7" s="126">
        <v>1</v>
      </c>
      <c r="Q7" s="127">
        <v>0.9</v>
      </c>
      <c r="R7" s="85">
        <f t="shared" si="1"/>
        <v>0.9</v>
      </c>
      <c r="S7" s="144" t="s">
        <v>1286</v>
      </c>
      <c r="U7" s="100"/>
      <c r="V7" s="101"/>
      <c r="W7" s="85">
        <f t="shared" si="2"/>
        <v>0</v>
      </c>
      <c r="X7" s="125"/>
      <c r="Z7" s="100"/>
      <c r="AA7" s="101"/>
      <c r="AB7" s="85">
        <f t="shared" si="3"/>
        <v>0</v>
      </c>
      <c r="AC7" s="125"/>
      <c r="AE7" s="100"/>
      <c r="AF7" s="101"/>
      <c r="AG7" s="85">
        <f t="shared" si="4"/>
        <v>0</v>
      </c>
      <c r="AH7" s="125"/>
      <c r="AJ7" s="100"/>
      <c r="AK7" s="101"/>
      <c r="AL7" s="85">
        <f t="shared" si="5"/>
        <v>0</v>
      </c>
      <c r="AM7" s="125"/>
      <c r="AO7" s="126">
        <v>1</v>
      </c>
      <c r="AP7" s="129">
        <v>0.15</v>
      </c>
      <c r="AQ7" s="85">
        <f t="shared" si="6"/>
        <v>0.15</v>
      </c>
      <c r="AR7" s="144" t="s">
        <v>1600</v>
      </c>
    </row>
    <row r="8" spans="1:44" s="184" customFormat="1" ht="113.25" customHeight="1" x14ac:dyDescent="0.25">
      <c r="A8" s="184">
        <v>5</v>
      </c>
      <c r="B8" s="125" t="s">
        <v>3</v>
      </c>
      <c r="C8" s="125" t="s">
        <v>4</v>
      </c>
      <c r="D8" s="102" t="s">
        <v>35</v>
      </c>
      <c r="F8" s="100"/>
      <c r="G8" s="101"/>
      <c r="H8" s="85">
        <v>0</v>
      </c>
      <c r="I8" s="125"/>
      <c r="K8" s="83">
        <v>1</v>
      </c>
      <c r="L8" s="84">
        <v>0.7</v>
      </c>
      <c r="M8" s="85">
        <f t="shared" si="0"/>
        <v>0.7</v>
      </c>
      <c r="N8" s="87" t="s">
        <v>1180</v>
      </c>
      <c r="P8" s="83">
        <v>1</v>
      </c>
      <c r="Q8" s="84">
        <v>0.8</v>
      </c>
      <c r="R8" s="85">
        <f t="shared" si="1"/>
        <v>0.8</v>
      </c>
      <c r="S8" s="87" t="s">
        <v>1287</v>
      </c>
      <c r="U8" s="100"/>
      <c r="V8" s="101"/>
      <c r="W8" s="85">
        <f t="shared" si="2"/>
        <v>0</v>
      </c>
      <c r="X8" s="125"/>
      <c r="Z8" s="100"/>
      <c r="AA8" s="101"/>
      <c r="AB8" s="85">
        <f t="shared" si="3"/>
        <v>0</v>
      </c>
      <c r="AC8" s="125"/>
      <c r="AE8" s="100"/>
      <c r="AF8" s="101"/>
      <c r="AG8" s="85">
        <f t="shared" si="4"/>
        <v>0</v>
      </c>
      <c r="AH8" s="125"/>
      <c r="AJ8" s="100"/>
      <c r="AK8" s="101"/>
      <c r="AL8" s="85">
        <f t="shared" si="5"/>
        <v>0</v>
      </c>
      <c r="AM8" s="125"/>
      <c r="AO8" s="83">
        <v>1</v>
      </c>
      <c r="AP8" s="118">
        <v>0.3</v>
      </c>
      <c r="AQ8" s="85">
        <f t="shared" si="6"/>
        <v>0.3</v>
      </c>
      <c r="AR8" s="87" t="s">
        <v>1190</v>
      </c>
    </row>
    <row r="9" spans="1:44" s="184" customFormat="1" ht="236.25" x14ac:dyDescent="0.25">
      <c r="A9" s="184">
        <v>6</v>
      </c>
      <c r="B9" s="125" t="s">
        <v>3</v>
      </c>
      <c r="C9" s="125" t="s">
        <v>4</v>
      </c>
      <c r="D9" s="102" t="s">
        <v>129</v>
      </c>
      <c r="F9" s="100"/>
      <c r="G9" s="101"/>
      <c r="H9" s="85">
        <v>0</v>
      </c>
      <c r="I9" s="125"/>
      <c r="K9" s="126">
        <v>1</v>
      </c>
      <c r="L9" s="127">
        <v>0.77</v>
      </c>
      <c r="M9" s="85">
        <f t="shared" si="0"/>
        <v>0.77</v>
      </c>
      <c r="N9" s="144" t="s">
        <v>1621</v>
      </c>
      <c r="P9" s="126">
        <v>1</v>
      </c>
      <c r="Q9" s="127">
        <v>0.95</v>
      </c>
      <c r="R9" s="85">
        <f t="shared" si="1"/>
        <v>0.95</v>
      </c>
      <c r="S9" s="144" t="s">
        <v>1633</v>
      </c>
      <c r="U9" s="100"/>
      <c r="V9" s="101"/>
      <c r="W9" s="85">
        <f t="shared" si="2"/>
        <v>0</v>
      </c>
      <c r="X9" s="125"/>
      <c r="Z9" s="100"/>
      <c r="AA9" s="101"/>
      <c r="AB9" s="85">
        <f t="shared" si="3"/>
        <v>0</v>
      </c>
      <c r="AC9" s="125"/>
      <c r="AE9" s="100"/>
      <c r="AF9" s="101"/>
      <c r="AG9" s="85">
        <f t="shared" si="4"/>
        <v>0</v>
      </c>
      <c r="AH9" s="125"/>
      <c r="AJ9" s="100"/>
      <c r="AK9" s="101"/>
      <c r="AL9" s="85">
        <f t="shared" si="5"/>
        <v>0</v>
      </c>
      <c r="AM9" s="125"/>
      <c r="AO9" s="126">
        <v>1</v>
      </c>
      <c r="AP9" s="129">
        <v>0.1</v>
      </c>
      <c r="AQ9" s="85">
        <f t="shared" si="6"/>
        <v>0.1</v>
      </c>
      <c r="AR9" s="144" t="s">
        <v>1611</v>
      </c>
    </row>
    <row r="10" spans="1:44" s="184" customFormat="1" ht="110.25" x14ac:dyDescent="0.25">
      <c r="A10" s="184">
        <v>7</v>
      </c>
      <c r="B10" s="125" t="s">
        <v>3</v>
      </c>
      <c r="C10" s="125" t="s">
        <v>4</v>
      </c>
      <c r="D10" s="102" t="s">
        <v>36</v>
      </c>
      <c r="F10" s="100"/>
      <c r="G10" s="101"/>
      <c r="H10" s="85">
        <v>0</v>
      </c>
      <c r="I10" s="125"/>
      <c r="K10" s="83">
        <v>1</v>
      </c>
      <c r="L10" s="84">
        <v>0.75</v>
      </c>
      <c r="M10" s="85">
        <f t="shared" si="0"/>
        <v>0.75</v>
      </c>
      <c r="N10" s="87" t="s">
        <v>1181</v>
      </c>
      <c r="P10" s="83">
        <v>1</v>
      </c>
      <c r="Q10" s="84">
        <v>0.7</v>
      </c>
      <c r="R10" s="85">
        <f t="shared" si="1"/>
        <v>0.7</v>
      </c>
      <c r="S10" s="87" t="s">
        <v>1184</v>
      </c>
      <c r="U10" s="100"/>
      <c r="V10" s="101"/>
      <c r="W10" s="85">
        <f t="shared" si="2"/>
        <v>0</v>
      </c>
      <c r="X10" s="125"/>
      <c r="Z10" s="100"/>
      <c r="AA10" s="101"/>
      <c r="AB10" s="85">
        <f t="shared" si="3"/>
        <v>0</v>
      </c>
      <c r="AC10" s="125"/>
      <c r="AE10" s="100"/>
      <c r="AF10" s="101"/>
      <c r="AG10" s="85">
        <f t="shared" si="4"/>
        <v>0</v>
      </c>
      <c r="AH10" s="125"/>
      <c r="AJ10" s="100"/>
      <c r="AK10" s="101"/>
      <c r="AL10" s="85">
        <f t="shared" si="5"/>
        <v>0</v>
      </c>
      <c r="AM10" s="125"/>
      <c r="AO10" s="83">
        <v>1</v>
      </c>
      <c r="AP10" s="118">
        <v>0.2</v>
      </c>
      <c r="AQ10" s="85">
        <f t="shared" si="6"/>
        <v>0.2</v>
      </c>
      <c r="AR10" s="87" t="s">
        <v>1191</v>
      </c>
    </row>
    <row r="11" spans="1:44" s="184" customFormat="1" ht="117" customHeight="1" x14ac:dyDescent="0.25">
      <c r="A11" s="184">
        <v>8</v>
      </c>
      <c r="B11" s="125" t="s">
        <v>3</v>
      </c>
      <c r="C11" s="125" t="s">
        <v>4</v>
      </c>
      <c r="D11" s="102" t="s">
        <v>64</v>
      </c>
      <c r="F11" s="100"/>
      <c r="G11" s="101"/>
      <c r="H11" s="85">
        <v>0</v>
      </c>
      <c r="I11" s="125"/>
      <c r="K11" s="126">
        <v>1</v>
      </c>
      <c r="L11" s="127">
        <v>1</v>
      </c>
      <c r="M11" s="85">
        <f t="shared" si="0"/>
        <v>1</v>
      </c>
      <c r="N11" s="144"/>
      <c r="P11" s="126">
        <v>1</v>
      </c>
      <c r="Q11" s="127">
        <v>0.9</v>
      </c>
      <c r="R11" s="85">
        <f t="shared" si="1"/>
        <v>0.9</v>
      </c>
      <c r="S11" s="144" t="s">
        <v>1185</v>
      </c>
      <c r="U11" s="100"/>
      <c r="V11" s="101"/>
      <c r="W11" s="85">
        <f t="shared" si="2"/>
        <v>0</v>
      </c>
      <c r="X11" s="125"/>
      <c r="Z11" s="100"/>
      <c r="AA11" s="101"/>
      <c r="AB11" s="85">
        <f t="shared" si="3"/>
        <v>0</v>
      </c>
      <c r="AC11" s="125"/>
      <c r="AE11" s="100"/>
      <c r="AF11" s="101"/>
      <c r="AG11" s="85">
        <f t="shared" si="4"/>
        <v>0</v>
      </c>
      <c r="AH11" s="125"/>
      <c r="AJ11" s="100"/>
      <c r="AK11" s="101"/>
      <c r="AL11" s="85">
        <f t="shared" si="5"/>
        <v>0</v>
      </c>
      <c r="AM11" s="125"/>
      <c r="AO11" s="126">
        <v>1</v>
      </c>
      <c r="AP11" s="129">
        <v>0.15</v>
      </c>
      <c r="AQ11" s="85">
        <f t="shared" si="6"/>
        <v>0.15</v>
      </c>
      <c r="AR11" s="144" t="s">
        <v>1192</v>
      </c>
    </row>
    <row r="12" spans="1:44" s="184" customFormat="1" ht="141.75" customHeight="1" x14ac:dyDescent="0.25">
      <c r="A12" s="184">
        <v>9</v>
      </c>
      <c r="B12" s="125" t="s">
        <v>3</v>
      </c>
      <c r="C12" s="125" t="s">
        <v>5</v>
      </c>
      <c r="D12" s="102" t="s">
        <v>37</v>
      </c>
      <c r="F12" s="100"/>
      <c r="G12" s="101"/>
      <c r="H12" s="85">
        <v>0</v>
      </c>
      <c r="I12" s="125"/>
      <c r="K12" s="83">
        <v>1</v>
      </c>
      <c r="L12" s="99">
        <v>0.54</v>
      </c>
      <c r="M12" s="85">
        <f t="shared" si="0"/>
        <v>0.54</v>
      </c>
      <c r="N12" s="87" t="s">
        <v>1288</v>
      </c>
      <c r="P12" s="83">
        <v>1</v>
      </c>
      <c r="Q12" s="84">
        <v>1</v>
      </c>
      <c r="R12" s="85">
        <f t="shared" si="1"/>
        <v>1</v>
      </c>
      <c r="S12" s="87"/>
      <c r="U12" s="100"/>
      <c r="V12" s="101"/>
      <c r="W12" s="85">
        <f t="shared" si="2"/>
        <v>0</v>
      </c>
      <c r="X12" s="125"/>
      <c r="Z12" s="100"/>
      <c r="AA12" s="101"/>
      <c r="AB12" s="85">
        <f t="shared" si="3"/>
        <v>0</v>
      </c>
      <c r="AC12" s="125"/>
      <c r="AE12" s="100"/>
      <c r="AF12" s="101"/>
      <c r="AG12" s="85">
        <f t="shared" si="4"/>
        <v>0</v>
      </c>
      <c r="AH12" s="125"/>
      <c r="AJ12" s="100"/>
      <c r="AK12" s="101"/>
      <c r="AL12" s="85">
        <f t="shared" si="5"/>
        <v>0</v>
      </c>
      <c r="AM12" s="125"/>
      <c r="AO12" s="83">
        <v>1</v>
      </c>
      <c r="AP12" s="118">
        <v>0.15</v>
      </c>
      <c r="AQ12" s="85">
        <f t="shared" si="6"/>
        <v>0.15</v>
      </c>
      <c r="AR12" s="87" t="s">
        <v>1193</v>
      </c>
    </row>
    <row r="13" spans="1:44" s="184" customFormat="1" ht="129" customHeight="1" x14ac:dyDescent="0.25">
      <c r="A13" s="184">
        <v>10</v>
      </c>
      <c r="B13" s="125" t="s">
        <v>3</v>
      </c>
      <c r="C13" s="125" t="s">
        <v>5</v>
      </c>
      <c r="D13" s="102" t="s">
        <v>38</v>
      </c>
      <c r="F13" s="100"/>
      <c r="G13" s="101"/>
      <c r="H13" s="85">
        <v>0</v>
      </c>
      <c r="I13" s="125"/>
      <c r="K13" s="126">
        <v>1</v>
      </c>
      <c r="L13" s="127">
        <v>0.54</v>
      </c>
      <c r="M13" s="85">
        <f t="shared" si="0"/>
        <v>0.54</v>
      </c>
      <c r="N13" s="144" t="s">
        <v>1289</v>
      </c>
      <c r="P13" s="126">
        <v>1</v>
      </c>
      <c r="Q13" s="127">
        <v>0.95</v>
      </c>
      <c r="R13" s="85">
        <f t="shared" si="1"/>
        <v>0.95</v>
      </c>
      <c r="S13" s="144" t="s">
        <v>1186</v>
      </c>
      <c r="U13" s="100"/>
      <c r="V13" s="101"/>
      <c r="W13" s="85">
        <f t="shared" si="2"/>
        <v>0</v>
      </c>
      <c r="X13" s="125"/>
      <c r="Z13" s="100"/>
      <c r="AA13" s="101"/>
      <c r="AB13" s="85">
        <f t="shared" si="3"/>
        <v>0</v>
      </c>
      <c r="AC13" s="125"/>
      <c r="AE13" s="100"/>
      <c r="AF13" s="101"/>
      <c r="AG13" s="85">
        <f t="shared" si="4"/>
        <v>0</v>
      </c>
      <c r="AH13" s="125"/>
      <c r="AJ13" s="100"/>
      <c r="AK13" s="101"/>
      <c r="AL13" s="85">
        <f t="shared" si="5"/>
        <v>0</v>
      </c>
      <c r="AM13" s="125"/>
      <c r="AO13" s="126">
        <v>1</v>
      </c>
      <c r="AP13" s="129">
        <v>0.25</v>
      </c>
      <c r="AQ13" s="85">
        <f t="shared" si="6"/>
        <v>0.25</v>
      </c>
      <c r="AR13" s="144" t="s">
        <v>1194</v>
      </c>
    </row>
    <row r="14" spans="1:44" s="184" customFormat="1" ht="96.75" customHeight="1" x14ac:dyDescent="0.25">
      <c r="A14" s="184">
        <v>11</v>
      </c>
      <c r="B14" s="125" t="s">
        <v>3</v>
      </c>
      <c r="C14" s="125" t="s">
        <v>31</v>
      </c>
      <c r="D14" s="102" t="s">
        <v>39</v>
      </c>
      <c r="F14" s="100"/>
      <c r="G14" s="101"/>
      <c r="H14" s="85">
        <v>0</v>
      </c>
      <c r="I14" s="125"/>
      <c r="K14" s="83">
        <v>1</v>
      </c>
      <c r="L14" s="84">
        <v>0.85</v>
      </c>
      <c r="M14" s="85">
        <f t="shared" si="0"/>
        <v>0.85</v>
      </c>
      <c r="N14" s="87" t="s">
        <v>1182</v>
      </c>
      <c r="P14" s="83">
        <v>1</v>
      </c>
      <c r="Q14" s="84">
        <v>1</v>
      </c>
      <c r="R14" s="85">
        <f t="shared" si="1"/>
        <v>1</v>
      </c>
      <c r="S14" s="87"/>
      <c r="U14" s="100"/>
      <c r="V14" s="101"/>
      <c r="W14" s="85">
        <f t="shared" si="2"/>
        <v>0</v>
      </c>
      <c r="X14" s="125"/>
      <c r="Z14" s="100"/>
      <c r="AA14" s="101"/>
      <c r="AB14" s="85">
        <f t="shared" si="3"/>
        <v>0</v>
      </c>
      <c r="AC14" s="125"/>
      <c r="AE14" s="100"/>
      <c r="AF14" s="101"/>
      <c r="AG14" s="85">
        <f t="shared" si="4"/>
        <v>0</v>
      </c>
      <c r="AH14" s="125"/>
      <c r="AJ14" s="100"/>
      <c r="AK14" s="101"/>
      <c r="AL14" s="85">
        <f t="shared" si="5"/>
        <v>0</v>
      </c>
      <c r="AM14" s="125"/>
      <c r="AO14" s="83">
        <v>1</v>
      </c>
      <c r="AP14" s="118">
        <v>0.15</v>
      </c>
      <c r="AQ14" s="85">
        <f t="shared" si="6"/>
        <v>0.15</v>
      </c>
      <c r="AR14" s="87" t="s">
        <v>1195</v>
      </c>
    </row>
    <row r="15" spans="1:44" s="184" customFormat="1" ht="71.25" customHeight="1" x14ac:dyDescent="0.25">
      <c r="A15" s="184">
        <v>12</v>
      </c>
      <c r="B15" s="125" t="s">
        <v>3</v>
      </c>
      <c r="C15" s="125" t="s">
        <v>31</v>
      </c>
      <c r="D15" s="102" t="s">
        <v>40</v>
      </c>
      <c r="F15" s="100"/>
      <c r="G15" s="101"/>
      <c r="H15" s="85">
        <v>0</v>
      </c>
      <c r="I15" s="125"/>
      <c r="K15" s="126">
        <v>1</v>
      </c>
      <c r="L15" s="127">
        <v>1</v>
      </c>
      <c r="M15" s="85">
        <f t="shared" si="0"/>
        <v>1</v>
      </c>
      <c r="N15" s="144"/>
      <c r="P15" s="126">
        <v>1</v>
      </c>
      <c r="Q15" s="127">
        <v>0.95</v>
      </c>
      <c r="R15" s="85">
        <f t="shared" si="1"/>
        <v>0.95</v>
      </c>
      <c r="S15" s="144" t="s">
        <v>1187</v>
      </c>
      <c r="U15" s="100"/>
      <c r="V15" s="101"/>
      <c r="W15" s="85">
        <f t="shared" si="2"/>
        <v>0</v>
      </c>
      <c r="X15" s="125"/>
      <c r="Z15" s="100"/>
      <c r="AA15" s="101"/>
      <c r="AB15" s="85">
        <f t="shared" si="3"/>
        <v>0</v>
      </c>
      <c r="AC15" s="125"/>
      <c r="AE15" s="100"/>
      <c r="AF15" s="101"/>
      <c r="AG15" s="85">
        <f t="shared" si="4"/>
        <v>0</v>
      </c>
      <c r="AH15" s="125"/>
      <c r="AJ15" s="100"/>
      <c r="AK15" s="101"/>
      <c r="AL15" s="85">
        <f t="shared" si="5"/>
        <v>0</v>
      </c>
      <c r="AM15" s="125"/>
      <c r="AO15" s="126">
        <v>1</v>
      </c>
      <c r="AP15" s="129">
        <v>0.5</v>
      </c>
      <c r="AQ15" s="85">
        <f t="shared" si="6"/>
        <v>0.5</v>
      </c>
      <c r="AR15" s="144" t="s">
        <v>1196</v>
      </c>
    </row>
    <row r="16" spans="1:44" s="184" customFormat="1" ht="288.75" customHeight="1" x14ac:dyDescent="0.25">
      <c r="A16" s="184">
        <v>13</v>
      </c>
      <c r="B16" s="125" t="s">
        <v>6</v>
      </c>
      <c r="C16" s="125" t="s">
        <v>7</v>
      </c>
      <c r="D16" s="102" t="s">
        <v>41</v>
      </c>
      <c r="F16" s="100"/>
      <c r="G16" s="101"/>
      <c r="H16" s="85">
        <f t="shared" ref="H16:H56" si="7">F16*G16</f>
        <v>0</v>
      </c>
      <c r="I16" s="125"/>
      <c r="K16" s="100">
        <v>1</v>
      </c>
      <c r="L16" s="101">
        <v>1</v>
      </c>
      <c r="M16" s="85">
        <f t="shared" si="0"/>
        <v>1</v>
      </c>
      <c r="N16" s="102" t="s">
        <v>134</v>
      </c>
      <c r="P16" s="100">
        <v>1</v>
      </c>
      <c r="Q16" s="101">
        <v>0.9</v>
      </c>
      <c r="R16" s="85">
        <f t="shared" si="1"/>
        <v>0.9</v>
      </c>
      <c r="S16" s="102" t="s">
        <v>1571</v>
      </c>
      <c r="U16" s="100"/>
      <c r="V16" s="101"/>
      <c r="W16" s="85">
        <f t="shared" si="2"/>
        <v>0</v>
      </c>
      <c r="X16" s="125"/>
      <c r="Z16" s="100"/>
      <c r="AA16" s="101"/>
      <c r="AB16" s="85">
        <f t="shared" si="3"/>
        <v>0</v>
      </c>
      <c r="AC16" s="125"/>
      <c r="AE16" s="100"/>
      <c r="AF16" s="101"/>
      <c r="AG16" s="85">
        <f t="shared" si="4"/>
        <v>0</v>
      </c>
      <c r="AH16" s="125"/>
      <c r="AJ16" s="100"/>
      <c r="AK16" s="101"/>
      <c r="AL16" s="85">
        <f t="shared" si="5"/>
        <v>0</v>
      </c>
      <c r="AM16" s="125"/>
      <c r="AO16" s="100">
        <v>1</v>
      </c>
      <c r="AP16" s="101">
        <v>0.9</v>
      </c>
      <c r="AQ16" s="85">
        <f t="shared" si="6"/>
        <v>0.9</v>
      </c>
      <c r="AR16" s="102" t="s">
        <v>178</v>
      </c>
    </row>
    <row r="17" spans="1:44" s="184" customFormat="1" ht="145.5" customHeight="1" x14ac:dyDescent="0.25">
      <c r="A17" s="184">
        <v>14</v>
      </c>
      <c r="B17" s="125" t="s">
        <v>6</v>
      </c>
      <c r="C17" s="125" t="s">
        <v>7</v>
      </c>
      <c r="D17" s="102" t="s">
        <v>130</v>
      </c>
      <c r="F17" s="100"/>
      <c r="G17" s="101"/>
      <c r="H17" s="85">
        <f t="shared" si="7"/>
        <v>0</v>
      </c>
      <c r="I17" s="125"/>
      <c r="K17" s="100">
        <v>1</v>
      </c>
      <c r="L17" s="107">
        <v>1</v>
      </c>
      <c r="M17" s="85">
        <f t="shared" si="0"/>
        <v>1</v>
      </c>
      <c r="N17" s="102" t="s">
        <v>135</v>
      </c>
      <c r="P17" s="100">
        <v>1</v>
      </c>
      <c r="Q17" s="107">
        <v>0.65</v>
      </c>
      <c r="R17" s="85">
        <f t="shared" si="1"/>
        <v>0.65</v>
      </c>
      <c r="S17" s="102" t="s">
        <v>156</v>
      </c>
      <c r="U17" s="100"/>
      <c r="V17" s="101"/>
      <c r="W17" s="85">
        <f t="shared" si="2"/>
        <v>0</v>
      </c>
      <c r="X17" s="125"/>
      <c r="Z17" s="100"/>
      <c r="AA17" s="101"/>
      <c r="AB17" s="85">
        <f t="shared" si="3"/>
        <v>0</v>
      </c>
      <c r="AC17" s="125"/>
      <c r="AE17" s="100"/>
      <c r="AF17" s="101"/>
      <c r="AG17" s="85">
        <f t="shared" si="4"/>
        <v>0</v>
      </c>
      <c r="AH17" s="125"/>
      <c r="AJ17" s="100"/>
      <c r="AK17" s="101"/>
      <c r="AL17" s="85">
        <f t="shared" si="5"/>
        <v>0</v>
      </c>
      <c r="AM17" s="125"/>
      <c r="AO17" s="100">
        <v>1</v>
      </c>
      <c r="AP17" s="107">
        <v>0.55000000000000004</v>
      </c>
      <c r="AQ17" s="107">
        <f t="shared" si="6"/>
        <v>0.55000000000000004</v>
      </c>
      <c r="AR17" s="102" t="s">
        <v>179</v>
      </c>
    </row>
    <row r="18" spans="1:44" s="184" customFormat="1" ht="136.5" customHeight="1" x14ac:dyDescent="0.25">
      <c r="A18" s="184">
        <v>15</v>
      </c>
      <c r="B18" s="125" t="s">
        <v>6</v>
      </c>
      <c r="C18" s="125" t="s">
        <v>7</v>
      </c>
      <c r="D18" s="102" t="s">
        <v>131</v>
      </c>
      <c r="F18" s="100"/>
      <c r="G18" s="101"/>
      <c r="H18" s="85">
        <f t="shared" si="7"/>
        <v>0</v>
      </c>
      <c r="I18" s="125"/>
      <c r="K18" s="100">
        <v>1</v>
      </c>
      <c r="L18" s="101">
        <v>1</v>
      </c>
      <c r="M18" s="85">
        <f t="shared" si="0"/>
        <v>1</v>
      </c>
      <c r="N18" s="102" t="s">
        <v>136</v>
      </c>
      <c r="P18" s="100">
        <v>1</v>
      </c>
      <c r="Q18" s="101">
        <v>1</v>
      </c>
      <c r="R18" s="85">
        <f t="shared" si="1"/>
        <v>1</v>
      </c>
      <c r="S18" s="102" t="s">
        <v>157</v>
      </c>
      <c r="U18" s="100"/>
      <c r="V18" s="101"/>
      <c r="W18" s="85">
        <f t="shared" si="2"/>
        <v>0</v>
      </c>
      <c r="X18" s="125"/>
      <c r="Z18" s="100"/>
      <c r="AA18" s="101"/>
      <c r="AB18" s="85">
        <f t="shared" si="3"/>
        <v>0</v>
      </c>
      <c r="AC18" s="125"/>
      <c r="AE18" s="100"/>
      <c r="AF18" s="101"/>
      <c r="AG18" s="85">
        <f t="shared" si="4"/>
        <v>0</v>
      </c>
      <c r="AH18" s="125"/>
      <c r="AJ18" s="100"/>
      <c r="AK18" s="101"/>
      <c r="AL18" s="85">
        <f t="shared" si="5"/>
        <v>0</v>
      </c>
      <c r="AM18" s="125"/>
      <c r="AO18" s="100">
        <v>1</v>
      </c>
      <c r="AP18" s="101">
        <v>0.95</v>
      </c>
      <c r="AQ18" s="85">
        <f t="shared" si="6"/>
        <v>0.95</v>
      </c>
      <c r="AR18" s="102" t="s">
        <v>180</v>
      </c>
    </row>
    <row r="19" spans="1:44" s="184" customFormat="1" ht="63" x14ac:dyDescent="0.25">
      <c r="A19" s="184">
        <v>16</v>
      </c>
      <c r="B19" s="125" t="s">
        <v>6</v>
      </c>
      <c r="C19" s="125" t="s">
        <v>7</v>
      </c>
      <c r="D19" s="102" t="s">
        <v>42</v>
      </c>
      <c r="F19" s="100"/>
      <c r="G19" s="101"/>
      <c r="H19" s="85">
        <f t="shared" si="7"/>
        <v>0</v>
      </c>
      <c r="I19" s="125"/>
      <c r="K19" s="100">
        <v>1</v>
      </c>
      <c r="L19" s="101">
        <v>1</v>
      </c>
      <c r="M19" s="85">
        <f t="shared" si="0"/>
        <v>1</v>
      </c>
      <c r="N19" s="102" t="s">
        <v>137</v>
      </c>
      <c r="P19" s="100">
        <v>1</v>
      </c>
      <c r="Q19" s="101">
        <v>0.95</v>
      </c>
      <c r="R19" s="85">
        <f t="shared" si="1"/>
        <v>0.95</v>
      </c>
      <c r="S19" s="102" t="s">
        <v>158</v>
      </c>
      <c r="U19" s="100"/>
      <c r="V19" s="101"/>
      <c r="W19" s="85">
        <f t="shared" si="2"/>
        <v>0</v>
      </c>
      <c r="X19" s="125"/>
      <c r="Z19" s="100"/>
      <c r="AA19" s="101"/>
      <c r="AB19" s="85">
        <f t="shared" si="3"/>
        <v>0</v>
      </c>
      <c r="AC19" s="125"/>
      <c r="AE19" s="100"/>
      <c r="AF19" s="101"/>
      <c r="AG19" s="85">
        <f t="shared" si="4"/>
        <v>0</v>
      </c>
      <c r="AH19" s="125"/>
      <c r="AJ19" s="100"/>
      <c r="AK19" s="101"/>
      <c r="AL19" s="85">
        <f t="shared" si="5"/>
        <v>0</v>
      </c>
      <c r="AM19" s="125"/>
      <c r="AO19" s="100">
        <v>1</v>
      </c>
      <c r="AP19" s="101">
        <v>0.95</v>
      </c>
      <c r="AQ19" s="85">
        <f t="shared" si="6"/>
        <v>0.95</v>
      </c>
      <c r="AR19" s="102" t="s">
        <v>158</v>
      </c>
    </row>
    <row r="20" spans="1:44" s="184" customFormat="1" ht="222.75" customHeight="1" x14ac:dyDescent="0.25">
      <c r="A20" s="184">
        <v>17</v>
      </c>
      <c r="B20" s="125" t="s">
        <v>6</v>
      </c>
      <c r="C20" s="125" t="s">
        <v>7</v>
      </c>
      <c r="D20" s="102" t="s">
        <v>43</v>
      </c>
      <c r="F20" s="100"/>
      <c r="G20" s="101"/>
      <c r="H20" s="85">
        <f t="shared" si="7"/>
        <v>0</v>
      </c>
      <c r="I20" s="125"/>
      <c r="K20" s="100">
        <v>1</v>
      </c>
      <c r="L20" s="101">
        <v>0.73</v>
      </c>
      <c r="M20" s="85">
        <f t="shared" si="0"/>
        <v>0.73</v>
      </c>
      <c r="N20" s="102" t="s">
        <v>138</v>
      </c>
      <c r="P20" s="100">
        <v>1</v>
      </c>
      <c r="Q20" s="101">
        <v>0.9</v>
      </c>
      <c r="R20" s="85">
        <f t="shared" si="1"/>
        <v>0.9</v>
      </c>
      <c r="S20" s="102" t="s">
        <v>159</v>
      </c>
      <c r="U20" s="100"/>
      <c r="V20" s="101"/>
      <c r="W20" s="85">
        <f t="shared" si="2"/>
        <v>0</v>
      </c>
      <c r="X20" s="125"/>
      <c r="Z20" s="100"/>
      <c r="AA20" s="101"/>
      <c r="AB20" s="85">
        <f t="shared" si="3"/>
        <v>0</v>
      </c>
      <c r="AC20" s="125"/>
      <c r="AE20" s="100"/>
      <c r="AF20" s="101"/>
      <c r="AG20" s="85">
        <f t="shared" si="4"/>
        <v>0</v>
      </c>
      <c r="AH20" s="125"/>
      <c r="AJ20" s="100"/>
      <c r="AK20" s="101"/>
      <c r="AL20" s="85">
        <f t="shared" si="5"/>
        <v>0</v>
      </c>
      <c r="AM20" s="125"/>
      <c r="AO20" s="100">
        <v>1</v>
      </c>
      <c r="AP20" s="101">
        <v>0.65</v>
      </c>
      <c r="AQ20" s="85">
        <f>AO20*AP20</f>
        <v>0.65</v>
      </c>
      <c r="AR20" s="102" t="s">
        <v>181</v>
      </c>
    </row>
    <row r="21" spans="1:44" s="184" customFormat="1" ht="201.75" customHeight="1" x14ac:dyDescent="0.25">
      <c r="A21" s="184">
        <v>18</v>
      </c>
      <c r="B21" s="125" t="s">
        <v>6</v>
      </c>
      <c r="C21" s="125" t="s">
        <v>7</v>
      </c>
      <c r="D21" s="102" t="s">
        <v>44</v>
      </c>
      <c r="F21" s="100"/>
      <c r="G21" s="101"/>
      <c r="H21" s="85">
        <f t="shared" si="7"/>
        <v>0</v>
      </c>
      <c r="I21" s="125"/>
      <c r="K21" s="100">
        <v>1</v>
      </c>
      <c r="L21" s="101">
        <v>0.75</v>
      </c>
      <c r="M21" s="85">
        <f t="shared" si="0"/>
        <v>0.75</v>
      </c>
      <c r="N21" s="102" t="s">
        <v>139</v>
      </c>
      <c r="P21" s="100">
        <v>1</v>
      </c>
      <c r="Q21" s="101">
        <v>0.75</v>
      </c>
      <c r="R21" s="85">
        <f t="shared" si="1"/>
        <v>0.75</v>
      </c>
      <c r="S21" s="102" t="s">
        <v>160</v>
      </c>
      <c r="U21" s="100"/>
      <c r="V21" s="101"/>
      <c r="W21" s="85">
        <f t="shared" si="2"/>
        <v>0</v>
      </c>
      <c r="X21" s="125"/>
      <c r="Z21" s="100"/>
      <c r="AA21" s="101"/>
      <c r="AB21" s="85">
        <f t="shared" si="3"/>
        <v>0</v>
      </c>
      <c r="AC21" s="125"/>
      <c r="AE21" s="100"/>
      <c r="AF21" s="101"/>
      <c r="AG21" s="85">
        <f t="shared" si="4"/>
        <v>0</v>
      </c>
      <c r="AH21" s="125"/>
      <c r="AJ21" s="100"/>
      <c r="AK21" s="101"/>
      <c r="AL21" s="85">
        <f t="shared" si="5"/>
        <v>0</v>
      </c>
      <c r="AM21" s="125"/>
      <c r="AO21" s="100">
        <v>1</v>
      </c>
      <c r="AP21" s="101">
        <v>0.72</v>
      </c>
      <c r="AQ21" s="85">
        <f t="shared" ref="AQ21:AQ23" si="8">AO21*AP21</f>
        <v>0.72</v>
      </c>
      <c r="AR21" s="102" t="s">
        <v>182</v>
      </c>
    </row>
    <row r="22" spans="1:44" s="184" customFormat="1" ht="182.25" customHeight="1" x14ac:dyDescent="0.25">
      <c r="A22" s="184">
        <v>19</v>
      </c>
      <c r="B22" s="125" t="s">
        <v>6</v>
      </c>
      <c r="C22" s="125" t="s">
        <v>7</v>
      </c>
      <c r="D22" s="102" t="s">
        <v>45</v>
      </c>
      <c r="F22" s="100"/>
      <c r="G22" s="101"/>
      <c r="H22" s="85">
        <f t="shared" si="7"/>
        <v>0</v>
      </c>
      <c r="I22" s="125"/>
      <c r="K22" s="100">
        <v>1</v>
      </c>
      <c r="L22" s="101">
        <v>0.7</v>
      </c>
      <c r="M22" s="85">
        <f t="shared" si="0"/>
        <v>0.7</v>
      </c>
      <c r="N22" s="102" t="s">
        <v>140</v>
      </c>
      <c r="P22" s="100">
        <v>1</v>
      </c>
      <c r="Q22" s="101">
        <v>0.5</v>
      </c>
      <c r="R22" s="85">
        <f t="shared" si="1"/>
        <v>0.5</v>
      </c>
      <c r="S22" s="102" t="s">
        <v>161</v>
      </c>
      <c r="U22" s="100"/>
      <c r="V22" s="101"/>
      <c r="W22" s="85">
        <f t="shared" si="2"/>
        <v>0</v>
      </c>
      <c r="X22" s="125"/>
      <c r="Z22" s="100"/>
      <c r="AA22" s="101"/>
      <c r="AB22" s="85">
        <f t="shared" si="3"/>
        <v>0</v>
      </c>
      <c r="AC22" s="125"/>
      <c r="AE22" s="100"/>
      <c r="AF22" s="101"/>
      <c r="AG22" s="85">
        <f t="shared" si="4"/>
        <v>0</v>
      </c>
      <c r="AH22" s="125"/>
      <c r="AJ22" s="100"/>
      <c r="AK22" s="101"/>
      <c r="AL22" s="85">
        <f t="shared" si="5"/>
        <v>0</v>
      </c>
      <c r="AM22" s="125"/>
      <c r="AO22" s="100">
        <v>1</v>
      </c>
      <c r="AP22" s="101">
        <v>0.35</v>
      </c>
      <c r="AQ22" s="85">
        <f t="shared" si="8"/>
        <v>0.35</v>
      </c>
      <c r="AR22" s="102" t="s">
        <v>183</v>
      </c>
    </row>
    <row r="23" spans="1:44" s="184" customFormat="1" ht="144" customHeight="1" x14ac:dyDescent="0.25">
      <c r="A23" s="184">
        <v>20</v>
      </c>
      <c r="B23" s="125" t="s">
        <v>6</v>
      </c>
      <c r="C23" s="125" t="s">
        <v>7</v>
      </c>
      <c r="D23" s="102" t="s">
        <v>46</v>
      </c>
      <c r="F23" s="100"/>
      <c r="G23" s="101"/>
      <c r="H23" s="85">
        <f t="shared" si="7"/>
        <v>0</v>
      </c>
      <c r="I23" s="125"/>
      <c r="K23" s="100">
        <v>1</v>
      </c>
      <c r="L23" s="101">
        <v>0.75</v>
      </c>
      <c r="M23" s="85">
        <f t="shared" si="0"/>
        <v>0.75</v>
      </c>
      <c r="N23" s="102" t="s">
        <v>141</v>
      </c>
      <c r="P23" s="100">
        <v>1</v>
      </c>
      <c r="Q23" s="101">
        <v>0.6</v>
      </c>
      <c r="R23" s="85">
        <f t="shared" si="1"/>
        <v>0.6</v>
      </c>
      <c r="S23" s="102" t="s">
        <v>162</v>
      </c>
      <c r="U23" s="100"/>
      <c r="V23" s="101"/>
      <c r="W23" s="85">
        <f t="shared" si="2"/>
        <v>0</v>
      </c>
      <c r="X23" s="125"/>
      <c r="Z23" s="100"/>
      <c r="AA23" s="101"/>
      <c r="AB23" s="85">
        <f t="shared" si="3"/>
        <v>0</v>
      </c>
      <c r="AC23" s="125"/>
      <c r="AE23" s="100"/>
      <c r="AF23" s="101"/>
      <c r="AG23" s="85">
        <f t="shared" si="4"/>
        <v>0</v>
      </c>
      <c r="AH23" s="125"/>
      <c r="AJ23" s="100"/>
      <c r="AK23" s="101"/>
      <c r="AL23" s="85">
        <f t="shared" si="5"/>
        <v>0</v>
      </c>
      <c r="AM23" s="125"/>
      <c r="AO23" s="100">
        <v>1</v>
      </c>
      <c r="AP23" s="101">
        <v>0.3</v>
      </c>
      <c r="AQ23" s="85">
        <f t="shared" si="8"/>
        <v>0.3</v>
      </c>
      <c r="AR23" s="102" t="s">
        <v>184</v>
      </c>
    </row>
    <row r="24" spans="1:44" s="184" customFormat="1" ht="94.5" x14ac:dyDescent="0.25">
      <c r="A24" s="184">
        <v>21</v>
      </c>
      <c r="B24" s="125" t="s">
        <v>6</v>
      </c>
      <c r="C24" s="125" t="s">
        <v>7</v>
      </c>
      <c r="D24" s="102" t="s">
        <v>47</v>
      </c>
      <c r="F24" s="100"/>
      <c r="G24" s="101"/>
      <c r="H24" s="85">
        <f t="shared" si="7"/>
        <v>0</v>
      </c>
      <c r="I24" s="125"/>
      <c r="J24" s="184" t="s">
        <v>30</v>
      </c>
      <c r="K24" s="100">
        <v>1</v>
      </c>
      <c r="L24" s="101">
        <v>0.98</v>
      </c>
      <c r="M24" s="85">
        <f t="shared" si="0"/>
        <v>0.98</v>
      </c>
      <c r="N24" s="102" t="s">
        <v>142</v>
      </c>
      <c r="P24" s="100">
        <v>1</v>
      </c>
      <c r="Q24" s="101">
        <v>0.9</v>
      </c>
      <c r="R24" s="85">
        <f t="shared" si="1"/>
        <v>0.9</v>
      </c>
      <c r="S24" s="102" t="s">
        <v>163</v>
      </c>
      <c r="U24" s="100"/>
      <c r="V24" s="101"/>
      <c r="W24" s="85">
        <f t="shared" si="2"/>
        <v>0</v>
      </c>
      <c r="X24" s="125"/>
      <c r="Z24" s="100"/>
      <c r="AA24" s="101"/>
      <c r="AB24" s="85">
        <f t="shared" si="3"/>
        <v>0</v>
      </c>
      <c r="AC24" s="125"/>
      <c r="AE24" s="100"/>
      <c r="AF24" s="101"/>
      <c r="AG24" s="85">
        <f t="shared" si="4"/>
        <v>0</v>
      </c>
      <c r="AH24" s="125"/>
      <c r="AJ24" s="100"/>
      <c r="AK24" s="101"/>
      <c r="AL24" s="85">
        <f t="shared" si="5"/>
        <v>0</v>
      </c>
      <c r="AM24" s="125"/>
      <c r="AO24" s="100">
        <v>1</v>
      </c>
      <c r="AP24" s="101">
        <v>0.95</v>
      </c>
      <c r="AQ24" s="85">
        <f t="shared" si="6"/>
        <v>0.95</v>
      </c>
      <c r="AR24" s="102" t="s">
        <v>185</v>
      </c>
    </row>
    <row r="25" spans="1:44" s="184" customFormat="1" ht="150" customHeight="1" x14ac:dyDescent="0.25">
      <c r="A25" s="184">
        <v>22</v>
      </c>
      <c r="B25" s="125" t="s">
        <v>6</v>
      </c>
      <c r="C25" s="125" t="s">
        <v>8</v>
      </c>
      <c r="D25" s="102" t="s">
        <v>48</v>
      </c>
      <c r="F25" s="100"/>
      <c r="G25" s="101"/>
      <c r="H25" s="85">
        <f t="shared" si="7"/>
        <v>0</v>
      </c>
      <c r="I25" s="125"/>
      <c r="K25" s="100">
        <v>1</v>
      </c>
      <c r="L25" s="101">
        <v>1</v>
      </c>
      <c r="M25" s="85">
        <f t="shared" si="0"/>
        <v>1</v>
      </c>
      <c r="N25" s="102" t="s">
        <v>143</v>
      </c>
      <c r="P25" s="100">
        <v>1</v>
      </c>
      <c r="Q25" s="101">
        <v>1</v>
      </c>
      <c r="R25" s="85">
        <f t="shared" si="1"/>
        <v>1</v>
      </c>
      <c r="S25" s="102" t="s">
        <v>164</v>
      </c>
      <c r="U25" s="100"/>
      <c r="V25" s="101"/>
      <c r="W25" s="85">
        <f t="shared" si="2"/>
        <v>0</v>
      </c>
      <c r="X25" s="125"/>
      <c r="Z25" s="100"/>
      <c r="AA25" s="101"/>
      <c r="AB25" s="85">
        <f t="shared" si="3"/>
        <v>0</v>
      </c>
      <c r="AC25" s="125"/>
      <c r="AE25" s="100"/>
      <c r="AF25" s="101"/>
      <c r="AG25" s="85">
        <f t="shared" si="4"/>
        <v>0</v>
      </c>
      <c r="AH25" s="125"/>
      <c r="AJ25" s="100"/>
      <c r="AK25" s="101"/>
      <c r="AL25" s="85">
        <f t="shared" si="5"/>
        <v>0</v>
      </c>
      <c r="AM25" s="125"/>
      <c r="AO25" s="100">
        <v>1</v>
      </c>
      <c r="AP25" s="101">
        <v>0.5</v>
      </c>
      <c r="AQ25" s="85">
        <f t="shared" si="6"/>
        <v>0.5</v>
      </c>
      <c r="AR25" s="102" t="s">
        <v>186</v>
      </c>
    </row>
    <row r="26" spans="1:44" s="184" customFormat="1" ht="78.75" x14ac:dyDescent="0.25">
      <c r="A26" s="184">
        <v>23</v>
      </c>
      <c r="B26" s="125" t="s">
        <v>6</v>
      </c>
      <c r="C26" s="125" t="s">
        <v>8</v>
      </c>
      <c r="D26" s="102" t="s">
        <v>49</v>
      </c>
      <c r="F26" s="100"/>
      <c r="G26" s="101"/>
      <c r="H26" s="85">
        <f t="shared" si="7"/>
        <v>0</v>
      </c>
      <c r="I26" s="125"/>
      <c r="K26" s="100">
        <v>1</v>
      </c>
      <c r="L26" s="101">
        <v>1</v>
      </c>
      <c r="M26" s="85">
        <f t="shared" si="0"/>
        <v>1</v>
      </c>
      <c r="N26" s="102" t="s">
        <v>144</v>
      </c>
      <c r="P26" s="100">
        <v>1</v>
      </c>
      <c r="Q26" s="101">
        <v>1</v>
      </c>
      <c r="R26" s="85">
        <f t="shared" si="1"/>
        <v>1</v>
      </c>
      <c r="S26" s="102" t="s">
        <v>165</v>
      </c>
      <c r="U26" s="100"/>
      <c r="V26" s="101"/>
      <c r="W26" s="85">
        <f t="shared" si="2"/>
        <v>0</v>
      </c>
      <c r="X26" s="125"/>
      <c r="Z26" s="100"/>
      <c r="AA26" s="101"/>
      <c r="AB26" s="85">
        <f t="shared" si="3"/>
        <v>0</v>
      </c>
      <c r="AC26" s="125"/>
      <c r="AE26" s="100"/>
      <c r="AF26" s="101"/>
      <c r="AG26" s="85">
        <f t="shared" si="4"/>
        <v>0</v>
      </c>
      <c r="AH26" s="125"/>
      <c r="AJ26" s="100"/>
      <c r="AK26" s="101"/>
      <c r="AL26" s="85">
        <f t="shared" si="5"/>
        <v>0</v>
      </c>
      <c r="AM26" s="125"/>
      <c r="AO26" s="100">
        <v>1</v>
      </c>
      <c r="AP26" s="101">
        <v>0.7</v>
      </c>
      <c r="AQ26" s="85">
        <f t="shared" si="6"/>
        <v>0.7</v>
      </c>
      <c r="AR26" s="102" t="s">
        <v>187</v>
      </c>
    </row>
    <row r="27" spans="1:44" s="184" customFormat="1" ht="110.25" x14ac:dyDescent="0.25">
      <c r="A27" s="184">
        <v>24</v>
      </c>
      <c r="B27" s="125" t="s">
        <v>6</v>
      </c>
      <c r="C27" s="125" t="s">
        <v>8</v>
      </c>
      <c r="D27" s="102" t="s">
        <v>50</v>
      </c>
      <c r="F27" s="100"/>
      <c r="G27" s="101"/>
      <c r="H27" s="85">
        <f t="shared" si="7"/>
        <v>0</v>
      </c>
      <c r="I27" s="125"/>
      <c r="K27" s="100">
        <v>1</v>
      </c>
      <c r="L27" s="101">
        <v>0.99</v>
      </c>
      <c r="M27" s="85">
        <f t="shared" si="0"/>
        <v>0.99</v>
      </c>
      <c r="N27" s="102" t="s">
        <v>145</v>
      </c>
      <c r="P27" s="100">
        <v>1</v>
      </c>
      <c r="Q27" s="101">
        <v>1</v>
      </c>
      <c r="R27" s="85">
        <f t="shared" si="1"/>
        <v>1</v>
      </c>
      <c r="S27" s="102" t="s">
        <v>166</v>
      </c>
      <c r="U27" s="100"/>
      <c r="V27" s="101"/>
      <c r="W27" s="85">
        <f t="shared" si="2"/>
        <v>0</v>
      </c>
      <c r="X27" s="125"/>
      <c r="Z27" s="100"/>
      <c r="AA27" s="101"/>
      <c r="AB27" s="85">
        <f t="shared" si="3"/>
        <v>0</v>
      </c>
      <c r="AC27" s="125"/>
      <c r="AE27" s="100"/>
      <c r="AF27" s="101"/>
      <c r="AG27" s="85">
        <f t="shared" si="4"/>
        <v>0</v>
      </c>
      <c r="AH27" s="125"/>
      <c r="AJ27" s="100"/>
      <c r="AK27" s="101"/>
      <c r="AL27" s="85">
        <f t="shared" si="5"/>
        <v>0</v>
      </c>
      <c r="AM27" s="125"/>
      <c r="AO27" s="100">
        <v>1</v>
      </c>
      <c r="AP27" s="101">
        <v>0.7</v>
      </c>
      <c r="AQ27" s="85">
        <f t="shared" si="6"/>
        <v>0.7</v>
      </c>
      <c r="AR27" s="102" t="s">
        <v>188</v>
      </c>
    </row>
    <row r="28" spans="1:44" s="184" customFormat="1" ht="252" x14ac:dyDescent="0.25">
      <c r="A28" s="184">
        <v>25</v>
      </c>
      <c r="B28" s="125" t="s">
        <v>6</v>
      </c>
      <c r="C28" s="125" t="s">
        <v>8</v>
      </c>
      <c r="D28" s="102" t="s">
        <v>51</v>
      </c>
      <c r="F28" s="100"/>
      <c r="G28" s="101"/>
      <c r="H28" s="85">
        <f t="shared" si="7"/>
        <v>0</v>
      </c>
      <c r="I28" s="125"/>
      <c r="K28" s="100">
        <v>1</v>
      </c>
      <c r="L28" s="101">
        <v>0.8</v>
      </c>
      <c r="M28" s="85">
        <f t="shared" si="0"/>
        <v>0.8</v>
      </c>
      <c r="N28" s="102" t="s">
        <v>146</v>
      </c>
      <c r="P28" s="100">
        <v>1</v>
      </c>
      <c r="Q28" s="101">
        <v>0.6</v>
      </c>
      <c r="R28" s="85">
        <f t="shared" si="1"/>
        <v>0.6</v>
      </c>
      <c r="S28" s="102" t="s">
        <v>167</v>
      </c>
      <c r="U28" s="100"/>
      <c r="V28" s="101"/>
      <c r="W28" s="85">
        <f t="shared" si="2"/>
        <v>0</v>
      </c>
      <c r="X28" s="125"/>
      <c r="Z28" s="100"/>
      <c r="AA28" s="101"/>
      <c r="AB28" s="85">
        <f t="shared" si="3"/>
        <v>0</v>
      </c>
      <c r="AC28" s="125"/>
      <c r="AE28" s="100"/>
      <c r="AF28" s="101"/>
      <c r="AG28" s="85">
        <f t="shared" si="4"/>
        <v>0</v>
      </c>
      <c r="AH28" s="125"/>
      <c r="AJ28" s="100"/>
      <c r="AK28" s="101"/>
      <c r="AL28" s="85">
        <f t="shared" si="5"/>
        <v>0</v>
      </c>
      <c r="AM28" s="125"/>
      <c r="AO28" s="100">
        <v>1</v>
      </c>
      <c r="AP28" s="101">
        <v>0.6</v>
      </c>
      <c r="AQ28" s="85">
        <f t="shared" si="6"/>
        <v>0.6</v>
      </c>
      <c r="AR28" s="102" t="s">
        <v>189</v>
      </c>
    </row>
    <row r="29" spans="1:44" s="184" customFormat="1" ht="78.75" x14ac:dyDescent="0.25">
      <c r="A29" s="184">
        <v>26</v>
      </c>
      <c r="B29" s="125" t="s">
        <v>6</v>
      </c>
      <c r="C29" s="125" t="s">
        <v>8</v>
      </c>
      <c r="D29" s="102" t="s">
        <v>52</v>
      </c>
      <c r="F29" s="100"/>
      <c r="G29" s="101"/>
      <c r="H29" s="85">
        <f t="shared" si="7"/>
        <v>0</v>
      </c>
      <c r="I29" s="125"/>
      <c r="K29" s="100">
        <v>1</v>
      </c>
      <c r="L29" s="101">
        <v>1</v>
      </c>
      <c r="M29" s="85">
        <f t="shared" si="0"/>
        <v>1</v>
      </c>
      <c r="N29" s="102" t="s">
        <v>147</v>
      </c>
      <c r="P29" s="100">
        <v>1</v>
      </c>
      <c r="Q29" s="101">
        <v>0.85</v>
      </c>
      <c r="R29" s="85">
        <f t="shared" si="1"/>
        <v>0.85</v>
      </c>
      <c r="S29" s="102" t="s">
        <v>168</v>
      </c>
      <c r="U29" s="100"/>
      <c r="V29" s="101"/>
      <c r="W29" s="85">
        <f t="shared" si="2"/>
        <v>0</v>
      </c>
      <c r="X29" s="125"/>
      <c r="Z29" s="100"/>
      <c r="AA29" s="101"/>
      <c r="AB29" s="85">
        <f t="shared" si="3"/>
        <v>0</v>
      </c>
      <c r="AC29" s="125"/>
      <c r="AE29" s="100"/>
      <c r="AF29" s="101"/>
      <c r="AG29" s="85">
        <f t="shared" si="4"/>
        <v>0</v>
      </c>
      <c r="AH29" s="125"/>
      <c r="AJ29" s="100"/>
      <c r="AK29" s="101"/>
      <c r="AL29" s="85">
        <f t="shared" si="5"/>
        <v>0</v>
      </c>
      <c r="AM29" s="125"/>
      <c r="AO29" s="100">
        <v>1</v>
      </c>
      <c r="AP29" s="101">
        <v>0.75</v>
      </c>
      <c r="AQ29" s="85">
        <f t="shared" si="6"/>
        <v>0.75</v>
      </c>
      <c r="AR29" s="102" t="s">
        <v>190</v>
      </c>
    </row>
    <row r="30" spans="1:44" s="184" customFormat="1" ht="220.5" x14ac:dyDescent="0.25">
      <c r="A30" s="184">
        <v>27</v>
      </c>
      <c r="B30" s="125" t="s">
        <v>6</v>
      </c>
      <c r="C30" s="125" t="s">
        <v>8</v>
      </c>
      <c r="D30" s="102" t="s">
        <v>53</v>
      </c>
      <c r="F30" s="100"/>
      <c r="G30" s="101"/>
      <c r="H30" s="85">
        <f t="shared" si="7"/>
        <v>0</v>
      </c>
      <c r="I30" s="125"/>
      <c r="K30" s="100">
        <v>1</v>
      </c>
      <c r="L30" s="107">
        <v>1</v>
      </c>
      <c r="M30" s="85">
        <f t="shared" si="0"/>
        <v>1</v>
      </c>
      <c r="N30" s="102"/>
      <c r="P30" s="100">
        <v>1</v>
      </c>
      <c r="Q30" s="101">
        <v>0.6</v>
      </c>
      <c r="R30" s="85">
        <f t="shared" si="1"/>
        <v>0.6</v>
      </c>
      <c r="S30" s="102" t="s">
        <v>169</v>
      </c>
      <c r="U30" s="100"/>
      <c r="V30" s="101"/>
      <c r="W30" s="85">
        <f t="shared" si="2"/>
        <v>0</v>
      </c>
      <c r="X30" s="125"/>
      <c r="Z30" s="100"/>
      <c r="AA30" s="101"/>
      <c r="AB30" s="85">
        <f t="shared" si="3"/>
        <v>0</v>
      </c>
      <c r="AC30" s="125"/>
      <c r="AE30" s="100"/>
      <c r="AF30" s="101"/>
      <c r="AG30" s="85">
        <f t="shared" si="4"/>
        <v>0</v>
      </c>
      <c r="AH30" s="125"/>
      <c r="AJ30" s="100"/>
      <c r="AK30" s="101"/>
      <c r="AL30" s="85">
        <f t="shared" si="5"/>
        <v>0</v>
      </c>
      <c r="AM30" s="125"/>
      <c r="AO30" s="100">
        <v>1</v>
      </c>
      <c r="AP30" s="101">
        <v>1</v>
      </c>
      <c r="AQ30" s="85">
        <f t="shared" si="6"/>
        <v>1</v>
      </c>
      <c r="AR30" s="102"/>
    </row>
    <row r="31" spans="1:44" s="184" customFormat="1" ht="78.75" x14ac:dyDescent="0.25">
      <c r="A31" s="184">
        <v>28</v>
      </c>
      <c r="B31" s="125" t="s">
        <v>6</v>
      </c>
      <c r="C31" s="125" t="s">
        <v>8</v>
      </c>
      <c r="D31" s="102" t="s">
        <v>54</v>
      </c>
      <c r="F31" s="100"/>
      <c r="G31" s="101"/>
      <c r="H31" s="85">
        <f t="shared" si="7"/>
        <v>0</v>
      </c>
      <c r="I31" s="125"/>
      <c r="K31" s="100">
        <v>1</v>
      </c>
      <c r="L31" s="101">
        <v>1</v>
      </c>
      <c r="M31" s="85">
        <f t="shared" si="0"/>
        <v>1</v>
      </c>
      <c r="N31" s="102" t="s">
        <v>148</v>
      </c>
      <c r="P31" s="100">
        <v>1</v>
      </c>
      <c r="Q31" s="101">
        <v>1</v>
      </c>
      <c r="R31" s="85">
        <f t="shared" si="1"/>
        <v>1</v>
      </c>
      <c r="S31" s="102" t="s">
        <v>170</v>
      </c>
      <c r="U31" s="100"/>
      <c r="V31" s="101"/>
      <c r="W31" s="85">
        <f t="shared" si="2"/>
        <v>0</v>
      </c>
      <c r="X31" s="125"/>
      <c r="Z31" s="100"/>
      <c r="AA31" s="101"/>
      <c r="AB31" s="85">
        <f t="shared" si="3"/>
        <v>0</v>
      </c>
      <c r="AC31" s="125"/>
      <c r="AE31" s="100"/>
      <c r="AF31" s="101"/>
      <c r="AG31" s="85">
        <f t="shared" si="4"/>
        <v>0</v>
      </c>
      <c r="AH31" s="125"/>
      <c r="AJ31" s="100"/>
      <c r="AK31" s="101"/>
      <c r="AL31" s="85">
        <f t="shared" si="5"/>
        <v>0</v>
      </c>
      <c r="AM31" s="125"/>
      <c r="AO31" s="100">
        <v>1</v>
      </c>
      <c r="AP31" s="101">
        <v>1</v>
      </c>
      <c r="AQ31" s="85">
        <f t="shared" si="6"/>
        <v>1</v>
      </c>
      <c r="AR31" s="102" t="s">
        <v>191</v>
      </c>
    </row>
    <row r="32" spans="1:44" s="184" customFormat="1" ht="78.75" x14ac:dyDescent="0.25">
      <c r="A32" s="184">
        <v>29</v>
      </c>
      <c r="B32" s="125" t="s">
        <v>6</v>
      </c>
      <c r="C32" s="125" t="s">
        <v>8</v>
      </c>
      <c r="D32" s="102" t="s">
        <v>55</v>
      </c>
      <c r="F32" s="100"/>
      <c r="G32" s="101"/>
      <c r="H32" s="85">
        <f t="shared" si="7"/>
        <v>0</v>
      </c>
      <c r="I32" s="125"/>
      <c r="K32" s="100">
        <v>1</v>
      </c>
      <c r="L32" s="101">
        <v>0.95</v>
      </c>
      <c r="M32" s="85">
        <f t="shared" si="0"/>
        <v>0.95</v>
      </c>
      <c r="N32" s="102" t="s">
        <v>149</v>
      </c>
      <c r="P32" s="100">
        <v>1</v>
      </c>
      <c r="Q32" s="101">
        <v>0.85</v>
      </c>
      <c r="R32" s="85">
        <f t="shared" si="1"/>
        <v>0.85</v>
      </c>
      <c r="S32" s="102" t="s">
        <v>171</v>
      </c>
      <c r="U32" s="100"/>
      <c r="V32" s="101"/>
      <c r="W32" s="85">
        <f t="shared" si="2"/>
        <v>0</v>
      </c>
      <c r="X32" s="125"/>
      <c r="Z32" s="100"/>
      <c r="AA32" s="101"/>
      <c r="AB32" s="85">
        <f t="shared" si="3"/>
        <v>0</v>
      </c>
      <c r="AC32" s="125"/>
      <c r="AE32" s="100"/>
      <c r="AF32" s="101"/>
      <c r="AG32" s="85">
        <f t="shared" si="4"/>
        <v>0</v>
      </c>
      <c r="AH32" s="125"/>
      <c r="AJ32" s="100"/>
      <c r="AK32" s="101"/>
      <c r="AL32" s="85">
        <f t="shared" si="5"/>
        <v>0</v>
      </c>
      <c r="AM32" s="125"/>
      <c r="AO32" s="100">
        <v>1</v>
      </c>
      <c r="AP32" s="101">
        <v>0.85</v>
      </c>
      <c r="AQ32" s="85">
        <f t="shared" si="6"/>
        <v>0.85</v>
      </c>
      <c r="AR32" s="102" t="s">
        <v>192</v>
      </c>
    </row>
    <row r="33" spans="1:44" s="184" customFormat="1" ht="78.75" x14ac:dyDescent="0.25">
      <c r="A33" s="184">
        <v>30</v>
      </c>
      <c r="B33" s="125" t="s">
        <v>6</v>
      </c>
      <c r="C33" s="125" t="s">
        <v>8</v>
      </c>
      <c r="D33" s="102" t="s">
        <v>56</v>
      </c>
      <c r="F33" s="100"/>
      <c r="G33" s="101"/>
      <c r="H33" s="85">
        <f t="shared" si="7"/>
        <v>0</v>
      </c>
      <c r="I33" s="125"/>
      <c r="K33" s="100">
        <v>1</v>
      </c>
      <c r="L33" s="101">
        <v>1</v>
      </c>
      <c r="M33" s="85">
        <f t="shared" si="0"/>
        <v>1</v>
      </c>
      <c r="N33" s="102" t="s">
        <v>150</v>
      </c>
      <c r="P33" s="100">
        <v>1</v>
      </c>
      <c r="Q33" s="101">
        <v>0.5</v>
      </c>
      <c r="R33" s="85">
        <f t="shared" si="1"/>
        <v>0.5</v>
      </c>
      <c r="S33" s="102" t="s">
        <v>172</v>
      </c>
      <c r="U33" s="100"/>
      <c r="V33" s="101"/>
      <c r="W33" s="85">
        <f t="shared" si="2"/>
        <v>0</v>
      </c>
      <c r="X33" s="125"/>
      <c r="Z33" s="100"/>
      <c r="AA33" s="101"/>
      <c r="AB33" s="85">
        <f t="shared" si="3"/>
        <v>0</v>
      </c>
      <c r="AC33" s="125"/>
      <c r="AE33" s="100"/>
      <c r="AF33" s="101"/>
      <c r="AG33" s="85">
        <f t="shared" si="4"/>
        <v>0</v>
      </c>
      <c r="AH33" s="125"/>
      <c r="AJ33" s="100"/>
      <c r="AK33" s="101"/>
      <c r="AL33" s="85">
        <f t="shared" si="5"/>
        <v>0</v>
      </c>
      <c r="AM33" s="125"/>
      <c r="AO33" s="100">
        <v>1</v>
      </c>
      <c r="AP33" s="101">
        <v>0.5</v>
      </c>
      <c r="AQ33" s="85">
        <f t="shared" si="6"/>
        <v>0.5</v>
      </c>
      <c r="AR33" s="102" t="s">
        <v>193</v>
      </c>
    </row>
    <row r="34" spans="1:44" s="184" customFormat="1" ht="94.5" customHeight="1" x14ac:dyDescent="0.25">
      <c r="A34" s="184">
        <v>31</v>
      </c>
      <c r="B34" s="187" t="s">
        <v>6</v>
      </c>
      <c r="C34" s="187" t="s">
        <v>9</v>
      </c>
      <c r="D34" s="181" t="s">
        <v>57</v>
      </c>
      <c r="F34" s="100"/>
      <c r="G34" s="101"/>
      <c r="H34" s="85">
        <f t="shared" si="7"/>
        <v>0</v>
      </c>
      <c r="I34" s="125"/>
      <c r="K34" s="100">
        <v>1</v>
      </c>
      <c r="L34" s="101">
        <v>0.65</v>
      </c>
      <c r="M34" s="85">
        <f t="shared" si="0"/>
        <v>0.65</v>
      </c>
      <c r="N34" s="102" t="s">
        <v>151</v>
      </c>
      <c r="P34" s="100">
        <v>1</v>
      </c>
      <c r="Q34" s="101">
        <v>0.3</v>
      </c>
      <c r="R34" s="85">
        <f t="shared" si="1"/>
        <v>0.3</v>
      </c>
      <c r="S34" s="102" t="s">
        <v>173</v>
      </c>
      <c r="U34" s="100"/>
      <c r="V34" s="101"/>
      <c r="W34" s="85">
        <f t="shared" si="2"/>
        <v>0</v>
      </c>
      <c r="X34" s="125"/>
      <c r="Z34" s="100"/>
      <c r="AA34" s="101"/>
      <c r="AB34" s="85">
        <f t="shared" si="3"/>
        <v>0</v>
      </c>
      <c r="AC34" s="125"/>
      <c r="AE34" s="100"/>
      <c r="AF34" s="101"/>
      <c r="AG34" s="85">
        <f t="shared" si="4"/>
        <v>0</v>
      </c>
      <c r="AH34" s="125"/>
      <c r="AJ34" s="100"/>
      <c r="AK34" s="101"/>
      <c r="AL34" s="85">
        <f t="shared" si="5"/>
        <v>0</v>
      </c>
      <c r="AM34" s="125"/>
      <c r="AO34" s="100">
        <v>1</v>
      </c>
      <c r="AP34" s="101">
        <v>0.5</v>
      </c>
      <c r="AQ34" s="85">
        <f t="shared" si="6"/>
        <v>0.5</v>
      </c>
      <c r="AR34" s="102" t="s">
        <v>194</v>
      </c>
    </row>
    <row r="35" spans="1:44" s="184" customFormat="1" ht="94.5" x14ac:dyDescent="0.25">
      <c r="A35" s="184">
        <v>32</v>
      </c>
      <c r="B35" s="125" t="s">
        <v>6</v>
      </c>
      <c r="C35" s="125" t="s">
        <v>9</v>
      </c>
      <c r="D35" s="102" t="s">
        <v>58</v>
      </c>
      <c r="F35" s="100"/>
      <c r="G35" s="101"/>
      <c r="H35" s="85">
        <f t="shared" si="7"/>
        <v>0</v>
      </c>
      <c r="I35" s="125"/>
      <c r="K35" s="100">
        <v>1</v>
      </c>
      <c r="L35" s="101">
        <v>0.9</v>
      </c>
      <c r="M35" s="85">
        <f t="shared" si="0"/>
        <v>0.9</v>
      </c>
      <c r="N35" s="102" t="s">
        <v>152</v>
      </c>
      <c r="P35" s="100">
        <v>1</v>
      </c>
      <c r="Q35" s="101">
        <v>0.7</v>
      </c>
      <c r="R35" s="85">
        <f t="shared" si="1"/>
        <v>0.7</v>
      </c>
      <c r="S35" s="102" t="s">
        <v>174</v>
      </c>
      <c r="U35" s="100"/>
      <c r="V35" s="101"/>
      <c r="W35" s="85">
        <f t="shared" si="2"/>
        <v>0</v>
      </c>
      <c r="X35" s="125"/>
      <c r="Z35" s="100"/>
      <c r="AA35" s="101"/>
      <c r="AB35" s="85">
        <f t="shared" si="3"/>
        <v>0</v>
      </c>
      <c r="AC35" s="125"/>
      <c r="AE35" s="100"/>
      <c r="AF35" s="101"/>
      <c r="AG35" s="85">
        <f t="shared" si="4"/>
        <v>0</v>
      </c>
      <c r="AH35" s="125"/>
      <c r="AJ35" s="100"/>
      <c r="AK35" s="101"/>
      <c r="AL35" s="85">
        <f t="shared" si="5"/>
        <v>0</v>
      </c>
      <c r="AM35" s="125"/>
      <c r="AO35" s="100">
        <v>1</v>
      </c>
      <c r="AP35" s="101">
        <v>0.5</v>
      </c>
      <c r="AQ35" s="85">
        <f t="shared" si="6"/>
        <v>0.5</v>
      </c>
      <c r="AR35" s="102" t="s">
        <v>195</v>
      </c>
    </row>
    <row r="36" spans="1:44" s="184" customFormat="1" ht="141.75" x14ac:dyDescent="0.25">
      <c r="A36" s="184">
        <v>33</v>
      </c>
      <c r="B36" s="125" t="s">
        <v>6</v>
      </c>
      <c r="C36" s="125" t="s">
        <v>9</v>
      </c>
      <c r="D36" s="102" t="s">
        <v>59</v>
      </c>
      <c r="F36" s="100"/>
      <c r="G36" s="101"/>
      <c r="H36" s="85">
        <f t="shared" si="7"/>
        <v>0</v>
      </c>
      <c r="I36" s="125"/>
      <c r="K36" s="100">
        <v>1</v>
      </c>
      <c r="L36" s="101">
        <v>1</v>
      </c>
      <c r="M36" s="85">
        <f t="shared" si="0"/>
        <v>1</v>
      </c>
      <c r="N36" s="102"/>
      <c r="P36" s="100">
        <v>1</v>
      </c>
      <c r="Q36" s="101">
        <v>0.5</v>
      </c>
      <c r="R36" s="85">
        <f t="shared" si="1"/>
        <v>0.5</v>
      </c>
      <c r="S36" s="102" t="s">
        <v>175</v>
      </c>
      <c r="U36" s="100"/>
      <c r="V36" s="101"/>
      <c r="W36" s="85">
        <f t="shared" si="2"/>
        <v>0</v>
      </c>
      <c r="X36" s="125"/>
      <c r="Z36" s="100"/>
      <c r="AA36" s="101"/>
      <c r="AB36" s="85">
        <f t="shared" si="3"/>
        <v>0</v>
      </c>
      <c r="AC36" s="125"/>
      <c r="AE36" s="100"/>
      <c r="AF36" s="101"/>
      <c r="AG36" s="85">
        <f t="shared" si="4"/>
        <v>0</v>
      </c>
      <c r="AH36" s="125"/>
      <c r="AJ36" s="100"/>
      <c r="AK36" s="101"/>
      <c r="AL36" s="85">
        <f t="shared" si="5"/>
        <v>0</v>
      </c>
      <c r="AM36" s="125"/>
      <c r="AO36" s="100">
        <v>1</v>
      </c>
      <c r="AP36" s="101">
        <v>0.8</v>
      </c>
      <c r="AQ36" s="85">
        <f t="shared" si="6"/>
        <v>0.8</v>
      </c>
      <c r="AR36" s="102" t="s">
        <v>196</v>
      </c>
    </row>
    <row r="37" spans="1:44" s="184" customFormat="1" ht="126" x14ac:dyDescent="0.25">
      <c r="A37" s="184">
        <v>34</v>
      </c>
      <c r="B37" s="125" t="s">
        <v>6</v>
      </c>
      <c r="C37" s="125" t="s">
        <v>9</v>
      </c>
      <c r="D37" s="102" t="s">
        <v>60</v>
      </c>
      <c r="F37" s="100"/>
      <c r="G37" s="101"/>
      <c r="H37" s="85">
        <f t="shared" si="7"/>
        <v>0</v>
      </c>
      <c r="I37" s="125"/>
      <c r="K37" s="100">
        <v>1</v>
      </c>
      <c r="L37" s="101">
        <v>0.95</v>
      </c>
      <c r="M37" s="85">
        <f t="shared" si="0"/>
        <v>0.95</v>
      </c>
      <c r="N37" s="102" t="s">
        <v>153</v>
      </c>
      <c r="P37" s="100">
        <v>1</v>
      </c>
      <c r="Q37" s="101">
        <v>1</v>
      </c>
      <c r="R37" s="85">
        <f t="shared" si="1"/>
        <v>1</v>
      </c>
      <c r="S37" s="102" t="s">
        <v>176</v>
      </c>
      <c r="U37" s="100"/>
      <c r="V37" s="101"/>
      <c r="W37" s="85">
        <f t="shared" si="2"/>
        <v>0</v>
      </c>
      <c r="X37" s="125"/>
      <c r="Z37" s="100"/>
      <c r="AA37" s="101"/>
      <c r="AB37" s="85">
        <f t="shared" si="3"/>
        <v>0</v>
      </c>
      <c r="AC37" s="125"/>
      <c r="AE37" s="100"/>
      <c r="AF37" s="101"/>
      <c r="AG37" s="85">
        <f t="shared" si="4"/>
        <v>0</v>
      </c>
      <c r="AH37" s="125"/>
      <c r="AJ37" s="100"/>
      <c r="AK37" s="101"/>
      <c r="AL37" s="85">
        <f t="shared" si="5"/>
        <v>0</v>
      </c>
      <c r="AM37" s="125"/>
      <c r="AO37" s="100">
        <v>0</v>
      </c>
      <c r="AP37" s="101">
        <v>0</v>
      </c>
      <c r="AQ37" s="85">
        <f t="shared" si="6"/>
        <v>0</v>
      </c>
      <c r="AR37" s="102" t="s">
        <v>197</v>
      </c>
    </row>
    <row r="38" spans="1:44" s="184" customFormat="1" ht="252" x14ac:dyDescent="0.25">
      <c r="A38" s="184">
        <v>35</v>
      </c>
      <c r="B38" s="125" t="s">
        <v>6</v>
      </c>
      <c r="C38" s="125" t="s">
        <v>9</v>
      </c>
      <c r="D38" s="102" t="s">
        <v>61</v>
      </c>
      <c r="F38" s="100"/>
      <c r="G38" s="101"/>
      <c r="H38" s="85">
        <f t="shared" si="7"/>
        <v>0</v>
      </c>
      <c r="I38" s="125"/>
      <c r="K38" s="100">
        <v>1</v>
      </c>
      <c r="L38" s="101">
        <v>0.9</v>
      </c>
      <c r="M38" s="85">
        <f t="shared" si="0"/>
        <v>0.9</v>
      </c>
      <c r="N38" s="102" t="s">
        <v>1290</v>
      </c>
      <c r="P38" s="100">
        <v>1</v>
      </c>
      <c r="Q38" s="101">
        <v>0.98</v>
      </c>
      <c r="R38" s="85">
        <f t="shared" si="1"/>
        <v>0.98</v>
      </c>
      <c r="S38" s="102" t="s">
        <v>1291</v>
      </c>
      <c r="U38" s="100"/>
      <c r="V38" s="101"/>
      <c r="W38" s="85">
        <f t="shared" si="2"/>
        <v>0</v>
      </c>
      <c r="X38" s="125"/>
      <c r="Z38" s="100"/>
      <c r="AA38" s="101"/>
      <c r="AB38" s="85">
        <f t="shared" si="3"/>
        <v>0</v>
      </c>
      <c r="AC38" s="125"/>
      <c r="AE38" s="100"/>
      <c r="AF38" s="101"/>
      <c r="AG38" s="85">
        <f t="shared" si="4"/>
        <v>0</v>
      </c>
      <c r="AH38" s="125"/>
      <c r="AJ38" s="100"/>
      <c r="AK38" s="101"/>
      <c r="AL38" s="85">
        <f t="shared" si="5"/>
        <v>0</v>
      </c>
      <c r="AM38" s="125"/>
      <c r="AO38" s="100">
        <v>1</v>
      </c>
      <c r="AP38" s="101">
        <v>0.65</v>
      </c>
      <c r="AQ38" s="85">
        <f t="shared" si="6"/>
        <v>0.65</v>
      </c>
      <c r="AR38" s="102" t="s">
        <v>1292</v>
      </c>
    </row>
    <row r="39" spans="1:44" s="184" customFormat="1" ht="204.75" x14ac:dyDescent="0.25">
      <c r="A39" s="184">
        <v>36</v>
      </c>
      <c r="B39" s="125" t="s">
        <v>6</v>
      </c>
      <c r="C39" s="125" t="s">
        <v>9</v>
      </c>
      <c r="D39" s="102" t="s">
        <v>62</v>
      </c>
      <c r="F39" s="100"/>
      <c r="G39" s="101"/>
      <c r="H39" s="85">
        <f t="shared" si="7"/>
        <v>0</v>
      </c>
      <c r="I39" s="125"/>
      <c r="K39" s="100">
        <v>1</v>
      </c>
      <c r="L39" s="101">
        <v>0.9</v>
      </c>
      <c r="M39" s="85">
        <f t="shared" si="0"/>
        <v>0.9</v>
      </c>
      <c r="N39" s="102" t="s">
        <v>154</v>
      </c>
      <c r="P39" s="100">
        <v>1</v>
      </c>
      <c r="Q39" s="101">
        <v>0.96</v>
      </c>
      <c r="R39" s="85">
        <f t="shared" si="1"/>
        <v>0.96</v>
      </c>
      <c r="S39" s="102" t="s">
        <v>177</v>
      </c>
      <c r="U39" s="100"/>
      <c r="V39" s="101"/>
      <c r="W39" s="85">
        <f t="shared" si="2"/>
        <v>0</v>
      </c>
      <c r="X39" s="125"/>
      <c r="Z39" s="100"/>
      <c r="AA39" s="101"/>
      <c r="AB39" s="85">
        <f t="shared" si="3"/>
        <v>0</v>
      </c>
      <c r="AC39" s="125"/>
      <c r="AE39" s="100"/>
      <c r="AF39" s="101"/>
      <c r="AG39" s="85">
        <f t="shared" si="4"/>
        <v>0</v>
      </c>
      <c r="AH39" s="125"/>
      <c r="AJ39" s="100"/>
      <c r="AK39" s="101"/>
      <c r="AL39" s="85">
        <f t="shared" si="5"/>
        <v>0</v>
      </c>
      <c r="AM39" s="125"/>
      <c r="AO39" s="100">
        <v>1</v>
      </c>
      <c r="AP39" s="101">
        <v>0.6</v>
      </c>
      <c r="AQ39" s="85">
        <f t="shared" si="6"/>
        <v>0.6</v>
      </c>
      <c r="AR39" s="102" t="s">
        <v>198</v>
      </c>
    </row>
    <row r="40" spans="1:44" s="184" customFormat="1" ht="105" customHeight="1" x14ac:dyDescent="0.25">
      <c r="A40" s="184">
        <v>37</v>
      </c>
      <c r="B40" s="125" t="s">
        <v>6</v>
      </c>
      <c r="C40" s="125" t="s">
        <v>9</v>
      </c>
      <c r="D40" s="102" t="s">
        <v>63</v>
      </c>
      <c r="F40" s="100"/>
      <c r="G40" s="101"/>
      <c r="H40" s="85">
        <f t="shared" si="7"/>
        <v>0</v>
      </c>
      <c r="I40" s="125"/>
      <c r="K40" s="100">
        <v>1</v>
      </c>
      <c r="L40" s="101">
        <v>0.65</v>
      </c>
      <c r="M40" s="85">
        <f t="shared" si="0"/>
        <v>0.65</v>
      </c>
      <c r="N40" s="102" t="s">
        <v>155</v>
      </c>
      <c r="P40" s="100">
        <v>1</v>
      </c>
      <c r="Q40" s="101">
        <v>1</v>
      </c>
      <c r="R40" s="85">
        <f t="shared" si="1"/>
        <v>1</v>
      </c>
      <c r="S40" s="102" t="s">
        <v>285</v>
      </c>
      <c r="U40" s="100"/>
      <c r="V40" s="101"/>
      <c r="W40" s="85">
        <f t="shared" si="2"/>
        <v>0</v>
      </c>
      <c r="X40" s="125"/>
      <c r="Z40" s="100"/>
      <c r="AA40" s="101"/>
      <c r="AB40" s="85">
        <f t="shared" si="3"/>
        <v>0</v>
      </c>
      <c r="AC40" s="125"/>
      <c r="AE40" s="100"/>
      <c r="AF40" s="101"/>
      <c r="AG40" s="85">
        <f t="shared" si="4"/>
        <v>0</v>
      </c>
      <c r="AH40" s="125"/>
      <c r="AJ40" s="100"/>
      <c r="AK40" s="101"/>
      <c r="AL40" s="85">
        <f t="shared" si="5"/>
        <v>0</v>
      </c>
      <c r="AM40" s="125"/>
      <c r="AO40" s="100">
        <v>1</v>
      </c>
      <c r="AP40" s="101">
        <v>0.6</v>
      </c>
      <c r="AQ40" s="85">
        <f t="shared" si="6"/>
        <v>0.6</v>
      </c>
      <c r="AR40" s="102" t="s">
        <v>199</v>
      </c>
    </row>
    <row r="41" spans="1:44" s="184" customFormat="1" ht="97.5" customHeight="1" x14ac:dyDescent="0.25">
      <c r="A41" s="184">
        <v>38</v>
      </c>
      <c r="B41" s="125" t="s">
        <v>10</v>
      </c>
      <c r="C41" s="125" t="s">
        <v>11</v>
      </c>
      <c r="D41" s="102" t="s">
        <v>65</v>
      </c>
      <c r="F41" s="100"/>
      <c r="G41" s="101"/>
      <c r="H41" s="85">
        <f t="shared" si="7"/>
        <v>0</v>
      </c>
      <c r="I41" s="125"/>
      <c r="K41" s="100">
        <v>1</v>
      </c>
      <c r="L41" s="101">
        <v>0.8</v>
      </c>
      <c r="M41" s="85">
        <f t="shared" si="0"/>
        <v>0.8</v>
      </c>
      <c r="N41" s="102" t="s">
        <v>1270</v>
      </c>
      <c r="P41" s="100">
        <v>1</v>
      </c>
      <c r="Q41" s="101">
        <v>0.83</v>
      </c>
      <c r="R41" s="85">
        <f t="shared" si="1"/>
        <v>0.83</v>
      </c>
      <c r="S41" s="102" t="s">
        <v>1293</v>
      </c>
      <c r="U41" s="100"/>
      <c r="V41" s="101"/>
      <c r="W41" s="85">
        <f t="shared" si="2"/>
        <v>0</v>
      </c>
      <c r="X41" s="125"/>
      <c r="Z41" s="100"/>
      <c r="AA41" s="101"/>
      <c r="AB41" s="85">
        <f t="shared" si="3"/>
        <v>0</v>
      </c>
      <c r="AC41" s="125"/>
      <c r="AE41" s="100"/>
      <c r="AF41" s="101"/>
      <c r="AG41" s="85">
        <f t="shared" si="4"/>
        <v>0</v>
      </c>
      <c r="AH41" s="125"/>
      <c r="AJ41" s="100"/>
      <c r="AK41" s="101"/>
      <c r="AL41" s="85">
        <f t="shared" si="5"/>
        <v>0</v>
      </c>
      <c r="AM41" s="125"/>
      <c r="AO41" s="100">
        <v>1</v>
      </c>
      <c r="AP41" s="101">
        <v>0.8</v>
      </c>
      <c r="AQ41" s="85">
        <f t="shared" si="6"/>
        <v>0.8</v>
      </c>
      <c r="AR41" s="102" t="s">
        <v>1294</v>
      </c>
    </row>
    <row r="42" spans="1:44" s="184" customFormat="1" ht="105.75" customHeight="1" x14ac:dyDescent="0.25">
      <c r="A42" s="184">
        <v>39</v>
      </c>
      <c r="B42" s="125" t="s">
        <v>10</v>
      </c>
      <c r="C42" s="125" t="s">
        <v>11</v>
      </c>
      <c r="D42" s="102" t="s">
        <v>66</v>
      </c>
      <c r="F42" s="100"/>
      <c r="G42" s="101"/>
      <c r="H42" s="85">
        <f t="shared" si="7"/>
        <v>0</v>
      </c>
      <c r="I42" s="125"/>
      <c r="K42" s="100">
        <v>1</v>
      </c>
      <c r="L42" s="101">
        <v>1</v>
      </c>
      <c r="M42" s="85">
        <f t="shared" si="0"/>
        <v>1</v>
      </c>
      <c r="N42" s="102" t="s">
        <v>1058</v>
      </c>
      <c r="P42" s="100">
        <v>1</v>
      </c>
      <c r="Q42" s="101">
        <v>1</v>
      </c>
      <c r="R42" s="85">
        <f t="shared" si="1"/>
        <v>1</v>
      </c>
      <c r="S42" s="102" t="s">
        <v>1064</v>
      </c>
      <c r="U42" s="100"/>
      <c r="V42" s="101"/>
      <c r="W42" s="85">
        <f t="shared" si="2"/>
        <v>0</v>
      </c>
      <c r="X42" s="125"/>
      <c r="Z42" s="100"/>
      <c r="AA42" s="101"/>
      <c r="AB42" s="85">
        <f t="shared" si="3"/>
        <v>0</v>
      </c>
      <c r="AC42" s="125"/>
      <c r="AE42" s="100"/>
      <c r="AF42" s="101"/>
      <c r="AG42" s="85">
        <f t="shared" si="4"/>
        <v>0</v>
      </c>
      <c r="AH42" s="125"/>
      <c r="AJ42" s="100"/>
      <c r="AK42" s="101"/>
      <c r="AL42" s="85">
        <f t="shared" si="5"/>
        <v>0</v>
      </c>
      <c r="AM42" s="125"/>
      <c r="AO42" s="100">
        <v>1</v>
      </c>
      <c r="AP42" s="101">
        <v>1</v>
      </c>
      <c r="AQ42" s="85">
        <f t="shared" si="6"/>
        <v>1</v>
      </c>
      <c r="AR42" s="102" t="s">
        <v>1066</v>
      </c>
    </row>
    <row r="43" spans="1:44" s="184" customFormat="1" ht="105" customHeight="1" x14ac:dyDescent="0.25">
      <c r="A43" s="184">
        <v>40</v>
      </c>
      <c r="B43" s="125" t="s">
        <v>10</v>
      </c>
      <c r="C43" s="125" t="s">
        <v>11</v>
      </c>
      <c r="D43" s="102" t="s">
        <v>67</v>
      </c>
      <c r="F43" s="100"/>
      <c r="G43" s="101"/>
      <c r="H43" s="85">
        <f t="shared" si="7"/>
        <v>0</v>
      </c>
      <c r="I43" s="125"/>
      <c r="K43" s="100">
        <v>1</v>
      </c>
      <c r="L43" s="101">
        <v>0.9</v>
      </c>
      <c r="M43" s="85">
        <f t="shared" si="0"/>
        <v>0.9</v>
      </c>
      <c r="N43" s="102" t="s">
        <v>1271</v>
      </c>
      <c r="P43" s="100">
        <v>1</v>
      </c>
      <c r="Q43" s="101">
        <v>0.85</v>
      </c>
      <c r="R43" s="85">
        <f t="shared" si="1"/>
        <v>0.85</v>
      </c>
      <c r="S43" s="102" t="s">
        <v>1272</v>
      </c>
      <c r="U43" s="100"/>
      <c r="V43" s="101"/>
      <c r="W43" s="85">
        <f t="shared" si="2"/>
        <v>0</v>
      </c>
      <c r="X43" s="125"/>
      <c r="Z43" s="100"/>
      <c r="AA43" s="101"/>
      <c r="AB43" s="85">
        <f t="shared" si="3"/>
        <v>0</v>
      </c>
      <c r="AC43" s="125"/>
      <c r="AE43" s="100"/>
      <c r="AF43" s="101"/>
      <c r="AG43" s="85">
        <f t="shared" si="4"/>
        <v>0</v>
      </c>
      <c r="AH43" s="125"/>
      <c r="AJ43" s="100"/>
      <c r="AK43" s="101"/>
      <c r="AL43" s="85">
        <f t="shared" si="5"/>
        <v>0</v>
      </c>
      <c r="AM43" s="125"/>
      <c r="AO43" s="100">
        <v>1</v>
      </c>
      <c r="AP43" s="101">
        <v>0.7</v>
      </c>
      <c r="AQ43" s="85">
        <f t="shared" si="6"/>
        <v>0.7</v>
      </c>
      <c r="AR43" s="102" t="s">
        <v>1273</v>
      </c>
    </row>
    <row r="44" spans="1:44" s="184" customFormat="1" ht="291.75" customHeight="1" x14ac:dyDescent="0.25">
      <c r="A44" s="184">
        <v>41</v>
      </c>
      <c r="B44" s="125" t="s">
        <v>10</v>
      </c>
      <c r="C44" s="125" t="s">
        <v>11</v>
      </c>
      <c r="D44" s="102" t="s">
        <v>68</v>
      </c>
      <c r="F44" s="100"/>
      <c r="G44" s="101"/>
      <c r="H44" s="85">
        <f t="shared" si="7"/>
        <v>0</v>
      </c>
      <c r="I44" s="125"/>
      <c r="K44" s="100">
        <v>1</v>
      </c>
      <c r="L44" s="101">
        <v>1</v>
      </c>
      <c r="M44" s="85">
        <f t="shared" si="0"/>
        <v>1</v>
      </c>
      <c r="N44" s="102" t="s">
        <v>1059</v>
      </c>
      <c r="P44" s="100">
        <v>1</v>
      </c>
      <c r="Q44" s="101">
        <v>0.77</v>
      </c>
      <c r="R44" s="85">
        <f t="shared" si="1"/>
        <v>0.77</v>
      </c>
      <c r="S44" s="102" t="s">
        <v>1274</v>
      </c>
      <c r="U44" s="100"/>
      <c r="V44" s="101"/>
      <c r="W44" s="85">
        <f t="shared" si="2"/>
        <v>0</v>
      </c>
      <c r="X44" s="125"/>
      <c r="Z44" s="100"/>
      <c r="AA44" s="101"/>
      <c r="AB44" s="85">
        <f t="shared" si="3"/>
        <v>0</v>
      </c>
      <c r="AC44" s="125"/>
      <c r="AE44" s="100"/>
      <c r="AF44" s="101"/>
      <c r="AG44" s="85">
        <f t="shared" si="4"/>
        <v>0</v>
      </c>
      <c r="AH44" s="125"/>
      <c r="AJ44" s="100"/>
      <c r="AK44" s="101"/>
      <c r="AL44" s="85">
        <f t="shared" si="5"/>
        <v>0</v>
      </c>
      <c r="AM44" s="125"/>
      <c r="AO44" s="100">
        <v>1</v>
      </c>
      <c r="AP44" s="101">
        <v>0.83</v>
      </c>
      <c r="AQ44" s="85">
        <f t="shared" si="6"/>
        <v>0.83</v>
      </c>
      <c r="AR44" s="102" t="s">
        <v>1275</v>
      </c>
    </row>
    <row r="45" spans="1:44" s="184" customFormat="1" ht="63.75" customHeight="1" x14ac:dyDescent="0.25">
      <c r="A45" s="184">
        <v>42</v>
      </c>
      <c r="B45" s="125" t="s">
        <v>10</v>
      </c>
      <c r="C45" s="125" t="s">
        <v>11</v>
      </c>
      <c r="D45" s="102" t="s">
        <v>69</v>
      </c>
      <c r="F45" s="100"/>
      <c r="G45" s="101"/>
      <c r="H45" s="85">
        <f t="shared" si="7"/>
        <v>0</v>
      </c>
      <c r="I45" s="125"/>
      <c r="K45" s="100">
        <v>1</v>
      </c>
      <c r="L45" s="101">
        <v>1</v>
      </c>
      <c r="M45" s="85">
        <f t="shared" si="0"/>
        <v>1</v>
      </c>
      <c r="N45" s="102" t="s">
        <v>1060</v>
      </c>
      <c r="P45" s="100">
        <v>1</v>
      </c>
      <c r="Q45" s="101">
        <v>0.7</v>
      </c>
      <c r="R45" s="85">
        <f t="shared" si="1"/>
        <v>0.7</v>
      </c>
      <c r="S45" s="102" t="s">
        <v>1276</v>
      </c>
      <c r="U45" s="100"/>
      <c r="V45" s="101"/>
      <c r="W45" s="85">
        <f t="shared" si="2"/>
        <v>0</v>
      </c>
      <c r="X45" s="125"/>
      <c r="Z45" s="100"/>
      <c r="AA45" s="101"/>
      <c r="AB45" s="85">
        <f t="shared" si="3"/>
        <v>0</v>
      </c>
      <c r="AC45" s="125"/>
      <c r="AE45" s="100"/>
      <c r="AF45" s="101"/>
      <c r="AG45" s="85">
        <f t="shared" si="4"/>
        <v>0</v>
      </c>
      <c r="AH45" s="125"/>
      <c r="AJ45" s="100"/>
      <c r="AK45" s="101"/>
      <c r="AL45" s="85">
        <f t="shared" si="5"/>
        <v>0</v>
      </c>
      <c r="AM45" s="125"/>
      <c r="AO45" s="100">
        <v>1</v>
      </c>
      <c r="AP45" s="101">
        <v>0.95</v>
      </c>
      <c r="AQ45" s="85">
        <f t="shared" si="6"/>
        <v>0.95</v>
      </c>
      <c r="AR45" s="102" t="s">
        <v>1277</v>
      </c>
    </row>
    <row r="46" spans="1:44" s="184" customFormat="1" ht="127.5" customHeight="1" x14ac:dyDescent="0.25">
      <c r="A46" s="184">
        <v>43</v>
      </c>
      <c r="B46" s="125" t="s">
        <v>10</v>
      </c>
      <c r="C46" s="125" t="s">
        <v>11</v>
      </c>
      <c r="D46" s="102" t="s">
        <v>70</v>
      </c>
      <c r="F46" s="100"/>
      <c r="G46" s="101"/>
      <c r="H46" s="85">
        <f t="shared" si="7"/>
        <v>0</v>
      </c>
      <c r="I46" s="125"/>
      <c r="K46" s="100">
        <v>1</v>
      </c>
      <c r="L46" s="101">
        <v>1</v>
      </c>
      <c r="M46" s="85">
        <f t="shared" si="0"/>
        <v>1</v>
      </c>
      <c r="N46" s="102" t="s">
        <v>1061</v>
      </c>
      <c r="P46" s="100">
        <v>1</v>
      </c>
      <c r="Q46" s="101">
        <v>0.75</v>
      </c>
      <c r="R46" s="85">
        <f t="shared" si="1"/>
        <v>0.75</v>
      </c>
      <c r="S46" s="102" t="s">
        <v>1278</v>
      </c>
      <c r="U46" s="100"/>
      <c r="V46" s="101"/>
      <c r="W46" s="85">
        <f t="shared" si="2"/>
        <v>0</v>
      </c>
      <c r="X46" s="125"/>
      <c r="Z46" s="100"/>
      <c r="AA46" s="101"/>
      <c r="AB46" s="85">
        <f t="shared" si="3"/>
        <v>0</v>
      </c>
      <c r="AC46" s="125"/>
      <c r="AE46" s="100"/>
      <c r="AF46" s="101"/>
      <c r="AG46" s="85">
        <f t="shared" si="4"/>
        <v>0</v>
      </c>
      <c r="AH46" s="125"/>
      <c r="AJ46" s="100"/>
      <c r="AK46" s="101"/>
      <c r="AL46" s="85">
        <f t="shared" si="5"/>
        <v>0</v>
      </c>
      <c r="AM46" s="125"/>
      <c r="AO46" s="100">
        <v>1</v>
      </c>
      <c r="AP46" s="101">
        <v>0.85</v>
      </c>
      <c r="AQ46" s="85">
        <f t="shared" si="6"/>
        <v>0.85</v>
      </c>
      <c r="AR46" s="102" t="s">
        <v>1279</v>
      </c>
    </row>
    <row r="47" spans="1:44" s="184" customFormat="1" ht="47.25" x14ac:dyDescent="0.25">
      <c r="A47" s="184">
        <v>44</v>
      </c>
      <c r="B47" s="125" t="s">
        <v>10</v>
      </c>
      <c r="C47" s="125" t="s">
        <v>11</v>
      </c>
      <c r="D47" s="102" t="s">
        <v>12</v>
      </c>
      <c r="F47" s="100"/>
      <c r="G47" s="101"/>
      <c r="H47" s="85">
        <f t="shared" si="7"/>
        <v>0</v>
      </c>
      <c r="I47" s="125"/>
      <c r="K47" s="100">
        <v>1</v>
      </c>
      <c r="L47" s="101">
        <v>1</v>
      </c>
      <c r="M47" s="85">
        <f t="shared" si="0"/>
        <v>1</v>
      </c>
      <c r="N47" s="102" t="s">
        <v>1062</v>
      </c>
      <c r="P47" s="100">
        <v>1</v>
      </c>
      <c r="Q47" s="101">
        <v>1</v>
      </c>
      <c r="R47" s="85">
        <f t="shared" si="1"/>
        <v>1</v>
      </c>
      <c r="S47" s="122" t="s">
        <v>1065</v>
      </c>
      <c r="U47" s="100"/>
      <c r="V47" s="101"/>
      <c r="W47" s="85">
        <f t="shared" si="2"/>
        <v>0</v>
      </c>
      <c r="X47" s="125"/>
      <c r="Z47" s="100"/>
      <c r="AA47" s="101"/>
      <c r="AB47" s="85">
        <f t="shared" si="3"/>
        <v>0</v>
      </c>
      <c r="AC47" s="125"/>
      <c r="AE47" s="100"/>
      <c r="AF47" s="101"/>
      <c r="AG47" s="85">
        <f t="shared" si="4"/>
        <v>0</v>
      </c>
      <c r="AH47" s="125"/>
      <c r="AJ47" s="100"/>
      <c r="AK47" s="101"/>
      <c r="AL47" s="85">
        <f t="shared" si="5"/>
        <v>0</v>
      </c>
      <c r="AM47" s="125"/>
      <c r="AO47" s="100">
        <v>1</v>
      </c>
      <c r="AP47" s="101">
        <v>1</v>
      </c>
      <c r="AQ47" s="85">
        <f t="shared" si="6"/>
        <v>1</v>
      </c>
      <c r="AR47" s="102" t="s">
        <v>1058</v>
      </c>
    </row>
    <row r="48" spans="1:44" s="184" customFormat="1" ht="100.5" customHeight="1" x14ac:dyDescent="0.25">
      <c r="A48" s="184">
        <v>45</v>
      </c>
      <c r="B48" s="125" t="s">
        <v>10</v>
      </c>
      <c r="C48" s="125" t="s">
        <v>71</v>
      </c>
      <c r="D48" s="102" t="s">
        <v>72</v>
      </c>
      <c r="F48" s="100"/>
      <c r="G48" s="101"/>
      <c r="H48" s="85">
        <f t="shared" si="7"/>
        <v>0</v>
      </c>
      <c r="I48" s="125"/>
      <c r="K48" s="100">
        <v>1</v>
      </c>
      <c r="L48" s="101">
        <v>0.95</v>
      </c>
      <c r="M48" s="85">
        <f t="shared" si="0"/>
        <v>0.95</v>
      </c>
      <c r="N48" s="102" t="s">
        <v>1280</v>
      </c>
      <c r="P48" s="100">
        <v>1</v>
      </c>
      <c r="Q48" s="101">
        <v>0.85</v>
      </c>
      <c r="R48" s="85">
        <f t="shared" si="1"/>
        <v>0.85</v>
      </c>
      <c r="S48" s="102" t="s">
        <v>1281</v>
      </c>
      <c r="U48" s="100"/>
      <c r="V48" s="101"/>
      <c r="W48" s="85">
        <f t="shared" si="2"/>
        <v>0</v>
      </c>
      <c r="X48" s="125"/>
      <c r="Z48" s="100"/>
      <c r="AA48" s="101"/>
      <c r="AB48" s="85">
        <f t="shared" si="3"/>
        <v>0</v>
      </c>
      <c r="AC48" s="125"/>
      <c r="AE48" s="100"/>
      <c r="AF48" s="101"/>
      <c r="AG48" s="85">
        <f t="shared" si="4"/>
        <v>0</v>
      </c>
      <c r="AH48" s="125"/>
      <c r="AJ48" s="100"/>
      <c r="AK48" s="101"/>
      <c r="AL48" s="85">
        <f t="shared" si="5"/>
        <v>0</v>
      </c>
      <c r="AM48" s="125"/>
      <c r="AO48" s="100">
        <v>1</v>
      </c>
      <c r="AP48" s="101">
        <v>0.8</v>
      </c>
      <c r="AQ48" s="85">
        <f t="shared" si="6"/>
        <v>0.8</v>
      </c>
      <c r="AR48" s="102" t="s">
        <v>1282</v>
      </c>
    </row>
    <row r="49" spans="1:44" s="184" customFormat="1" ht="31.5" x14ac:dyDescent="0.25">
      <c r="A49" s="184">
        <v>46</v>
      </c>
      <c r="B49" s="125" t="s">
        <v>10</v>
      </c>
      <c r="C49" s="125" t="s">
        <v>11</v>
      </c>
      <c r="D49" s="102" t="s">
        <v>13</v>
      </c>
      <c r="F49" s="100"/>
      <c r="G49" s="101"/>
      <c r="H49" s="85">
        <f t="shared" si="7"/>
        <v>0</v>
      </c>
      <c r="I49" s="125"/>
      <c r="K49" s="100">
        <v>1</v>
      </c>
      <c r="L49" s="101">
        <v>1</v>
      </c>
      <c r="M49" s="85">
        <f t="shared" si="0"/>
        <v>1</v>
      </c>
      <c r="N49" s="102" t="s">
        <v>1063</v>
      </c>
      <c r="P49" s="100">
        <v>1</v>
      </c>
      <c r="Q49" s="101">
        <v>1</v>
      </c>
      <c r="R49" s="85">
        <f t="shared" si="1"/>
        <v>1</v>
      </c>
      <c r="S49" s="102" t="s">
        <v>1062</v>
      </c>
      <c r="U49" s="100"/>
      <c r="V49" s="101"/>
      <c r="W49" s="85">
        <f t="shared" si="2"/>
        <v>0</v>
      </c>
      <c r="X49" s="125"/>
      <c r="Z49" s="100"/>
      <c r="AA49" s="101"/>
      <c r="AB49" s="85">
        <f t="shared" si="3"/>
        <v>0</v>
      </c>
      <c r="AC49" s="125"/>
      <c r="AE49" s="100"/>
      <c r="AF49" s="101"/>
      <c r="AG49" s="85">
        <f t="shared" si="4"/>
        <v>0</v>
      </c>
      <c r="AH49" s="125"/>
      <c r="AJ49" s="100"/>
      <c r="AK49" s="101"/>
      <c r="AL49" s="85">
        <f t="shared" si="5"/>
        <v>0</v>
      </c>
      <c r="AM49" s="125"/>
      <c r="AO49" s="100">
        <v>1</v>
      </c>
      <c r="AP49" s="101">
        <v>1</v>
      </c>
      <c r="AQ49" s="85">
        <f t="shared" si="6"/>
        <v>1</v>
      </c>
      <c r="AR49" s="102" t="s">
        <v>1062</v>
      </c>
    </row>
    <row r="50" spans="1:44" s="184" customFormat="1" ht="153" customHeight="1" x14ac:dyDescent="0.25">
      <c r="A50" s="184">
        <v>47</v>
      </c>
      <c r="B50" s="125" t="s">
        <v>14</v>
      </c>
      <c r="C50" s="125" t="s">
        <v>14</v>
      </c>
      <c r="D50" s="102" t="s">
        <v>15</v>
      </c>
      <c r="F50" s="100"/>
      <c r="G50" s="101"/>
      <c r="H50" s="85">
        <f t="shared" si="7"/>
        <v>0</v>
      </c>
      <c r="I50" s="125"/>
      <c r="K50" s="100">
        <v>1</v>
      </c>
      <c r="L50" s="101">
        <v>0.55000000000000004</v>
      </c>
      <c r="M50" s="85">
        <f t="shared" si="0"/>
        <v>0.55000000000000004</v>
      </c>
      <c r="N50" s="102" t="s">
        <v>1295</v>
      </c>
      <c r="P50" s="100">
        <v>1</v>
      </c>
      <c r="Q50" s="101">
        <v>0.55000000000000004</v>
      </c>
      <c r="R50" s="85">
        <f t="shared" si="1"/>
        <v>0.55000000000000004</v>
      </c>
      <c r="S50" s="102" t="s">
        <v>1296</v>
      </c>
      <c r="U50" s="100"/>
      <c r="V50" s="101"/>
      <c r="W50" s="85">
        <f t="shared" si="2"/>
        <v>0</v>
      </c>
      <c r="X50" s="125"/>
      <c r="Z50" s="100"/>
      <c r="AA50" s="101"/>
      <c r="AB50" s="85">
        <f t="shared" si="3"/>
        <v>0</v>
      </c>
      <c r="AC50" s="125"/>
      <c r="AE50" s="100"/>
      <c r="AF50" s="101"/>
      <c r="AG50" s="85">
        <f t="shared" si="4"/>
        <v>0</v>
      </c>
      <c r="AH50" s="125"/>
      <c r="AJ50" s="100"/>
      <c r="AK50" s="101"/>
      <c r="AL50" s="85">
        <f t="shared" si="5"/>
        <v>0</v>
      </c>
      <c r="AM50" s="125"/>
      <c r="AO50" s="100">
        <v>1</v>
      </c>
      <c r="AP50" s="101">
        <v>1</v>
      </c>
      <c r="AQ50" s="85">
        <f t="shared" si="6"/>
        <v>1</v>
      </c>
      <c r="AR50" s="122" t="s">
        <v>1087</v>
      </c>
    </row>
    <row r="51" spans="1:44" s="184" customFormat="1" ht="208.5" customHeight="1" x14ac:dyDescent="0.25">
      <c r="A51" s="184">
        <v>48</v>
      </c>
      <c r="B51" s="125" t="s">
        <v>14</v>
      </c>
      <c r="C51" s="125" t="s">
        <v>14</v>
      </c>
      <c r="D51" s="102" t="s">
        <v>73</v>
      </c>
      <c r="F51" s="100"/>
      <c r="G51" s="101"/>
      <c r="H51" s="85">
        <f t="shared" si="7"/>
        <v>0</v>
      </c>
      <c r="I51" s="125"/>
      <c r="K51" s="100">
        <v>1</v>
      </c>
      <c r="L51" s="101">
        <v>0.65</v>
      </c>
      <c r="M51" s="85">
        <f t="shared" si="0"/>
        <v>0.65</v>
      </c>
      <c r="N51" s="102" t="s">
        <v>1085</v>
      </c>
      <c r="P51" s="100">
        <v>1</v>
      </c>
      <c r="Q51" s="101">
        <v>0.95</v>
      </c>
      <c r="R51" s="85">
        <f t="shared" si="1"/>
        <v>0.95</v>
      </c>
      <c r="S51" s="102" t="s">
        <v>1088</v>
      </c>
      <c r="U51" s="100"/>
      <c r="V51" s="101"/>
      <c r="W51" s="85">
        <f t="shared" si="2"/>
        <v>0</v>
      </c>
      <c r="X51" s="125"/>
      <c r="Z51" s="100"/>
      <c r="AA51" s="101"/>
      <c r="AB51" s="85">
        <f t="shared" si="3"/>
        <v>0</v>
      </c>
      <c r="AC51" s="125"/>
      <c r="AE51" s="100"/>
      <c r="AF51" s="101"/>
      <c r="AG51" s="85">
        <f t="shared" si="4"/>
        <v>0</v>
      </c>
      <c r="AH51" s="125"/>
      <c r="AJ51" s="100"/>
      <c r="AK51" s="101"/>
      <c r="AL51" s="85">
        <f t="shared" si="5"/>
        <v>0</v>
      </c>
      <c r="AM51" s="125"/>
      <c r="AO51" s="100">
        <v>1</v>
      </c>
      <c r="AP51" s="101">
        <v>0.4</v>
      </c>
      <c r="AQ51" s="85">
        <f t="shared" si="6"/>
        <v>0.4</v>
      </c>
      <c r="AR51" s="102" t="s">
        <v>1267</v>
      </c>
    </row>
    <row r="52" spans="1:44" s="184" customFormat="1" ht="364.5" customHeight="1" x14ac:dyDescent="0.25">
      <c r="A52" s="184">
        <v>49</v>
      </c>
      <c r="B52" s="125" t="s">
        <v>14</v>
      </c>
      <c r="C52" s="125" t="s">
        <v>14</v>
      </c>
      <c r="D52" s="102" t="s">
        <v>74</v>
      </c>
      <c r="F52" s="100"/>
      <c r="G52" s="101"/>
      <c r="H52" s="85">
        <f t="shared" si="7"/>
        <v>0</v>
      </c>
      <c r="I52" s="125"/>
      <c r="K52" s="100">
        <v>1</v>
      </c>
      <c r="L52" s="101">
        <v>0.5</v>
      </c>
      <c r="M52" s="85">
        <f t="shared" si="0"/>
        <v>0.5</v>
      </c>
      <c r="N52" s="102" t="s">
        <v>1268</v>
      </c>
      <c r="P52" s="100">
        <v>1</v>
      </c>
      <c r="Q52" s="101">
        <v>0.85</v>
      </c>
      <c r="R52" s="85">
        <f t="shared" si="1"/>
        <v>0.85</v>
      </c>
      <c r="S52" s="102" t="s">
        <v>1089</v>
      </c>
      <c r="U52" s="100"/>
      <c r="V52" s="101"/>
      <c r="W52" s="85">
        <f t="shared" si="2"/>
        <v>0</v>
      </c>
      <c r="X52" s="125"/>
      <c r="Z52" s="100"/>
      <c r="AA52" s="101"/>
      <c r="AB52" s="85">
        <f t="shared" si="3"/>
        <v>0</v>
      </c>
      <c r="AC52" s="125"/>
      <c r="AE52" s="100"/>
      <c r="AF52" s="101"/>
      <c r="AG52" s="85">
        <f t="shared" si="4"/>
        <v>0</v>
      </c>
      <c r="AH52" s="125"/>
      <c r="AJ52" s="100"/>
      <c r="AK52" s="101"/>
      <c r="AL52" s="85">
        <f t="shared" si="5"/>
        <v>0</v>
      </c>
      <c r="AM52" s="125"/>
      <c r="AO52" s="100">
        <v>1</v>
      </c>
      <c r="AP52" s="101">
        <v>0.15</v>
      </c>
      <c r="AQ52" s="85">
        <f t="shared" si="6"/>
        <v>0.15</v>
      </c>
      <c r="AR52" s="102" t="s">
        <v>1269</v>
      </c>
    </row>
    <row r="53" spans="1:44" s="184" customFormat="1" ht="138" customHeight="1" x14ac:dyDescent="0.25">
      <c r="A53" s="184">
        <v>50</v>
      </c>
      <c r="B53" s="125" t="s">
        <v>14</v>
      </c>
      <c r="C53" s="125" t="s">
        <v>14</v>
      </c>
      <c r="D53" s="102" t="s">
        <v>75</v>
      </c>
      <c r="F53" s="100"/>
      <c r="G53" s="101"/>
      <c r="H53" s="85">
        <f t="shared" si="7"/>
        <v>0</v>
      </c>
      <c r="I53" s="125"/>
      <c r="K53" s="100">
        <v>1</v>
      </c>
      <c r="L53" s="101">
        <v>0.7</v>
      </c>
      <c r="M53" s="85">
        <f t="shared" si="0"/>
        <v>0.7</v>
      </c>
      <c r="N53" s="102" t="s">
        <v>1086</v>
      </c>
      <c r="P53" s="100">
        <v>1</v>
      </c>
      <c r="Q53" s="101">
        <v>0.7</v>
      </c>
      <c r="R53" s="85">
        <f t="shared" si="1"/>
        <v>0.7</v>
      </c>
      <c r="S53" s="102" t="s">
        <v>1086</v>
      </c>
      <c r="U53" s="100"/>
      <c r="V53" s="101"/>
      <c r="W53" s="85">
        <f t="shared" si="2"/>
        <v>0</v>
      </c>
      <c r="X53" s="125"/>
      <c r="Z53" s="100"/>
      <c r="AA53" s="101"/>
      <c r="AB53" s="85">
        <f t="shared" si="3"/>
        <v>0</v>
      </c>
      <c r="AC53" s="125"/>
      <c r="AE53" s="100"/>
      <c r="AF53" s="101"/>
      <c r="AG53" s="85">
        <f t="shared" si="4"/>
        <v>0</v>
      </c>
      <c r="AH53" s="125"/>
      <c r="AJ53" s="100"/>
      <c r="AK53" s="101"/>
      <c r="AL53" s="85">
        <f t="shared" si="5"/>
        <v>0</v>
      </c>
      <c r="AM53" s="125"/>
      <c r="AO53" s="100">
        <v>1</v>
      </c>
      <c r="AP53" s="101">
        <v>0.7</v>
      </c>
      <c r="AQ53" s="85">
        <f t="shared" si="6"/>
        <v>0.7</v>
      </c>
      <c r="AR53" s="102" t="s">
        <v>1086</v>
      </c>
    </row>
    <row r="54" spans="1:44" s="184" customFormat="1" ht="109.5" customHeight="1" x14ac:dyDescent="0.25">
      <c r="A54" s="184">
        <v>51</v>
      </c>
      <c r="B54" s="125" t="s">
        <v>14</v>
      </c>
      <c r="C54" s="125" t="s">
        <v>14</v>
      </c>
      <c r="D54" s="102" t="s">
        <v>76</v>
      </c>
      <c r="F54" s="100"/>
      <c r="G54" s="101"/>
      <c r="H54" s="85">
        <f t="shared" si="7"/>
        <v>0</v>
      </c>
      <c r="I54" s="125"/>
      <c r="K54" s="100">
        <v>1</v>
      </c>
      <c r="L54" s="101">
        <v>1</v>
      </c>
      <c r="M54" s="85">
        <f t="shared" si="0"/>
        <v>1</v>
      </c>
      <c r="N54" s="102" t="s">
        <v>1087</v>
      </c>
      <c r="P54" s="100">
        <v>1</v>
      </c>
      <c r="Q54" s="101">
        <v>1</v>
      </c>
      <c r="R54" s="85">
        <f t="shared" si="1"/>
        <v>1</v>
      </c>
      <c r="S54" s="102" t="s">
        <v>1087</v>
      </c>
      <c r="U54" s="100"/>
      <c r="V54" s="101"/>
      <c r="W54" s="85">
        <f t="shared" si="2"/>
        <v>0</v>
      </c>
      <c r="X54" s="125"/>
      <c r="Z54" s="100"/>
      <c r="AA54" s="101"/>
      <c r="AB54" s="85">
        <f t="shared" si="3"/>
        <v>0</v>
      </c>
      <c r="AC54" s="125"/>
      <c r="AE54" s="100"/>
      <c r="AF54" s="101"/>
      <c r="AG54" s="85">
        <f t="shared" si="4"/>
        <v>0</v>
      </c>
      <c r="AH54" s="125"/>
      <c r="AJ54" s="100"/>
      <c r="AK54" s="101"/>
      <c r="AL54" s="85">
        <f t="shared" si="5"/>
        <v>0</v>
      </c>
      <c r="AM54" s="125"/>
      <c r="AO54" s="100">
        <v>1</v>
      </c>
      <c r="AP54" s="101">
        <v>1</v>
      </c>
      <c r="AQ54" s="85">
        <f t="shared" si="6"/>
        <v>1</v>
      </c>
      <c r="AR54" s="102" t="s">
        <v>1087</v>
      </c>
    </row>
    <row r="55" spans="1:44" s="184" customFormat="1" ht="110.25" x14ac:dyDescent="0.25">
      <c r="A55" s="184">
        <v>52</v>
      </c>
      <c r="B55" s="125" t="s">
        <v>14</v>
      </c>
      <c r="C55" s="125" t="s">
        <v>14</v>
      </c>
      <c r="D55" s="102" t="s">
        <v>77</v>
      </c>
      <c r="F55" s="100"/>
      <c r="G55" s="101"/>
      <c r="H55" s="85">
        <f t="shared" si="7"/>
        <v>0</v>
      </c>
      <c r="I55" s="125"/>
      <c r="K55" s="100">
        <v>1</v>
      </c>
      <c r="L55" s="101">
        <v>1</v>
      </c>
      <c r="M55" s="85">
        <f t="shared" si="0"/>
        <v>1</v>
      </c>
      <c r="N55" s="102" t="s">
        <v>1087</v>
      </c>
      <c r="P55" s="100">
        <v>1</v>
      </c>
      <c r="Q55" s="101">
        <v>0.9</v>
      </c>
      <c r="R55" s="85">
        <f t="shared" si="1"/>
        <v>0.9</v>
      </c>
      <c r="S55" s="102" t="s">
        <v>1090</v>
      </c>
      <c r="U55" s="100"/>
      <c r="V55" s="101"/>
      <c r="W55" s="85">
        <f t="shared" si="2"/>
        <v>0</v>
      </c>
      <c r="X55" s="125"/>
      <c r="Z55" s="100"/>
      <c r="AA55" s="101"/>
      <c r="AB55" s="85">
        <f t="shared" si="3"/>
        <v>0</v>
      </c>
      <c r="AC55" s="125"/>
      <c r="AE55" s="100"/>
      <c r="AF55" s="101"/>
      <c r="AG55" s="85">
        <f t="shared" si="4"/>
        <v>0</v>
      </c>
      <c r="AH55" s="125"/>
      <c r="AJ55" s="100"/>
      <c r="AK55" s="101"/>
      <c r="AL55" s="85">
        <f t="shared" si="5"/>
        <v>0</v>
      </c>
      <c r="AM55" s="125"/>
      <c r="AO55" s="100">
        <v>1</v>
      </c>
      <c r="AP55" s="101">
        <v>0.75</v>
      </c>
      <c r="AQ55" s="85">
        <f t="shared" si="6"/>
        <v>0.75</v>
      </c>
      <c r="AR55" s="102" t="s">
        <v>1092</v>
      </c>
    </row>
    <row r="56" spans="1:44" s="184" customFormat="1" ht="79.5" customHeight="1" x14ac:dyDescent="0.25">
      <c r="A56" s="184">
        <v>53</v>
      </c>
      <c r="B56" s="125" t="s">
        <v>14</v>
      </c>
      <c r="C56" s="125" t="s">
        <v>14</v>
      </c>
      <c r="D56" s="102" t="s">
        <v>78</v>
      </c>
      <c r="F56" s="100"/>
      <c r="G56" s="101"/>
      <c r="H56" s="85">
        <f t="shared" si="7"/>
        <v>0</v>
      </c>
      <c r="I56" s="125"/>
      <c r="K56" s="100">
        <v>1</v>
      </c>
      <c r="L56" s="101">
        <v>1</v>
      </c>
      <c r="M56" s="85">
        <f t="shared" si="0"/>
        <v>1</v>
      </c>
      <c r="N56" s="102" t="s">
        <v>1087</v>
      </c>
      <c r="P56" s="100">
        <v>1</v>
      </c>
      <c r="Q56" s="101">
        <v>0.9</v>
      </c>
      <c r="R56" s="85">
        <f t="shared" si="1"/>
        <v>0.9</v>
      </c>
      <c r="S56" s="102" t="s">
        <v>1091</v>
      </c>
      <c r="U56" s="100"/>
      <c r="V56" s="101"/>
      <c r="W56" s="85">
        <f t="shared" si="2"/>
        <v>0</v>
      </c>
      <c r="X56" s="100"/>
      <c r="Z56" s="100"/>
      <c r="AA56" s="101"/>
      <c r="AB56" s="85">
        <f t="shared" si="3"/>
        <v>0</v>
      </c>
      <c r="AC56" s="100"/>
      <c r="AE56" s="100"/>
      <c r="AF56" s="101"/>
      <c r="AG56" s="85">
        <f t="shared" si="4"/>
        <v>0</v>
      </c>
      <c r="AH56" s="100"/>
      <c r="AJ56" s="100"/>
      <c r="AK56" s="101"/>
      <c r="AL56" s="85">
        <f t="shared" si="5"/>
        <v>0</v>
      </c>
      <c r="AM56" s="100"/>
      <c r="AO56" s="100">
        <v>1</v>
      </c>
      <c r="AP56" s="101">
        <v>1</v>
      </c>
      <c r="AQ56" s="85">
        <f t="shared" si="6"/>
        <v>1</v>
      </c>
      <c r="AR56" s="143" t="s">
        <v>1087</v>
      </c>
    </row>
    <row r="57" spans="1:44" s="184" customFormat="1" ht="15.75" x14ac:dyDescent="0.25">
      <c r="I57" s="188"/>
    </row>
    <row r="58" spans="1:44" s="184" customFormat="1" ht="15.75" x14ac:dyDescent="0.25">
      <c r="I58" s="188"/>
    </row>
    <row r="59" spans="1:44" s="184" customFormat="1" ht="15.75" x14ac:dyDescent="0.25">
      <c r="I59" s="188"/>
    </row>
    <row r="60" spans="1:44" s="184" customFormat="1" ht="15.75" x14ac:dyDescent="0.25">
      <c r="I60" s="188"/>
    </row>
    <row r="61" spans="1:44" s="184" customFormat="1" ht="15.75" x14ac:dyDescent="0.25">
      <c r="I61" s="188"/>
    </row>
  </sheetData>
  <mergeCells count="9">
    <mergeCell ref="AJ2:AM2"/>
    <mergeCell ref="AO2:AR2"/>
    <mergeCell ref="K2:N2"/>
    <mergeCell ref="P2:S2"/>
    <mergeCell ref="B2:D2"/>
    <mergeCell ref="F2:I2"/>
    <mergeCell ref="U2:X2"/>
    <mergeCell ref="Z2:AC2"/>
    <mergeCell ref="AE2:AH2"/>
  </mergeCells>
  <dataValidations count="1">
    <dataValidation type="decimal" allowBlank="1" showDropDown="1" showInputMessage="1" showErrorMessage="1" prompt="Enter a number between 0% and 100%" sqref="L4:L15 Q4:Q15 AP4:AP15" xr:uid="{95B959A4-FF91-4BE0-90CA-0A04E5A32C8D}">
      <formula1>0</formula1>
      <formula2>1</formula2>
    </dataValidation>
  </dataValidations>
  <pageMargins left="0.511811024" right="0.511811024" top="0.78740157499999996" bottom="0.78740157499999996" header="0.31496062000000002" footer="0.31496062000000002"/>
  <pageSetup paperSize="9" scale="23"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95FCC0E4-4A0F-4736-8E34-BA61E2B6D992}">
          <x14:formula1>
            <xm:f>'C:\Users\michele.cerqueira\AppData\Local\Microsoft\Windows\INetCache\Content.Outlook\CUTOBPMD\[ESTUDOS DE MERCADO - AVALIAÇÕES FINAIS.xlsx]Parâmetros'!#REF!</xm:f>
          </x14:formula1>
          <xm:sqref>K4:K15 P4:P15 AO4:AO15</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R56"/>
  <sheetViews>
    <sheetView zoomScale="70" zoomScaleNormal="70" workbookViewId="0">
      <pane xSplit="4" ySplit="2" topLeftCell="E9" activePane="bottomRight" state="frozen"/>
      <selection pane="topRight" activeCell="E1" sqref="E1"/>
      <selection pane="bottomLeft" activeCell="A3" sqref="A3"/>
      <selection pane="bottomRight" activeCell="N10" sqref="N10"/>
    </sheetView>
  </sheetViews>
  <sheetFormatPr defaultRowHeight="15" x14ac:dyDescent="0.25"/>
  <cols>
    <col min="1" max="1" width="4" style="73" customWidth="1"/>
    <col min="2" max="2" width="16.5703125" style="74" bestFit="1" customWidth="1"/>
    <col min="3" max="3" width="20.7109375" style="74" customWidth="1"/>
    <col min="4" max="4" width="44.42578125" style="74" customWidth="1"/>
    <col min="5" max="5" width="2.42578125" style="74" customWidth="1"/>
    <col min="6" max="6" width="20.140625" style="74" hidden="1" customWidth="1"/>
    <col min="7" max="7" width="14.28515625" style="74" hidden="1" customWidth="1"/>
    <col min="8" max="8" width="0" style="74" hidden="1" customWidth="1"/>
    <col min="9" max="9" width="52.85546875" style="110" hidden="1" customWidth="1"/>
    <col min="10" max="10" width="1.85546875" style="74" hidden="1" customWidth="1"/>
    <col min="11" max="11" width="13.5703125" style="75" customWidth="1"/>
    <col min="12" max="12" width="14.28515625" style="75" bestFit="1" customWidth="1"/>
    <col min="13" max="13" width="9.140625" style="75"/>
    <col min="14" max="14" width="93.28515625" style="74" customWidth="1"/>
    <col min="15" max="15" width="1.5703125" style="74" customWidth="1"/>
    <col min="16" max="16" width="20.140625" style="74" hidden="1" customWidth="1"/>
    <col min="17" max="17" width="14.28515625" style="74" hidden="1" customWidth="1"/>
    <col min="18" max="18" width="0" style="74" hidden="1" customWidth="1"/>
    <col min="19" max="19" width="63.140625" style="74" hidden="1" customWidth="1"/>
    <col min="20" max="20" width="0" style="74" hidden="1" customWidth="1"/>
    <col min="21" max="21" width="16.5703125" style="74" hidden="1" customWidth="1"/>
    <col min="22" max="23" width="0" style="74" hidden="1" customWidth="1"/>
    <col min="24" max="24" width="57.140625" style="74" hidden="1" customWidth="1"/>
    <col min="25" max="25" width="0" style="74" hidden="1" customWidth="1"/>
    <col min="26" max="26" width="12.85546875" style="74" hidden="1" customWidth="1"/>
    <col min="27" max="28" width="0" style="74" hidden="1" customWidth="1"/>
    <col min="29" max="29" width="64.7109375" style="74" hidden="1" customWidth="1"/>
    <col min="30" max="30" width="0" style="74" hidden="1" customWidth="1"/>
    <col min="31" max="31" width="17.7109375" style="74" hidden="1" customWidth="1"/>
    <col min="32" max="33" width="0" style="74" hidden="1" customWidth="1"/>
    <col min="34" max="34" width="65.28515625" style="74" hidden="1" customWidth="1"/>
    <col min="35" max="35" width="0" style="74" hidden="1" customWidth="1"/>
    <col min="36" max="36" width="14.85546875" style="75" customWidth="1"/>
    <col min="37" max="37" width="10.5703125" style="75" customWidth="1"/>
    <col min="38" max="38" width="9.140625" style="75"/>
    <col min="39" max="39" width="114.85546875" style="74" customWidth="1"/>
    <col min="40" max="40" width="0" style="74" hidden="1" customWidth="1"/>
    <col min="41" max="41" width="14.140625" style="74" hidden="1" customWidth="1"/>
    <col min="42" max="43" width="0" style="74" hidden="1" customWidth="1"/>
    <col min="44" max="44" width="64.7109375" style="74" hidden="1" customWidth="1"/>
    <col min="45" max="45" width="0" style="74" hidden="1" customWidth="1"/>
    <col min="46" max="16384" width="9.140625" style="74"/>
  </cols>
  <sheetData>
    <row r="1" spans="1:44" x14ac:dyDescent="0.25">
      <c r="I1" s="74"/>
    </row>
    <row r="2" spans="1:44" ht="39.75" customHeight="1" x14ac:dyDescent="0.25">
      <c r="B2" s="233" t="s">
        <v>16</v>
      </c>
      <c r="C2" s="233"/>
      <c r="D2" s="233"/>
      <c r="F2" s="232" t="s">
        <v>121</v>
      </c>
      <c r="G2" s="232"/>
      <c r="H2" s="232"/>
      <c r="I2" s="232"/>
      <c r="K2" s="234" t="s">
        <v>119</v>
      </c>
      <c r="L2" s="235"/>
      <c r="M2" s="235"/>
      <c r="N2" s="236"/>
      <c r="P2" s="232" t="s">
        <v>120</v>
      </c>
      <c r="Q2" s="232"/>
      <c r="R2" s="232"/>
      <c r="S2" s="232"/>
      <c r="U2" s="232" t="s">
        <v>122</v>
      </c>
      <c r="V2" s="232"/>
      <c r="W2" s="232"/>
      <c r="X2" s="232"/>
      <c r="Z2" s="232" t="s">
        <v>123</v>
      </c>
      <c r="AA2" s="232"/>
      <c r="AB2" s="232"/>
      <c r="AC2" s="232"/>
      <c r="AE2" s="232" t="s">
        <v>124</v>
      </c>
      <c r="AF2" s="232"/>
      <c r="AG2" s="232"/>
      <c r="AH2" s="232"/>
      <c r="AJ2" s="233" t="s">
        <v>125</v>
      </c>
      <c r="AK2" s="233"/>
      <c r="AL2" s="233"/>
      <c r="AM2" s="233"/>
      <c r="AO2" s="232" t="s">
        <v>126</v>
      </c>
      <c r="AP2" s="232"/>
      <c r="AQ2" s="232"/>
      <c r="AR2" s="232"/>
    </row>
    <row r="3" spans="1:44" ht="65.25" customHeight="1" x14ac:dyDescent="0.25">
      <c r="B3" s="66" t="s">
        <v>0</v>
      </c>
      <c r="C3" s="66" t="s">
        <v>1</v>
      </c>
      <c r="D3" s="66" t="s">
        <v>2</v>
      </c>
      <c r="F3" s="67" t="s">
        <v>17</v>
      </c>
      <c r="G3" s="67" t="s">
        <v>18</v>
      </c>
      <c r="H3" s="67" t="s">
        <v>21</v>
      </c>
      <c r="I3" s="67" t="s">
        <v>19</v>
      </c>
      <c r="K3" s="70" t="s">
        <v>17</v>
      </c>
      <c r="L3" s="70" t="s">
        <v>18</v>
      </c>
      <c r="M3" s="70" t="s">
        <v>21</v>
      </c>
      <c r="N3" s="67" t="s">
        <v>19</v>
      </c>
      <c r="P3" s="67" t="s">
        <v>17</v>
      </c>
      <c r="Q3" s="67" t="s">
        <v>18</v>
      </c>
      <c r="R3" s="67" t="s">
        <v>21</v>
      </c>
      <c r="S3" s="67" t="s">
        <v>19</v>
      </c>
      <c r="U3" s="67" t="s">
        <v>17</v>
      </c>
      <c r="V3" s="67" t="s">
        <v>18</v>
      </c>
      <c r="W3" s="67" t="s">
        <v>21</v>
      </c>
      <c r="X3" s="67" t="s">
        <v>19</v>
      </c>
      <c r="Z3" s="67" t="s">
        <v>17</v>
      </c>
      <c r="AA3" s="67" t="s">
        <v>18</v>
      </c>
      <c r="AB3" s="67" t="s">
        <v>21</v>
      </c>
      <c r="AC3" s="67" t="s">
        <v>19</v>
      </c>
      <c r="AE3" s="67" t="s">
        <v>17</v>
      </c>
      <c r="AF3" s="67" t="s">
        <v>18</v>
      </c>
      <c r="AG3" s="67" t="s">
        <v>21</v>
      </c>
      <c r="AH3" s="67" t="s">
        <v>19</v>
      </c>
      <c r="AJ3" s="70" t="s">
        <v>17</v>
      </c>
      <c r="AK3" s="70" t="s">
        <v>18</v>
      </c>
      <c r="AL3" s="70" t="s">
        <v>21</v>
      </c>
      <c r="AM3" s="67" t="s">
        <v>19</v>
      </c>
      <c r="AO3" s="2" t="s">
        <v>17</v>
      </c>
      <c r="AP3" s="2" t="s">
        <v>18</v>
      </c>
      <c r="AQ3" s="2" t="s">
        <v>21</v>
      </c>
      <c r="AR3" s="2" t="s">
        <v>19</v>
      </c>
    </row>
    <row r="4" spans="1:44" ht="173.25" x14ac:dyDescent="0.25">
      <c r="A4" s="77">
        <v>1</v>
      </c>
      <c r="B4" s="78" t="s">
        <v>3</v>
      </c>
      <c r="C4" s="78" t="s">
        <v>4</v>
      </c>
      <c r="D4" s="78" t="s">
        <v>127</v>
      </c>
      <c r="E4" s="77"/>
      <c r="F4" s="79"/>
      <c r="G4" s="80"/>
      <c r="H4" s="81">
        <f>F4*G4</f>
        <v>0</v>
      </c>
      <c r="I4" s="82"/>
      <c r="J4" s="77"/>
      <c r="K4" s="83">
        <v>1</v>
      </c>
      <c r="L4" s="84">
        <v>1</v>
      </c>
      <c r="M4" s="85">
        <f>K4*L4</f>
        <v>1</v>
      </c>
      <c r="N4" s="86"/>
      <c r="O4" s="77"/>
      <c r="P4" s="79"/>
      <c r="Q4" s="80"/>
      <c r="R4" s="81">
        <f>P4*Q4</f>
        <v>0</v>
      </c>
      <c r="S4" s="82"/>
      <c r="T4" s="77"/>
      <c r="U4" s="79"/>
      <c r="V4" s="80"/>
      <c r="W4" s="81">
        <f>U4*V4</f>
        <v>0</v>
      </c>
      <c r="X4" s="82"/>
      <c r="Y4" s="77"/>
      <c r="Z4" s="79"/>
      <c r="AA4" s="80"/>
      <c r="AB4" s="81">
        <f>Z4*AA4</f>
        <v>0</v>
      </c>
      <c r="AC4" s="82"/>
      <c r="AD4" s="77"/>
      <c r="AE4" s="79"/>
      <c r="AF4" s="80"/>
      <c r="AG4" s="81">
        <f>AE4*AF4</f>
        <v>0</v>
      </c>
      <c r="AH4" s="82"/>
      <c r="AI4" s="77"/>
      <c r="AJ4" s="83">
        <v>1</v>
      </c>
      <c r="AK4" s="84">
        <v>0.4</v>
      </c>
      <c r="AL4" s="85">
        <f>AJ4*AK4</f>
        <v>0.4</v>
      </c>
      <c r="AM4" s="87" t="s">
        <v>1443</v>
      </c>
      <c r="AO4" s="88"/>
      <c r="AP4" s="89"/>
      <c r="AQ4" s="90">
        <f>AO4*AP4</f>
        <v>0</v>
      </c>
      <c r="AR4" s="91"/>
    </row>
    <row r="5" spans="1:44" ht="78.75" x14ac:dyDescent="0.25">
      <c r="A5" s="77">
        <v>2</v>
      </c>
      <c r="B5" s="78" t="s">
        <v>3</v>
      </c>
      <c r="C5" s="78" t="s">
        <v>4</v>
      </c>
      <c r="D5" s="78" t="s">
        <v>33</v>
      </c>
      <c r="E5" s="77"/>
      <c r="F5" s="79"/>
      <c r="G5" s="80"/>
      <c r="H5" s="81">
        <f t="shared" ref="H5:H56" si="0">F5*G5</f>
        <v>0</v>
      </c>
      <c r="I5" s="82"/>
      <c r="J5" s="77"/>
      <c r="K5" s="92">
        <v>1</v>
      </c>
      <c r="L5" s="93">
        <v>0.95</v>
      </c>
      <c r="M5" s="85">
        <f t="shared" ref="M5:M56" si="1">K5*L5</f>
        <v>0.95</v>
      </c>
      <c r="N5" s="94" t="s">
        <v>1179</v>
      </c>
      <c r="O5" s="77"/>
      <c r="P5" s="79"/>
      <c r="Q5" s="80"/>
      <c r="R5" s="81">
        <f t="shared" ref="R5:R56" si="2">P5*Q5</f>
        <v>0</v>
      </c>
      <c r="S5" s="82"/>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92">
        <v>1</v>
      </c>
      <c r="AK5" s="93">
        <v>0.6</v>
      </c>
      <c r="AL5" s="85">
        <f t="shared" ref="AL5:AL56" si="6">AJ5*AK5</f>
        <v>0.6</v>
      </c>
      <c r="AM5" s="95" t="s">
        <v>1420</v>
      </c>
      <c r="AO5" s="88"/>
      <c r="AP5" s="89"/>
      <c r="AQ5" s="90">
        <f t="shared" ref="AQ5:AQ56" si="7">AO5*AP5</f>
        <v>0</v>
      </c>
      <c r="AR5" s="91"/>
    </row>
    <row r="6" spans="1:44" ht="78.75" x14ac:dyDescent="0.25">
      <c r="A6" s="77">
        <v>3</v>
      </c>
      <c r="B6" s="78" t="s">
        <v>3</v>
      </c>
      <c r="C6" s="78" t="s">
        <v>4</v>
      </c>
      <c r="D6" s="78" t="s">
        <v>128</v>
      </c>
      <c r="E6" s="77"/>
      <c r="F6" s="79"/>
      <c r="G6" s="80"/>
      <c r="H6" s="81">
        <f t="shared" si="0"/>
        <v>0</v>
      </c>
      <c r="I6" s="82"/>
      <c r="J6" s="77"/>
      <c r="K6" s="83">
        <v>1</v>
      </c>
      <c r="L6" s="84">
        <v>1</v>
      </c>
      <c r="M6" s="85">
        <f t="shared" si="1"/>
        <v>1</v>
      </c>
      <c r="N6" s="86"/>
      <c r="O6" s="77"/>
      <c r="P6" s="79"/>
      <c r="Q6" s="80"/>
      <c r="R6" s="81">
        <f t="shared" si="2"/>
        <v>0</v>
      </c>
      <c r="S6" s="82"/>
      <c r="T6" s="77"/>
      <c r="U6" s="79"/>
      <c r="V6" s="80"/>
      <c r="W6" s="81">
        <f t="shared" si="3"/>
        <v>0</v>
      </c>
      <c r="X6" s="82"/>
      <c r="Y6" s="77"/>
      <c r="Z6" s="79"/>
      <c r="AA6" s="80"/>
      <c r="AB6" s="81">
        <f t="shared" si="4"/>
        <v>0</v>
      </c>
      <c r="AC6" s="82"/>
      <c r="AD6" s="77"/>
      <c r="AE6" s="79"/>
      <c r="AF6" s="80"/>
      <c r="AG6" s="81">
        <f t="shared" si="5"/>
        <v>0</v>
      </c>
      <c r="AH6" s="82"/>
      <c r="AI6" s="77"/>
      <c r="AJ6" s="83">
        <v>1</v>
      </c>
      <c r="AK6" s="84">
        <v>0.85</v>
      </c>
      <c r="AL6" s="85">
        <f t="shared" si="6"/>
        <v>0.85</v>
      </c>
      <c r="AM6" s="87" t="s">
        <v>1240</v>
      </c>
      <c r="AO6" s="88"/>
      <c r="AP6" s="89"/>
      <c r="AQ6" s="90">
        <f t="shared" si="7"/>
        <v>0</v>
      </c>
      <c r="AR6" s="91"/>
    </row>
    <row r="7" spans="1:44" ht="94.5" x14ac:dyDescent="0.25">
      <c r="A7" s="77">
        <v>4</v>
      </c>
      <c r="B7" s="78" t="s">
        <v>3</v>
      </c>
      <c r="C7" s="78" t="s">
        <v>4</v>
      </c>
      <c r="D7" s="78" t="s">
        <v>34</v>
      </c>
      <c r="E7" s="77"/>
      <c r="F7" s="79"/>
      <c r="G7" s="80"/>
      <c r="H7" s="81">
        <f t="shared" si="0"/>
        <v>0</v>
      </c>
      <c r="I7" s="82"/>
      <c r="J7" s="77"/>
      <c r="K7" s="92">
        <v>1</v>
      </c>
      <c r="L7" s="93">
        <v>0.94499999999999995</v>
      </c>
      <c r="M7" s="85">
        <f t="shared" si="1"/>
        <v>0.94499999999999995</v>
      </c>
      <c r="N7" s="94" t="s">
        <v>1421</v>
      </c>
      <c r="O7" s="77"/>
      <c r="P7" s="79"/>
      <c r="Q7" s="80"/>
      <c r="R7" s="81">
        <f t="shared" si="2"/>
        <v>0</v>
      </c>
      <c r="S7" s="82"/>
      <c r="T7" s="77"/>
      <c r="U7" s="79"/>
      <c r="V7" s="80"/>
      <c r="W7" s="81">
        <f t="shared" si="3"/>
        <v>0</v>
      </c>
      <c r="X7" s="82"/>
      <c r="Y7" s="77"/>
      <c r="Z7" s="79"/>
      <c r="AA7" s="80"/>
      <c r="AB7" s="81">
        <f t="shared" si="4"/>
        <v>0</v>
      </c>
      <c r="AC7" s="82"/>
      <c r="AD7" s="77"/>
      <c r="AE7" s="79"/>
      <c r="AF7" s="80"/>
      <c r="AG7" s="81">
        <f t="shared" si="5"/>
        <v>0</v>
      </c>
      <c r="AH7" s="82"/>
      <c r="AI7" s="77"/>
      <c r="AJ7" s="92">
        <v>1</v>
      </c>
      <c r="AK7" s="93">
        <v>0.85</v>
      </c>
      <c r="AL7" s="85">
        <f t="shared" si="6"/>
        <v>0.85</v>
      </c>
      <c r="AM7" s="95" t="s">
        <v>1423</v>
      </c>
      <c r="AO7" s="88"/>
      <c r="AP7" s="89"/>
      <c r="AQ7" s="90">
        <f t="shared" si="7"/>
        <v>0</v>
      </c>
      <c r="AR7" s="91"/>
    </row>
    <row r="8" spans="1:44" ht="110.25" x14ac:dyDescent="0.25">
      <c r="A8" s="77">
        <v>5</v>
      </c>
      <c r="B8" s="78" t="s">
        <v>3</v>
      </c>
      <c r="C8" s="78" t="s">
        <v>4</v>
      </c>
      <c r="D8" s="78" t="s">
        <v>35</v>
      </c>
      <c r="E8" s="77"/>
      <c r="F8" s="79"/>
      <c r="G8" s="80"/>
      <c r="H8" s="81">
        <f t="shared" si="0"/>
        <v>0</v>
      </c>
      <c r="I8" s="82"/>
      <c r="J8" s="77"/>
      <c r="K8" s="83">
        <v>1</v>
      </c>
      <c r="L8" s="84">
        <v>0.8</v>
      </c>
      <c r="M8" s="85">
        <f t="shared" si="1"/>
        <v>0.8</v>
      </c>
      <c r="N8" s="86" t="s">
        <v>1233</v>
      </c>
      <c r="O8" s="77"/>
      <c r="P8" s="79"/>
      <c r="Q8" s="80"/>
      <c r="R8" s="81">
        <f t="shared" si="2"/>
        <v>0</v>
      </c>
      <c r="S8" s="78"/>
      <c r="T8" s="77"/>
      <c r="U8" s="79"/>
      <c r="V8" s="80"/>
      <c r="W8" s="81">
        <f t="shared" si="3"/>
        <v>0</v>
      </c>
      <c r="X8" s="78"/>
      <c r="Y8" s="77"/>
      <c r="Z8" s="79"/>
      <c r="AA8" s="80"/>
      <c r="AB8" s="81">
        <f t="shared" si="4"/>
        <v>0</v>
      </c>
      <c r="AC8" s="78"/>
      <c r="AD8" s="77"/>
      <c r="AE8" s="79"/>
      <c r="AF8" s="80"/>
      <c r="AG8" s="81">
        <f t="shared" si="5"/>
        <v>0</v>
      </c>
      <c r="AH8" s="78"/>
      <c r="AI8" s="77"/>
      <c r="AJ8" s="83">
        <v>1</v>
      </c>
      <c r="AK8" s="84">
        <v>0.95</v>
      </c>
      <c r="AL8" s="85">
        <f t="shared" si="6"/>
        <v>0.95</v>
      </c>
      <c r="AM8" s="87" t="s">
        <v>1241</v>
      </c>
      <c r="AO8" s="88"/>
      <c r="AP8" s="89"/>
      <c r="AQ8" s="90">
        <f t="shared" si="7"/>
        <v>0</v>
      </c>
      <c r="AR8" s="96"/>
    </row>
    <row r="9" spans="1:44" ht="94.5" x14ac:dyDescent="0.25">
      <c r="A9" s="77">
        <v>6</v>
      </c>
      <c r="B9" s="78" t="s">
        <v>3</v>
      </c>
      <c r="C9" s="78" t="s">
        <v>4</v>
      </c>
      <c r="D9" s="78" t="s">
        <v>129</v>
      </c>
      <c r="E9" s="77"/>
      <c r="F9" s="79"/>
      <c r="G9" s="80"/>
      <c r="H9" s="81">
        <f t="shared" si="0"/>
        <v>0</v>
      </c>
      <c r="I9" s="78"/>
      <c r="J9" s="77"/>
      <c r="K9" s="92">
        <v>1</v>
      </c>
      <c r="L9" s="93">
        <v>0.79</v>
      </c>
      <c r="M9" s="85">
        <f t="shared" si="1"/>
        <v>0.79</v>
      </c>
      <c r="N9" s="94" t="s">
        <v>1631</v>
      </c>
      <c r="O9" s="77"/>
      <c r="P9" s="79"/>
      <c r="Q9" s="80"/>
      <c r="R9" s="81">
        <f t="shared" si="2"/>
        <v>0</v>
      </c>
      <c r="S9" s="78"/>
      <c r="T9" s="77"/>
      <c r="U9" s="79"/>
      <c r="V9" s="80"/>
      <c r="W9" s="81">
        <f t="shared" si="3"/>
        <v>0</v>
      </c>
      <c r="X9" s="78"/>
      <c r="Y9" s="77"/>
      <c r="Z9" s="79"/>
      <c r="AA9" s="80"/>
      <c r="AB9" s="81">
        <f t="shared" si="4"/>
        <v>0</v>
      </c>
      <c r="AC9" s="78"/>
      <c r="AD9" s="77"/>
      <c r="AE9" s="79"/>
      <c r="AF9" s="80"/>
      <c r="AG9" s="81">
        <f t="shared" si="5"/>
        <v>0</v>
      </c>
      <c r="AH9" s="78"/>
      <c r="AI9" s="77"/>
      <c r="AJ9" s="92">
        <v>1</v>
      </c>
      <c r="AK9" s="93">
        <v>0.5</v>
      </c>
      <c r="AL9" s="85">
        <f t="shared" si="6"/>
        <v>0.5</v>
      </c>
      <c r="AM9" s="97" t="s">
        <v>1242</v>
      </c>
      <c r="AO9" s="88"/>
      <c r="AP9" s="89"/>
      <c r="AQ9" s="90">
        <f t="shared" si="7"/>
        <v>0</v>
      </c>
      <c r="AR9" s="96"/>
    </row>
    <row r="10" spans="1:44" ht="141.75" x14ac:dyDescent="0.25">
      <c r="A10" s="77">
        <v>7</v>
      </c>
      <c r="B10" s="78" t="s">
        <v>3</v>
      </c>
      <c r="C10" s="78" t="s">
        <v>4</v>
      </c>
      <c r="D10" s="78" t="s">
        <v>36</v>
      </c>
      <c r="E10" s="77"/>
      <c r="F10" s="79"/>
      <c r="G10" s="80"/>
      <c r="H10" s="81">
        <f t="shared" si="0"/>
        <v>0</v>
      </c>
      <c r="I10" s="82"/>
      <c r="J10" s="77"/>
      <c r="K10" s="83">
        <v>1</v>
      </c>
      <c r="L10" s="84">
        <v>0.75</v>
      </c>
      <c r="M10" s="85">
        <f t="shared" si="1"/>
        <v>0.75</v>
      </c>
      <c r="N10" s="86" t="s">
        <v>1181</v>
      </c>
      <c r="O10" s="77"/>
      <c r="P10" s="79"/>
      <c r="Q10" s="80"/>
      <c r="R10" s="81">
        <f t="shared" si="2"/>
        <v>0</v>
      </c>
      <c r="S10" s="82"/>
      <c r="T10" s="77"/>
      <c r="U10" s="79"/>
      <c r="V10" s="80"/>
      <c r="W10" s="81">
        <f t="shared" si="3"/>
        <v>0</v>
      </c>
      <c r="X10" s="82"/>
      <c r="Y10" s="77"/>
      <c r="Z10" s="79"/>
      <c r="AA10" s="80"/>
      <c r="AB10" s="81">
        <f t="shared" si="4"/>
        <v>0</v>
      </c>
      <c r="AC10" s="82"/>
      <c r="AD10" s="77"/>
      <c r="AE10" s="79"/>
      <c r="AF10" s="80"/>
      <c r="AG10" s="81">
        <f t="shared" si="5"/>
        <v>0</v>
      </c>
      <c r="AH10" s="82"/>
      <c r="AI10" s="77"/>
      <c r="AJ10" s="83">
        <v>1</v>
      </c>
      <c r="AK10" s="84">
        <v>0.4</v>
      </c>
      <c r="AL10" s="85">
        <f t="shared" si="6"/>
        <v>0.4</v>
      </c>
      <c r="AM10" s="98" t="s">
        <v>1243</v>
      </c>
      <c r="AO10" s="88"/>
      <c r="AP10" s="89"/>
      <c r="AQ10" s="90">
        <f t="shared" si="7"/>
        <v>0</v>
      </c>
      <c r="AR10" s="91"/>
    </row>
    <row r="11" spans="1:44" ht="78.75" x14ac:dyDescent="0.25">
      <c r="A11" s="77">
        <v>8</v>
      </c>
      <c r="B11" s="78" t="s">
        <v>3</v>
      </c>
      <c r="C11" s="78" t="s">
        <v>4</v>
      </c>
      <c r="D11" s="78" t="s">
        <v>64</v>
      </c>
      <c r="E11" s="77"/>
      <c r="F11" s="79"/>
      <c r="G11" s="80"/>
      <c r="H11" s="81">
        <f t="shared" si="0"/>
        <v>0</v>
      </c>
      <c r="I11" s="78"/>
      <c r="J11" s="77"/>
      <c r="K11" s="92">
        <v>1</v>
      </c>
      <c r="L11" s="93">
        <v>1</v>
      </c>
      <c r="M11" s="85">
        <f t="shared" si="1"/>
        <v>1</v>
      </c>
      <c r="N11" s="94"/>
      <c r="O11" s="77"/>
      <c r="P11" s="79"/>
      <c r="Q11" s="80"/>
      <c r="R11" s="81">
        <f t="shared" si="2"/>
        <v>0</v>
      </c>
      <c r="S11" s="82"/>
      <c r="T11" s="77"/>
      <c r="U11" s="79"/>
      <c r="V11" s="80"/>
      <c r="W11" s="81">
        <f t="shared" si="3"/>
        <v>0</v>
      </c>
      <c r="X11" s="82"/>
      <c r="Y11" s="77"/>
      <c r="Z11" s="79"/>
      <c r="AA11" s="80"/>
      <c r="AB11" s="81">
        <f t="shared" si="4"/>
        <v>0</v>
      </c>
      <c r="AC11" s="82"/>
      <c r="AD11" s="77"/>
      <c r="AE11" s="79"/>
      <c r="AF11" s="80"/>
      <c r="AG11" s="81">
        <f t="shared" si="5"/>
        <v>0</v>
      </c>
      <c r="AH11" s="82"/>
      <c r="AI11" s="77"/>
      <c r="AJ11" s="92">
        <v>1</v>
      </c>
      <c r="AK11" s="93">
        <v>0.5</v>
      </c>
      <c r="AL11" s="85">
        <f t="shared" si="6"/>
        <v>0.5</v>
      </c>
      <c r="AM11" s="97" t="s">
        <v>1244</v>
      </c>
      <c r="AO11" s="88"/>
      <c r="AP11" s="89"/>
      <c r="AQ11" s="90">
        <f t="shared" si="7"/>
        <v>0</v>
      </c>
      <c r="AR11" s="91"/>
    </row>
    <row r="12" spans="1:44" ht="78.75" x14ac:dyDescent="0.25">
      <c r="A12" s="77">
        <v>9</v>
      </c>
      <c r="B12" s="78" t="s">
        <v>3</v>
      </c>
      <c r="C12" s="78" t="s">
        <v>5</v>
      </c>
      <c r="D12" s="78" t="s">
        <v>37</v>
      </c>
      <c r="E12" s="77"/>
      <c r="F12" s="79"/>
      <c r="G12" s="80"/>
      <c r="H12" s="81">
        <f t="shared" si="0"/>
        <v>0</v>
      </c>
      <c r="I12" s="82"/>
      <c r="J12" s="77"/>
      <c r="K12" s="83">
        <v>1</v>
      </c>
      <c r="L12" s="99">
        <v>0.54</v>
      </c>
      <c r="M12" s="85">
        <f t="shared" si="1"/>
        <v>0.54</v>
      </c>
      <c r="N12" s="86" t="s">
        <v>1288</v>
      </c>
      <c r="O12" s="77"/>
      <c r="P12" s="79"/>
      <c r="Q12" s="80"/>
      <c r="R12" s="81">
        <f t="shared" si="2"/>
        <v>0</v>
      </c>
      <c r="S12" s="82"/>
      <c r="T12" s="77"/>
      <c r="U12" s="79"/>
      <c r="V12" s="80"/>
      <c r="W12" s="81">
        <f t="shared" si="3"/>
        <v>0</v>
      </c>
      <c r="X12" s="82"/>
      <c r="Y12" s="77"/>
      <c r="Z12" s="79"/>
      <c r="AA12" s="80"/>
      <c r="AB12" s="81">
        <f t="shared" si="4"/>
        <v>0</v>
      </c>
      <c r="AC12" s="82"/>
      <c r="AD12" s="77"/>
      <c r="AE12" s="79"/>
      <c r="AF12" s="80"/>
      <c r="AG12" s="81">
        <f t="shared" si="5"/>
        <v>0</v>
      </c>
      <c r="AH12" s="82"/>
      <c r="AI12" s="77"/>
      <c r="AJ12" s="83">
        <v>1</v>
      </c>
      <c r="AK12" s="84">
        <v>0.15</v>
      </c>
      <c r="AL12" s="85">
        <f t="shared" si="6"/>
        <v>0.15</v>
      </c>
      <c r="AM12" s="98" t="s">
        <v>1245</v>
      </c>
      <c r="AO12" s="88"/>
      <c r="AP12" s="89"/>
      <c r="AQ12" s="90">
        <f t="shared" si="7"/>
        <v>0</v>
      </c>
      <c r="AR12" s="91"/>
    </row>
    <row r="13" spans="1:44" ht="94.5" x14ac:dyDescent="0.25">
      <c r="A13" s="77">
        <v>10</v>
      </c>
      <c r="B13" s="78" t="s">
        <v>3</v>
      </c>
      <c r="C13" s="78" t="s">
        <v>5</v>
      </c>
      <c r="D13" s="78" t="s">
        <v>38</v>
      </c>
      <c r="E13" s="77"/>
      <c r="F13" s="79"/>
      <c r="G13" s="80"/>
      <c r="H13" s="81">
        <f t="shared" si="0"/>
        <v>0</v>
      </c>
      <c r="I13" s="82"/>
      <c r="J13" s="77"/>
      <c r="K13" s="92">
        <v>1</v>
      </c>
      <c r="L13" s="93">
        <v>0.54</v>
      </c>
      <c r="M13" s="85">
        <f t="shared" si="1"/>
        <v>0.54</v>
      </c>
      <c r="N13" s="94" t="s">
        <v>1534</v>
      </c>
      <c r="O13" s="77"/>
      <c r="P13" s="79"/>
      <c r="Q13" s="80"/>
      <c r="R13" s="81">
        <f t="shared" si="2"/>
        <v>0</v>
      </c>
      <c r="S13" s="82"/>
      <c r="T13" s="77"/>
      <c r="U13" s="79"/>
      <c r="V13" s="80"/>
      <c r="W13" s="81">
        <f t="shared" si="3"/>
        <v>0</v>
      </c>
      <c r="X13" s="82"/>
      <c r="Y13" s="77"/>
      <c r="Z13" s="79"/>
      <c r="AA13" s="80"/>
      <c r="AB13" s="81">
        <f t="shared" si="4"/>
        <v>0</v>
      </c>
      <c r="AC13" s="82"/>
      <c r="AD13" s="77"/>
      <c r="AE13" s="79"/>
      <c r="AF13" s="80"/>
      <c r="AG13" s="81">
        <f t="shared" si="5"/>
        <v>0</v>
      </c>
      <c r="AH13" s="82"/>
      <c r="AI13" s="77"/>
      <c r="AJ13" s="92">
        <v>1</v>
      </c>
      <c r="AK13" s="93">
        <v>0.15</v>
      </c>
      <c r="AL13" s="85">
        <f t="shared" si="6"/>
        <v>0.15</v>
      </c>
      <c r="AM13" s="97" t="s">
        <v>1246</v>
      </c>
      <c r="AO13" s="88"/>
      <c r="AP13" s="89"/>
      <c r="AQ13" s="90">
        <f t="shared" si="7"/>
        <v>0</v>
      </c>
      <c r="AR13" s="91"/>
    </row>
    <row r="14" spans="1:44" ht="94.5" x14ac:dyDescent="0.25">
      <c r="A14" s="77">
        <v>11</v>
      </c>
      <c r="B14" s="78" t="s">
        <v>3</v>
      </c>
      <c r="C14" s="78" t="s">
        <v>31</v>
      </c>
      <c r="D14" s="78" t="s">
        <v>39</v>
      </c>
      <c r="E14" s="77"/>
      <c r="F14" s="79"/>
      <c r="G14" s="80"/>
      <c r="H14" s="81">
        <f t="shared" si="0"/>
        <v>0</v>
      </c>
      <c r="I14" s="82"/>
      <c r="J14" s="77"/>
      <c r="K14" s="83">
        <v>1</v>
      </c>
      <c r="L14" s="84">
        <v>0.85</v>
      </c>
      <c r="M14" s="85">
        <f t="shared" si="1"/>
        <v>0.85</v>
      </c>
      <c r="N14" s="86" t="s">
        <v>1199</v>
      </c>
      <c r="O14" s="77"/>
      <c r="P14" s="79"/>
      <c r="Q14" s="80"/>
      <c r="R14" s="81">
        <f t="shared" si="2"/>
        <v>0</v>
      </c>
      <c r="S14" s="82"/>
      <c r="T14" s="77"/>
      <c r="U14" s="79"/>
      <c r="V14" s="80"/>
      <c r="W14" s="81">
        <f t="shared" si="3"/>
        <v>0</v>
      </c>
      <c r="X14" s="82"/>
      <c r="Y14" s="77"/>
      <c r="Z14" s="79"/>
      <c r="AA14" s="80"/>
      <c r="AB14" s="81">
        <f t="shared" si="4"/>
        <v>0</v>
      </c>
      <c r="AC14" s="82"/>
      <c r="AD14" s="77"/>
      <c r="AE14" s="79"/>
      <c r="AF14" s="80"/>
      <c r="AG14" s="81">
        <f t="shared" si="5"/>
        <v>0</v>
      </c>
      <c r="AH14" s="82"/>
      <c r="AI14" s="77"/>
      <c r="AJ14" s="83">
        <v>1</v>
      </c>
      <c r="AK14" s="84">
        <v>0.3</v>
      </c>
      <c r="AL14" s="85">
        <f t="shared" si="6"/>
        <v>0.3</v>
      </c>
      <c r="AM14" s="98" t="s">
        <v>1265</v>
      </c>
      <c r="AO14" s="88"/>
      <c r="AP14" s="89"/>
      <c r="AQ14" s="90">
        <f t="shared" si="7"/>
        <v>0</v>
      </c>
      <c r="AR14" s="91"/>
    </row>
    <row r="15" spans="1:44" ht="110.25" x14ac:dyDescent="0.25">
      <c r="A15" s="77">
        <v>12</v>
      </c>
      <c r="B15" s="78" t="s">
        <v>3</v>
      </c>
      <c r="C15" s="78" t="s">
        <v>31</v>
      </c>
      <c r="D15" s="78" t="s">
        <v>40</v>
      </c>
      <c r="E15" s="77"/>
      <c r="F15" s="79"/>
      <c r="G15" s="80"/>
      <c r="H15" s="81">
        <f t="shared" si="0"/>
        <v>0</v>
      </c>
      <c r="I15" s="82"/>
      <c r="J15" s="77"/>
      <c r="K15" s="92">
        <v>1</v>
      </c>
      <c r="L15" s="93">
        <v>1</v>
      </c>
      <c r="M15" s="85">
        <f t="shared" si="1"/>
        <v>1</v>
      </c>
      <c r="N15" s="94"/>
      <c r="O15" s="77"/>
      <c r="P15" s="79"/>
      <c r="Q15" s="80"/>
      <c r="R15" s="81">
        <f t="shared" si="2"/>
        <v>0</v>
      </c>
      <c r="S15" s="82"/>
      <c r="T15" s="77"/>
      <c r="U15" s="79"/>
      <c r="V15" s="80"/>
      <c r="W15" s="81">
        <f t="shared" si="3"/>
        <v>0</v>
      </c>
      <c r="X15" s="82"/>
      <c r="Y15" s="77"/>
      <c r="Z15" s="79"/>
      <c r="AA15" s="80"/>
      <c r="AB15" s="81">
        <f t="shared" si="4"/>
        <v>0</v>
      </c>
      <c r="AC15" s="82"/>
      <c r="AD15" s="77"/>
      <c r="AE15" s="79"/>
      <c r="AF15" s="80"/>
      <c r="AG15" s="81">
        <f t="shared" si="5"/>
        <v>0</v>
      </c>
      <c r="AH15" s="82"/>
      <c r="AI15" s="77"/>
      <c r="AJ15" s="92">
        <v>1</v>
      </c>
      <c r="AK15" s="93">
        <v>0.3</v>
      </c>
      <c r="AL15" s="85">
        <f t="shared" si="6"/>
        <v>0.3</v>
      </c>
      <c r="AM15" s="97" t="s">
        <v>1248</v>
      </c>
      <c r="AO15" s="88"/>
      <c r="AP15" s="89"/>
      <c r="AQ15" s="90">
        <f t="shared" si="7"/>
        <v>0</v>
      </c>
      <c r="AR15" s="91"/>
    </row>
    <row r="16" spans="1:44" ht="189" x14ac:dyDescent="0.25">
      <c r="A16" s="77">
        <v>13</v>
      </c>
      <c r="B16" s="78" t="s">
        <v>6</v>
      </c>
      <c r="C16" s="78" t="s">
        <v>7</v>
      </c>
      <c r="D16" s="78" t="s">
        <v>41</v>
      </c>
      <c r="E16" s="77"/>
      <c r="F16" s="79"/>
      <c r="G16" s="80"/>
      <c r="H16" s="81">
        <f t="shared" si="0"/>
        <v>0</v>
      </c>
      <c r="I16" s="82"/>
      <c r="J16" s="77"/>
      <c r="K16" s="100">
        <v>1</v>
      </c>
      <c r="L16" s="101">
        <v>1</v>
      </c>
      <c r="M16" s="85">
        <f t="shared" si="1"/>
        <v>1</v>
      </c>
      <c r="N16" s="78" t="s">
        <v>966</v>
      </c>
      <c r="O16" s="77"/>
      <c r="P16" s="79"/>
      <c r="Q16" s="80"/>
      <c r="R16" s="81">
        <f t="shared" si="2"/>
        <v>0</v>
      </c>
      <c r="S16" s="82"/>
      <c r="T16" s="77"/>
      <c r="U16" s="79"/>
      <c r="V16" s="80"/>
      <c r="W16" s="81">
        <f t="shared" si="3"/>
        <v>0</v>
      </c>
      <c r="X16" s="82"/>
      <c r="Y16" s="77"/>
      <c r="Z16" s="79"/>
      <c r="AA16" s="80"/>
      <c r="AB16" s="81">
        <f t="shared" si="4"/>
        <v>0</v>
      </c>
      <c r="AC16" s="82"/>
      <c r="AD16" s="77"/>
      <c r="AE16" s="79"/>
      <c r="AF16" s="80"/>
      <c r="AG16" s="81">
        <f t="shared" si="5"/>
        <v>0</v>
      </c>
      <c r="AH16" s="82"/>
      <c r="AI16" s="77"/>
      <c r="AJ16" s="100">
        <v>1</v>
      </c>
      <c r="AK16" s="101">
        <v>0.7</v>
      </c>
      <c r="AL16" s="85">
        <f t="shared" si="6"/>
        <v>0.7</v>
      </c>
      <c r="AM16" s="78" t="s">
        <v>978</v>
      </c>
      <c r="AO16" s="88"/>
      <c r="AP16" s="89"/>
      <c r="AQ16" s="90">
        <f t="shared" si="7"/>
        <v>0</v>
      </c>
      <c r="AR16" s="91"/>
    </row>
    <row r="17" spans="1:44" ht="126" x14ac:dyDescent="0.25">
      <c r="A17" s="77">
        <v>14</v>
      </c>
      <c r="B17" s="78" t="s">
        <v>6</v>
      </c>
      <c r="C17" s="78" t="s">
        <v>7</v>
      </c>
      <c r="D17" s="78" t="s">
        <v>130</v>
      </c>
      <c r="E17" s="77"/>
      <c r="F17" s="79"/>
      <c r="G17" s="80"/>
      <c r="H17" s="81">
        <f t="shared" si="0"/>
        <v>0</v>
      </c>
      <c r="I17" s="82"/>
      <c r="J17" s="77"/>
      <c r="K17" s="100">
        <v>1</v>
      </c>
      <c r="L17" s="101">
        <v>1</v>
      </c>
      <c r="M17" s="85">
        <f t="shared" si="1"/>
        <v>1</v>
      </c>
      <c r="N17" s="78" t="s">
        <v>967</v>
      </c>
      <c r="O17" s="77"/>
      <c r="P17" s="79"/>
      <c r="Q17" s="80"/>
      <c r="R17" s="81">
        <f t="shared" si="2"/>
        <v>0</v>
      </c>
      <c r="S17" s="82"/>
      <c r="T17" s="77"/>
      <c r="U17" s="79"/>
      <c r="V17" s="80"/>
      <c r="W17" s="81">
        <f t="shared" si="3"/>
        <v>0</v>
      </c>
      <c r="X17" s="82"/>
      <c r="Y17" s="77"/>
      <c r="Z17" s="79"/>
      <c r="AA17" s="80"/>
      <c r="AB17" s="81">
        <f t="shared" si="4"/>
        <v>0</v>
      </c>
      <c r="AC17" s="82"/>
      <c r="AD17" s="77"/>
      <c r="AE17" s="79"/>
      <c r="AF17" s="80"/>
      <c r="AG17" s="81">
        <f t="shared" si="5"/>
        <v>0</v>
      </c>
      <c r="AH17" s="82"/>
      <c r="AI17" s="77"/>
      <c r="AJ17" s="100">
        <v>1</v>
      </c>
      <c r="AK17" s="101">
        <v>0.15</v>
      </c>
      <c r="AL17" s="85">
        <f t="shared" si="6"/>
        <v>0.15</v>
      </c>
      <c r="AM17" s="78" t="s">
        <v>979</v>
      </c>
      <c r="AO17" s="88"/>
      <c r="AP17" s="89"/>
      <c r="AQ17" s="90">
        <f t="shared" si="7"/>
        <v>0</v>
      </c>
      <c r="AR17" s="91"/>
    </row>
    <row r="18" spans="1:44" ht="126" x14ac:dyDescent="0.25">
      <c r="A18" s="77">
        <v>15</v>
      </c>
      <c r="B18" s="78" t="s">
        <v>6</v>
      </c>
      <c r="C18" s="78" t="s">
        <v>7</v>
      </c>
      <c r="D18" s="78" t="s">
        <v>131</v>
      </c>
      <c r="E18" s="77"/>
      <c r="F18" s="79"/>
      <c r="G18" s="80"/>
      <c r="H18" s="81">
        <f t="shared" si="0"/>
        <v>0</v>
      </c>
      <c r="I18" s="82"/>
      <c r="J18" s="77"/>
      <c r="K18" s="100">
        <v>1</v>
      </c>
      <c r="L18" s="101">
        <v>1</v>
      </c>
      <c r="M18" s="85">
        <f t="shared" si="1"/>
        <v>1</v>
      </c>
      <c r="N18" s="78" t="s">
        <v>968</v>
      </c>
      <c r="O18" s="77"/>
      <c r="P18" s="79"/>
      <c r="Q18" s="80"/>
      <c r="R18" s="81">
        <f t="shared" si="2"/>
        <v>0</v>
      </c>
      <c r="S18" s="82"/>
      <c r="T18" s="77"/>
      <c r="U18" s="79"/>
      <c r="V18" s="80"/>
      <c r="W18" s="81">
        <f t="shared" si="3"/>
        <v>0</v>
      </c>
      <c r="X18" s="82"/>
      <c r="Y18" s="77"/>
      <c r="Z18" s="79"/>
      <c r="AA18" s="80"/>
      <c r="AB18" s="81">
        <f t="shared" si="4"/>
        <v>0</v>
      </c>
      <c r="AC18" s="82"/>
      <c r="AD18" s="77"/>
      <c r="AE18" s="79"/>
      <c r="AF18" s="80"/>
      <c r="AG18" s="81">
        <f t="shared" si="5"/>
        <v>0</v>
      </c>
      <c r="AH18" s="82"/>
      <c r="AI18" s="77"/>
      <c r="AJ18" s="100">
        <v>1</v>
      </c>
      <c r="AK18" s="101">
        <v>0.7</v>
      </c>
      <c r="AL18" s="85">
        <f t="shared" si="6"/>
        <v>0.7</v>
      </c>
      <c r="AM18" s="78" t="s">
        <v>980</v>
      </c>
      <c r="AO18" s="88"/>
      <c r="AP18" s="89"/>
      <c r="AQ18" s="90">
        <f t="shared" si="7"/>
        <v>0</v>
      </c>
      <c r="AR18" s="91"/>
    </row>
    <row r="19" spans="1:44" ht="173.25" x14ac:dyDescent="0.25">
      <c r="A19" s="77">
        <v>16</v>
      </c>
      <c r="B19" s="78" t="s">
        <v>6</v>
      </c>
      <c r="C19" s="78" t="s">
        <v>7</v>
      </c>
      <c r="D19" s="78" t="s">
        <v>42</v>
      </c>
      <c r="E19" s="77"/>
      <c r="F19" s="79"/>
      <c r="G19" s="80"/>
      <c r="H19" s="81">
        <f t="shared" si="0"/>
        <v>0</v>
      </c>
      <c r="I19" s="82"/>
      <c r="J19" s="77"/>
      <c r="K19" s="100">
        <v>1</v>
      </c>
      <c r="L19" s="101">
        <v>1</v>
      </c>
      <c r="M19" s="85">
        <f t="shared" si="1"/>
        <v>1</v>
      </c>
      <c r="N19" s="78" t="s">
        <v>969</v>
      </c>
      <c r="O19" s="77"/>
      <c r="P19" s="79"/>
      <c r="Q19" s="80"/>
      <c r="R19" s="81">
        <f t="shared" si="2"/>
        <v>0</v>
      </c>
      <c r="S19" s="82"/>
      <c r="T19" s="77"/>
      <c r="U19" s="79"/>
      <c r="V19" s="80"/>
      <c r="W19" s="81">
        <f t="shared" si="3"/>
        <v>0</v>
      </c>
      <c r="X19" s="82"/>
      <c r="Y19" s="77"/>
      <c r="Z19" s="79"/>
      <c r="AA19" s="80"/>
      <c r="AB19" s="81">
        <f t="shared" si="4"/>
        <v>0</v>
      </c>
      <c r="AC19" s="82"/>
      <c r="AD19" s="77"/>
      <c r="AE19" s="79"/>
      <c r="AF19" s="80"/>
      <c r="AG19" s="81">
        <f t="shared" si="5"/>
        <v>0</v>
      </c>
      <c r="AH19" s="82"/>
      <c r="AI19" s="77"/>
      <c r="AJ19" s="100">
        <v>1</v>
      </c>
      <c r="AK19" s="101">
        <v>0.96</v>
      </c>
      <c r="AL19" s="85">
        <f t="shared" si="6"/>
        <v>0.96</v>
      </c>
      <c r="AM19" s="78" t="s">
        <v>981</v>
      </c>
      <c r="AO19" s="88"/>
      <c r="AP19" s="89"/>
      <c r="AQ19" s="90">
        <f t="shared" si="7"/>
        <v>0</v>
      </c>
      <c r="AR19" s="91"/>
    </row>
    <row r="20" spans="1:44" ht="283.5" x14ac:dyDescent="0.25">
      <c r="A20" s="77">
        <v>17</v>
      </c>
      <c r="B20" s="78" t="s">
        <v>6</v>
      </c>
      <c r="C20" s="78" t="s">
        <v>7</v>
      </c>
      <c r="D20" s="78" t="s">
        <v>43</v>
      </c>
      <c r="E20" s="77"/>
      <c r="F20" s="79"/>
      <c r="G20" s="80"/>
      <c r="H20" s="81">
        <f t="shared" si="0"/>
        <v>0</v>
      </c>
      <c r="I20" s="82"/>
      <c r="J20" s="77"/>
      <c r="K20" s="100">
        <v>1</v>
      </c>
      <c r="L20" s="101">
        <v>0.75</v>
      </c>
      <c r="M20" s="85">
        <f t="shared" si="1"/>
        <v>0.75</v>
      </c>
      <c r="N20" s="78" t="s">
        <v>943</v>
      </c>
      <c r="O20" s="77"/>
      <c r="P20" s="79"/>
      <c r="Q20" s="80"/>
      <c r="R20" s="81">
        <f t="shared" si="2"/>
        <v>0</v>
      </c>
      <c r="S20" s="82"/>
      <c r="T20" s="77"/>
      <c r="U20" s="79"/>
      <c r="V20" s="80"/>
      <c r="W20" s="81">
        <f t="shared" si="3"/>
        <v>0</v>
      </c>
      <c r="X20" s="82"/>
      <c r="Y20" s="77"/>
      <c r="Z20" s="79"/>
      <c r="AA20" s="80"/>
      <c r="AB20" s="81">
        <f t="shared" si="4"/>
        <v>0</v>
      </c>
      <c r="AC20" s="82"/>
      <c r="AD20" s="77"/>
      <c r="AE20" s="79"/>
      <c r="AF20" s="80"/>
      <c r="AG20" s="81">
        <f t="shared" si="5"/>
        <v>0</v>
      </c>
      <c r="AH20" s="82"/>
      <c r="AI20" s="77"/>
      <c r="AJ20" s="100">
        <v>1</v>
      </c>
      <c r="AK20" s="101">
        <v>0.5</v>
      </c>
      <c r="AL20" s="85">
        <f t="shared" si="6"/>
        <v>0.5</v>
      </c>
      <c r="AM20" s="78" t="s">
        <v>933</v>
      </c>
      <c r="AO20" s="88"/>
      <c r="AP20" s="89"/>
      <c r="AQ20" s="90">
        <f t="shared" si="7"/>
        <v>0</v>
      </c>
      <c r="AR20" s="91"/>
    </row>
    <row r="21" spans="1:44" ht="157.5" x14ac:dyDescent="0.25">
      <c r="A21" s="77">
        <v>18</v>
      </c>
      <c r="B21" s="78" t="s">
        <v>6</v>
      </c>
      <c r="C21" s="78" t="s">
        <v>7</v>
      </c>
      <c r="D21" s="78" t="s">
        <v>44</v>
      </c>
      <c r="E21" s="77"/>
      <c r="F21" s="79"/>
      <c r="G21" s="80"/>
      <c r="H21" s="81">
        <f t="shared" si="0"/>
        <v>0</v>
      </c>
      <c r="I21" s="82"/>
      <c r="J21" s="77"/>
      <c r="K21" s="100">
        <v>1</v>
      </c>
      <c r="L21" s="101">
        <v>0.75</v>
      </c>
      <c r="M21" s="85">
        <f t="shared" si="1"/>
        <v>0.75</v>
      </c>
      <c r="N21" s="102" t="s">
        <v>915</v>
      </c>
      <c r="O21" s="77"/>
      <c r="P21" s="79"/>
      <c r="Q21" s="80"/>
      <c r="R21" s="81">
        <f t="shared" si="2"/>
        <v>0</v>
      </c>
      <c r="S21" s="82"/>
      <c r="T21" s="77"/>
      <c r="U21" s="79"/>
      <c r="V21" s="80"/>
      <c r="W21" s="81">
        <f t="shared" si="3"/>
        <v>0</v>
      </c>
      <c r="X21" s="82"/>
      <c r="Y21" s="77"/>
      <c r="Z21" s="79"/>
      <c r="AA21" s="80"/>
      <c r="AB21" s="81">
        <f t="shared" si="4"/>
        <v>0</v>
      </c>
      <c r="AC21" s="82"/>
      <c r="AD21" s="77"/>
      <c r="AE21" s="79"/>
      <c r="AF21" s="80"/>
      <c r="AG21" s="81">
        <f t="shared" si="5"/>
        <v>0</v>
      </c>
      <c r="AH21" s="82"/>
      <c r="AI21" s="77"/>
      <c r="AJ21" s="100">
        <v>1</v>
      </c>
      <c r="AK21" s="101">
        <v>0.5</v>
      </c>
      <c r="AL21" s="85">
        <f t="shared" si="6"/>
        <v>0.5</v>
      </c>
      <c r="AM21" s="78" t="s">
        <v>959</v>
      </c>
      <c r="AO21" s="88"/>
      <c r="AP21" s="89"/>
      <c r="AQ21" s="90">
        <f t="shared" si="7"/>
        <v>0</v>
      </c>
      <c r="AR21" s="91"/>
    </row>
    <row r="22" spans="1:44" ht="47.25" x14ac:dyDescent="0.25">
      <c r="A22" s="77">
        <v>19</v>
      </c>
      <c r="B22" s="78" t="s">
        <v>6</v>
      </c>
      <c r="C22" s="78" t="s">
        <v>7</v>
      </c>
      <c r="D22" s="78" t="s">
        <v>45</v>
      </c>
      <c r="E22" s="77"/>
      <c r="F22" s="79"/>
      <c r="G22" s="80"/>
      <c r="H22" s="81">
        <f t="shared" si="0"/>
        <v>0</v>
      </c>
      <c r="I22" s="82"/>
      <c r="J22" s="77"/>
      <c r="K22" s="100">
        <v>1</v>
      </c>
      <c r="L22" s="101">
        <v>0.85</v>
      </c>
      <c r="M22" s="85">
        <f t="shared" si="1"/>
        <v>0.85</v>
      </c>
      <c r="N22" s="78" t="s">
        <v>970</v>
      </c>
      <c r="O22" s="77"/>
      <c r="P22" s="79"/>
      <c r="Q22" s="80"/>
      <c r="R22" s="81">
        <f t="shared" si="2"/>
        <v>0</v>
      </c>
      <c r="S22" s="82"/>
      <c r="T22" s="77"/>
      <c r="U22" s="79"/>
      <c r="V22" s="80"/>
      <c r="W22" s="81">
        <f t="shared" si="3"/>
        <v>0</v>
      </c>
      <c r="X22" s="82"/>
      <c r="Y22" s="77"/>
      <c r="Z22" s="79"/>
      <c r="AA22" s="80"/>
      <c r="AB22" s="81">
        <f t="shared" si="4"/>
        <v>0</v>
      </c>
      <c r="AC22" s="82"/>
      <c r="AD22" s="77"/>
      <c r="AE22" s="79"/>
      <c r="AF22" s="80"/>
      <c r="AG22" s="81">
        <f t="shared" si="5"/>
        <v>0</v>
      </c>
      <c r="AH22" s="82"/>
      <c r="AI22" s="77"/>
      <c r="AJ22" s="100">
        <v>1</v>
      </c>
      <c r="AK22" s="101">
        <v>0.75</v>
      </c>
      <c r="AL22" s="85">
        <f t="shared" si="6"/>
        <v>0.75</v>
      </c>
      <c r="AM22" s="78" t="s">
        <v>982</v>
      </c>
      <c r="AO22" s="88"/>
      <c r="AP22" s="89"/>
      <c r="AQ22" s="90">
        <f t="shared" si="7"/>
        <v>0</v>
      </c>
      <c r="AR22" s="91"/>
    </row>
    <row r="23" spans="1:44" ht="110.25" x14ac:dyDescent="0.25">
      <c r="A23" s="77">
        <v>20</v>
      </c>
      <c r="B23" s="78" t="s">
        <v>6</v>
      </c>
      <c r="C23" s="78" t="s">
        <v>7</v>
      </c>
      <c r="D23" s="78" t="s">
        <v>46</v>
      </c>
      <c r="E23" s="77"/>
      <c r="F23" s="79"/>
      <c r="G23" s="80"/>
      <c r="H23" s="81">
        <f t="shared" si="0"/>
        <v>0</v>
      </c>
      <c r="I23" s="82"/>
      <c r="J23" s="77"/>
      <c r="K23" s="100">
        <v>1</v>
      </c>
      <c r="L23" s="101">
        <v>0.9</v>
      </c>
      <c r="M23" s="85">
        <f t="shared" si="1"/>
        <v>0.9</v>
      </c>
      <c r="N23" s="78" t="s">
        <v>971</v>
      </c>
      <c r="O23" s="77"/>
      <c r="P23" s="79"/>
      <c r="Q23" s="80"/>
      <c r="R23" s="81">
        <f t="shared" si="2"/>
        <v>0</v>
      </c>
      <c r="S23" s="82"/>
      <c r="T23" s="77"/>
      <c r="U23" s="79"/>
      <c r="V23" s="80"/>
      <c r="W23" s="81">
        <f t="shared" si="3"/>
        <v>0</v>
      </c>
      <c r="X23" s="82"/>
      <c r="Y23" s="77"/>
      <c r="Z23" s="79"/>
      <c r="AA23" s="80"/>
      <c r="AB23" s="81">
        <f t="shared" si="4"/>
        <v>0</v>
      </c>
      <c r="AC23" s="82"/>
      <c r="AD23" s="77"/>
      <c r="AE23" s="79"/>
      <c r="AF23" s="80"/>
      <c r="AG23" s="81">
        <f t="shared" si="5"/>
        <v>0</v>
      </c>
      <c r="AH23" s="82"/>
      <c r="AI23" s="77"/>
      <c r="AJ23" s="100">
        <v>1</v>
      </c>
      <c r="AK23" s="101">
        <v>0.7</v>
      </c>
      <c r="AL23" s="85">
        <f t="shared" si="6"/>
        <v>0.7</v>
      </c>
      <c r="AM23" s="78" t="s">
        <v>983</v>
      </c>
      <c r="AO23" s="88"/>
      <c r="AP23" s="89"/>
      <c r="AQ23" s="90">
        <f t="shared" si="7"/>
        <v>0</v>
      </c>
      <c r="AR23" s="91"/>
    </row>
    <row r="24" spans="1:44" ht="110.25" x14ac:dyDescent="0.25">
      <c r="A24" s="77">
        <v>21</v>
      </c>
      <c r="B24" s="78" t="s">
        <v>6</v>
      </c>
      <c r="C24" s="78" t="s">
        <v>7</v>
      </c>
      <c r="D24" s="78" t="s">
        <v>47</v>
      </c>
      <c r="E24" s="77"/>
      <c r="F24" s="79"/>
      <c r="G24" s="80"/>
      <c r="H24" s="81">
        <f t="shared" si="0"/>
        <v>0</v>
      </c>
      <c r="I24" s="82"/>
      <c r="J24" s="77" t="s">
        <v>30</v>
      </c>
      <c r="K24" s="100">
        <v>1</v>
      </c>
      <c r="L24" s="101">
        <v>0.98</v>
      </c>
      <c r="M24" s="85">
        <f t="shared" si="1"/>
        <v>0.98</v>
      </c>
      <c r="N24" s="78" t="s">
        <v>358</v>
      </c>
      <c r="O24" s="77"/>
      <c r="P24" s="79"/>
      <c r="Q24" s="80"/>
      <c r="R24" s="81">
        <f t="shared" si="2"/>
        <v>0</v>
      </c>
      <c r="S24" s="82"/>
      <c r="T24" s="77"/>
      <c r="U24" s="79"/>
      <c r="V24" s="80"/>
      <c r="W24" s="81">
        <f t="shared" si="3"/>
        <v>0</v>
      </c>
      <c r="X24" s="82"/>
      <c r="Y24" s="77"/>
      <c r="Z24" s="79"/>
      <c r="AA24" s="80"/>
      <c r="AB24" s="81">
        <f t="shared" si="4"/>
        <v>0</v>
      </c>
      <c r="AC24" s="82"/>
      <c r="AD24" s="77"/>
      <c r="AE24" s="79"/>
      <c r="AF24" s="80"/>
      <c r="AG24" s="81">
        <f t="shared" si="5"/>
        <v>0</v>
      </c>
      <c r="AH24" s="82"/>
      <c r="AI24" s="77"/>
      <c r="AJ24" s="100">
        <v>1</v>
      </c>
      <c r="AK24" s="101">
        <v>0.98</v>
      </c>
      <c r="AL24" s="85">
        <f t="shared" si="6"/>
        <v>0.98</v>
      </c>
      <c r="AM24" s="78" t="s">
        <v>757</v>
      </c>
      <c r="AO24" s="88"/>
      <c r="AP24" s="89"/>
      <c r="AQ24" s="90">
        <f t="shared" si="7"/>
        <v>0</v>
      </c>
      <c r="AR24" s="91"/>
    </row>
    <row r="25" spans="1:44" s="73" customFormat="1" ht="157.5" x14ac:dyDescent="0.25">
      <c r="A25" s="77">
        <v>22</v>
      </c>
      <c r="B25" s="78" t="s">
        <v>6</v>
      </c>
      <c r="C25" s="78" t="s">
        <v>8</v>
      </c>
      <c r="D25" s="78" t="s">
        <v>48</v>
      </c>
      <c r="E25" s="77"/>
      <c r="F25" s="79"/>
      <c r="G25" s="80"/>
      <c r="H25" s="81">
        <f t="shared" si="0"/>
        <v>0</v>
      </c>
      <c r="I25" s="82"/>
      <c r="J25" s="77"/>
      <c r="K25" s="100">
        <v>1</v>
      </c>
      <c r="L25" s="101">
        <v>1</v>
      </c>
      <c r="M25" s="85">
        <f t="shared" si="1"/>
        <v>1</v>
      </c>
      <c r="N25" s="78" t="s">
        <v>567</v>
      </c>
      <c r="O25" s="77"/>
      <c r="P25" s="79"/>
      <c r="Q25" s="80"/>
      <c r="R25" s="81">
        <f t="shared" si="2"/>
        <v>0</v>
      </c>
      <c r="S25" s="82"/>
      <c r="T25" s="77"/>
      <c r="U25" s="79"/>
      <c r="V25" s="80"/>
      <c r="W25" s="81">
        <f t="shared" si="3"/>
        <v>0</v>
      </c>
      <c r="X25" s="82"/>
      <c r="Y25" s="77"/>
      <c r="Z25" s="79"/>
      <c r="AA25" s="80"/>
      <c r="AB25" s="81">
        <f t="shared" si="4"/>
        <v>0</v>
      </c>
      <c r="AC25" s="82"/>
      <c r="AD25" s="77"/>
      <c r="AE25" s="79"/>
      <c r="AF25" s="80"/>
      <c r="AG25" s="81">
        <f t="shared" si="5"/>
        <v>0</v>
      </c>
      <c r="AH25" s="82"/>
      <c r="AI25" s="77"/>
      <c r="AJ25" s="100">
        <v>1</v>
      </c>
      <c r="AK25" s="101">
        <v>0.35</v>
      </c>
      <c r="AL25" s="85">
        <f t="shared" si="6"/>
        <v>0.35</v>
      </c>
      <c r="AM25" s="78" t="s">
        <v>984</v>
      </c>
      <c r="AO25" s="103"/>
      <c r="AP25" s="104"/>
      <c r="AQ25" s="105">
        <f t="shared" si="7"/>
        <v>0</v>
      </c>
      <c r="AR25" s="106"/>
    </row>
    <row r="26" spans="1:44" ht="110.25" x14ac:dyDescent="0.25">
      <c r="A26" s="77">
        <v>23</v>
      </c>
      <c r="B26" s="78" t="s">
        <v>6</v>
      </c>
      <c r="C26" s="78" t="s">
        <v>8</v>
      </c>
      <c r="D26" s="78" t="s">
        <v>49</v>
      </c>
      <c r="E26" s="77"/>
      <c r="F26" s="79"/>
      <c r="G26" s="80"/>
      <c r="H26" s="81">
        <f t="shared" si="0"/>
        <v>0</v>
      </c>
      <c r="I26" s="82"/>
      <c r="J26" s="77"/>
      <c r="K26" s="100">
        <v>1</v>
      </c>
      <c r="L26" s="101">
        <v>1</v>
      </c>
      <c r="M26" s="85">
        <f t="shared" si="1"/>
        <v>1</v>
      </c>
      <c r="N26" s="78" t="s">
        <v>946</v>
      </c>
      <c r="O26" s="77"/>
      <c r="P26" s="79"/>
      <c r="Q26" s="80"/>
      <c r="R26" s="81">
        <f t="shared" si="2"/>
        <v>0</v>
      </c>
      <c r="S26" s="82"/>
      <c r="T26" s="77"/>
      <c r="U26" s="79"/>
      <c r="V26" s="80"/>
      <c r="W26" s="81">
        <f t="shared" si="3"/>
        <v>0</v>
      </c>
      <c r="X26" s="82"/>
      <c r="Y26" s="77"/>
      <c r="Z26" s="79"/>
      <c r="AA26" s="80"/>
      <c r="AB26" s="81">
        <f t="shared" si="4"/>
        <v>0</v>
      </c>
      <c r="AC26" s="82"/>
      <c r="AD26" s="77"/>
      <c r="AE26" s="79"/>
      <c r="AF26" s="80"/>
      <c r="AG26" s="81">
        <f t="shared" si="5"/>
        <v>0</v>
      </c>
      <c r="AH26" s="82"/>
      <c r="AI26" s="77"/>
      <c r="AJ26" s="100">
        <v>1</v>
      </c>
      <c r="AK26" s="101">
        <v>0.7</v>
      </c>
      <c r="AL26" s="85">
        <f t="shared" si="6"/>
        <v>0.7</v>
      </c>
      <c r="AM26" s="78" t="s">
        <v>671</v>
      </c>
      <c r="AO26" s="88"/>
      <c r="AP26" s="89"/>
      <c r="AQ26" s="90">
        <f t="shared" si="7"/>
        <v>0</v>
      </c>
      <c r="AR26" s="91"/>
    </row>
    <row r="27" spans="1:44" ht="110.25" x14ac:dyDescent="0.25">
      <c r="A27" s="77">
        <v>24</v>
      </c>
      <c r="B27" s="78" t="s">
        <v>6</v>
      </c>
      <c r="C27" s="78" t="s">
        <v>8</v>
      </c>
      <c r="D27" s="78" t="s">
        <v>50</v>
      </c>
      <c r="E27" s="77"/>
      <c r="F27" s="79"/>
      <c r="G27" s="80"/>
      <c r="H27" s="81">
        <f t="shared" si="0"/>
        <v>0</v>
      </c>
      <c r="I27" s="82"/>
      <c r="J27" s="77"/>
      <c r="K27" s="100">
        <v>1</v>
      </c>
      <c r="L27" s="101">
        <v>0.99</v>
      </c>
      <c r="M27" s="85">
        <f t="shared" si="1"/>
        <v>0.99</v>
      </c>
      <c r="N27" s="78" t="s">
        <v>947</v>
      </c>
      <c r="O27" s="77"/>
      <c r="P27" s="79"/>
      <c r="Q27" s="80"/>
      <c r="R27" s="81">
        <f t="shared" si="2"/>
        <v>0</v>
      </c>
      <c r="S27" s="82"/>
      <c r="T27" s="77"/>
      <c r="U27" s="79"/>
      <c r="V27" s="80"/>
      <c r="W27" s="81">
        <f t="shared" si="3"/>
        <v>0</v>
      </c>
      <c r="X27" s="82"/>
      <c r="Y27" s="77"/>
      <c r="Z27" s="79"/>
      <c r="AA27" s="80"/>
      <c r="AB27" s="81">
        <f t="shared" si="4"/>
        <v>0</v>
      </c>
      <c r="AC27" s="82"/>
      <c r="AD27" s="77"/>
      <c r="AE27" s="79"/>
      <c r="AF27" s="80"/>
      <c r="AG27" s="81">
        <f t="shared" si="5"/>
        <v>0</v>
      </c>
      <c r="AH27" s="82"/>
      <c r="AI27" s="77"/>
      <c r="AJ27" s="100">
        <v>1</v>
      </c>
      <c r="AK27" s="101">
        <v>0.45</v>
      </c>
      <c r="AL27" s="85">
        <f t="shared" si="6"/>
        <v>0.45</v>
      </c>
      <c r="AM27" s="78" t="s">
        <v>985</v>
      </c>
      <c r="AO27" s="88"/>
      <c r="AP27" s="89"/>
      <c r="AQ27" s="90">
        <f t="shared" si="7"/>
        <v>0</v>
      </c>
      <c r="AR27" s="91"/>
    </row>
    <row r="28" spans="1:44" ht="315" x14ac:dyDescent="0.25">
      <c r="A28" s="77">
        <v>25</v>
      </c>
      <c r="B28" s="78" t="s">
        <v>6</v>
      </c>
      <c r="C28" s="78" t="s">
        <v>8</v>
      </c>
      <c r="D28" s="78" t="s">
        <v>51</v>
      </c>
      <c r="E28" s="77"/>
      <c r="F28" s="79"/>
      <c r="G28" s="80"/>
      <c r="H28" s="81">
        <f t="shared" si="0"/>
        <v>0</v>
      </c>
      <c r="I28" s="82"/>
      <c r="J28" s="77"/>
      <c r="K28" s="100">
        <v>1</v>
      </c>
      <c r="L28" s="101">
        <v>0.8</v>
      </c>
      <c r="M28" s="85">
        <f t="shared" si="1"/>
        <v>0.8</v>
      </c>
      <c r="N28" s="78" t="s">
        <v>972</v>
      </c>
      <c r="O28" s="77"/>
      <c r="P28" s="79"/>
      <c r="Q28" s="80"/>
      <c r="R28" s="81">
        <f t="shared" si="2"/>
        <v>0</v>
      </c>
      <c r="S28" s="82"/>
      <c r="T28" s="77"/>
      <c r="U28" s="79"/>
      <c r="V28" s="80"/>
      <c r="W28" s="81">
        <f t="shared" si="3"/>
        <v>0</v>
      </c>
      <c r="X28" s="82"/>
      <c r="Y28" s="77"/>
      <c r="Z28" s="79"/>
      <c r="AA28" s="80"/>
      <c r="AB28" s="81">
        <f t="shared" si="4"/>
        <v>0</v>
      </c>
      <c r="AC28" s="82"/>
      <c r="AD28" s="77"/>
      <c r="AE28" s="79"/>
      <c r="AF28" s="80"/>
      <c r="AG28" s="81">
        <f t="shared" si="5"/>
        <v>0</v>
      </c>
      <c r="AH28" s="82"/>
      <c r="AI28" s="77"/>
      <c r="AJ28" s="100">
        <v>1</v>
      </c>
      <c r="AK28" s="101">
        <v>0.1</v>
      </c>
      <c r="AL28" s="85">
        <f t="shared" si="6"/>
        <v>0.1</v>
      </c>
      <c r="AM28" s="78" t="s">
        <v>604</v>
      </c>
      <c r="AO28" s="88"/>
      <c r="AP28" s="89"/>
      <c r="AQ28" s="90">
        <f t="shared" si="7"/>
        <v>0</v>
      </c>
      <c r="AR28" s="91"/>
    </row>
    <row r="29" spans="1:44" ht="141.75" x14ac:dyDescent="0.25">
      <c r="A29" s="77">
        <v>26</v>
      </c>
      <c r="B29" s="78" t="s">
        <v>6</v>
      </c>
      <c r="C29" s="78" t="s">
        <v>8</v>
      </c>
      <c r="D29" s="78" t="s">
        <v>52</v>
      </c>
      <c r="E29" s="77"/>
      <c r="F29" s="79"/>
      <c r="G29" s="80"/>
      <c r="H29" s="81">
        <f t="shared" si="0"/>
        <v>0</v>
      </c>
      <c r="I29" s="82"/>
      <c r="J29" s="77"/>
      <c r="K29" s="100">
        <v>1</v>
      </c>
      <c r="L29" s="101">
        <v>0.98</v>
      </c>
      <c r="M29" s="85">
        <f t="shared" si="1"/>
        <v>0.98</v>
      </c>
      <c r="N29" s="78" t="s">
        <v>973</v>
      </c>
      <c r="O29" s="77"/>
      <c r="P29" s="79"/>
      <c r="Q29" s="80"/>
      <c r="R29" s="81">
        <f t="shared" si="2"/>
        <v>0</v>
      </c>
      <c r="S29" s="78"/>
      <c r="T29" s="77"/>
      <c r="U29" s="79"/>
      <c r="V29" s="80"/>
      <c r="W29" s="81">
        <f t="shared" si="3"/>
        <v>0</v>
      </c>
      <c r="X29" s="78"/>
      <c r="Y29" s="77"/>
      <c r="Z29" s="79"/>
      <c r="AA29" s="80"/>
      <c r="AB29" s="81">
        <f t="shared" si="4"/>
        <v>0</v>
      </c>
      <c r="AC29" s="78"/>
      <c r="AD29" s="77"/>
      <c r="AE29" s="79"/>
      <c r="AF29" s="80"/>
      <c r="AG29" s="81">
        <f t="shared" si="5"/>
        <v>0</v>
      </c>
      <c r="AH29" s="78"/>
      <c r="AI29" s="77"/>
      <c r="AJ29" s="100">
        <v>1</v>
      </c>
      <c r="AK29" s="101">
        <v>0.1</v>
      </c>
      <c r="AL29" s="85">
        <f t="shared" si="6"/>
        <v>0.1</v>
      </c>
      <c r="AM29" s="78" t="s">
        <v>605</v>
      </c>
      <c r="AO29" s="88"/>
      <c r="AP29" s="89"/>
      <c r="AQ29" s="90">
        <f t="shared" si="7"/>
        <v>0</v>
      </c>
      <c r="AR29" s="96"/>
    </row>
    <row r="30" spans="1:44" ht="189" x14ac:dyDescent="0.25">
      <c r="A30" s="77">
        <v>27</v>
      </c>
      <c r="B30" s="78" t="s">
        <v>6</v>
      </c>
      <c r="C30" s="78" t="s">
        <v>8</v>
      </c>
      <c r="D30" s="78" t="s">
        <v>53</v>
      </c>
      <c r="E30" s="77"/>
      <c r="F30" s="79"/>
      <c r="G30" s="80"/>
      <c r="H30" s="81">
        <f t="shared" si="0"/>
        <v>0</v>
      </c>
      <c r="I30" s="82"/>
      <c r="J30" s="77"/>
      <c r="K30" s="100">
        <v>1</v>
      </c>
      <c r="L30" s="107">
        <v>1</v>
      </c>
      <c r="M30" s="85">
        <f t="shared" si="1"/>
        <v>1</v>
      </c>
      <c r="N30" s="78"/>
      <c r="O30" s="77"/>
      <c r="P30" s="79"/>
      <c r="Q30" s="80"/>
      <c r="R30" s="81">
        <f t="shared" si="2"/>
        <v>0</v>
      </c>
      <c r="S30" s="82"/>
      <c r="T30" s="77"/>
      <c r="U30" s="79"/>
      <c r="V30" s="80"/>
      <c r="W30" s="81">
        <f t="shared" si="3"/>
        <v>0</v>
      </c>
      <c r="X30" s="82"/>
      <c r="Y30" s="77"/>
      <c r="Z30" s="79"/>
      <c r="AA30" s="80"/>
      <c r="AB30" s="81">
        <f t="shared" si="4"/>
        <v>0</v>
      </c>
      <c r="AC30" s="82"/>
      <c r="AD30" s="77"/>
      <c r="AE30" s="79"/>
      <c r="AF30" s="80"/>
      <c r="AG30" s="81">
        <f t="shared" si="5"/>
        <v>0</v>
      </c>
      <c r="AH30" s="82"/>
      <c r="AI30" s="77"/>
      <c r="AJ30" s="100">
        <v>1</v>
      </c>
      <c r="AK30" s="107">
        <v>0.85</v>
      </c>
      <c r="AL30" s="107">
        <f t="shared" si="6"/>
        <v>0.85</v>
      </c>
      <c r="AM30" s="78" t="s">
        <v>606</v>
      </c>
      <c r="AO30" s="88"/>
      <c r="AP30" s="89"/>
      <c r="AQ30" s="90">
        <f t="shared" si="7"/>
        <v>0</v>
      </c>
      <c r="AR30" s="91"/>
    </row>
    <row r="31" spans="1:44" ht="110.25" x14ac:dyDescent="0.25">
      <c r="A31" s="77">
        <v>28</v>
      </c>
      <c r="B31" s="78" t="s">
        <v>6</v>
      </c>
      <c r="C31" s="78" t="s">
        <v>8</v>
      </c>
      <c r="D31" s="78" t="s">
        <v>54</v>
      </c>
      <c r="E31" s="77"/>
      <c r="F31" s="79"/>
      <c r="G31" s="80"/>
      <c r="H31" s="81">
        <f t="shared" si="0"/>
        <v>0</v>
      </c>
      <c r="I31" s="82"/>
      <c r="J31" s="77"/>
      <c r="K31" s="100">
        <v>1</v>
      </c>
      <c r="L31" s="101">
        <v>1</v>
      </c>
      <c r="M31" s="85">
        <f t="shared" si="1"/>
        <v>1</v>
      </c>
      <c r="N31" s="78" t="s">
        <v>211</v>
      </c>
      <c r="O31" s="77"/>
      <c r="P31" s="79"/>
      <c r="Q31" s="80"/>
      <c r="R31" s="81">
        <f t="shared" si="2"/>
        <v>0</v>
      </c>
      <c r="S31" s="82"/>
      <c r="T31" s="77"/>
      <c r="U31" s="79"/>
      <c r="V31" s="80"/>
      <c r="W31" s="81">
        <f t="shared" si="3"/>
        <v>0</v>
      </c>
      <c r="X31" s="82"/>
      <c r="Y31" s="77"/>
      <c r="Z31" s="79"/>
      <c r="AA31" s="80"/>
      <c r="AB31" s="81">
        <f t="shared" si="4"/>
        <v>0</v>
      </c>
      <c r="AC31" s="82"/>
      <c r="AD31" s="77"/>
      <c r="AE31" s="79"/>
      <c r="AF31" s="80"/>
      <c r="AG31" s="81">
        <f t="shared" si="5"/>
        <v>0</v>
      </c>
      <c r="AH31" s="82"/>
      <c r="AI31" s="77"/>
      <c r="AJ31" s="100">
        <v>1</v>
      </c>
      <c r="AK31" s="101">
        <v>1</v>
      </c>
      <c r="AL31" s="85">
        <f t="shared" si="6"/>
        <v>1</v>
      </c>
      <c r="AM31" s="78" t="s">
        <v>672</v>
      </c>
      <c r="AO31" s="88"/>
      <c r="AP31" s="89"/>
      <c r="AQ31" s="90">
        <f t="shared" si="7"/>
        <v>0</v>
      </c>
      <c r="AR31" s="91"/>
    </row>
    <row r="32" spans="1:44" ht="126" x14ac:dyDescent="0.25">
      <c r="A32" s="77">
        <v>29</v>
      </c>
      <c r="B32" s="78" t="s">
        <v>6</v>
      </c>
      <c r="C32" s="78" t="s">
        <v>8</v>
      </c>
      <c r="D32" s="78" t="s">
        <v>55</v>
      </c>
      <c r="E32" s="77"/>
      <c r="F32" s="79"/>
      <c r="G32" s="80"/>
      <c r="H32" s="81">
        <f t="shared" si="0"/>
        <v>0</v>
      </c>
      <c r="I32" s="82"/>
      <c r="J32" s="77"/>
      <c r="K32" s="100">
        <v>1</v>
      </c>
      <c r="L32" s="101">
        <v>1</v>
      </c>
      <c r="M32" s="85">
        <f t="shared" si="1"/>
        <v>1</v>
      </c>
      <c r="N32" s="78" t="s">
        <v>974</v>
      </c>
      <c r="O32" s="77"/>
      <c r="P32" s="79"/>
      <c r="Q32" s="80"/>
      <c r="R32" s="81">
        <f t="shared" si="2"/>
        <v>0</v>
      </c>
      <c r="S32" s="82"/>
      <c r="T32" s="77"/>
      <c r="U32" s="79"/>
      <c r="V32" s="80"/>
      <c r="W32" s="81">
        <f t="shared" si="3"/>
        <v>0</v>
      </c>
      <c r="X32" s="82"/>
      <c r="Y32" s="77"/>
      <c r="Z32" s="79"/>
      <c r="AA32" s="80"/>
      <c r="AB32" s="81">
        <f t="shared" si="4"/>
        <v>0</v>
      </c>
      <c r="AC32" s="82"/>
      <c r="AD32" s="77"/>
      <c r="AE32" s="79"/>
      <c r="AF32" s="80"/>
      <c r="AG32" s="81">
        <f t="shared" si="5"/>
        <v>0</v>
      </c>
      <c r="AH32" s="82"/>
      <c r="AI32" s="77"/>
      <c r="AJ32" s="100">
        <v>1</v>
      </c>
      <c r="AK32" s="101">
        <v>1</v>
      </c>
      <c r="AL32" s="85">
        <f t="shared" si="6"/>
        <v>1</v>
      </c>
      <c r="AM32" s="78" t="s">
        <v>986</v>
      </c>
      <c r="AO32" s="88"/>
      <c r="AP32" s="89"/>
      <c r="AQ32" s="90">
        <f t="shared" si="7"/>
        <v>0</v>
      </c>
      <c r="AR32" s="91"/>
    </row>
    <row r="33" spans="1:44" ht="110.25" x14ac:dyDescent="0.25">
      <c r="A33" s="77">
        <v>30</v>
      </c>
      <c r="B33" s="78" t="s">
        <v>6</v>
      </c>
      <c r="C33" s="78" t="s">
        <v>8</v>
      </c>
      <c r="D33" s="78" t="s">
        <v>56</v>
      </c>
      <c r="E33" s="77"/>
      <c r="F33" s="79"/>
      <c r="G33" s="80"/>
      <c r="H33" s="81">
        <f t="shared" si="0"/>
        <v>0</v>
      </c>
      <c r="I33" s="82"/>
      <c r="J33" s="77"/>
      <c r="K33" s="100">
        <v>1</v>
      </c>
      <c r="L33" s="101">
        <v>1</v>
      </c>
      <c r="M33" s="85">
        <f t="shared" si="1"/>
        <v>1</v>
      </c>
      <c r="N33" s="78" t="s">
        <v>1535</v>
      </c>
      <c r="O33" s="77"/>
      <c r="P33" s="79"/>
      <c r="Q33" s="80"/>
      <c r="R33" s="81">
        <f t="shared" si="2"/>
        <v>0</v>
      </c>
      <c r="S33" s="82"/>
      <c r="T33" s="77"/>
      <c r="U33" s="79"/>
      <c r="V33" s="80"/>
      <c r="W33" s="81">
        <f t="shared" si="3"/>
        <v>0</v>
      </c>
      <c r="X33" s="82"/>
      <c r="Y33" s="77"/>
      <c r="Z33" s="79"/>
      <c r="AA33" s="80"/>
      <c r="AB33" s="81">
        <f t="shared" si="4"/>
        <v>0</v>
      </c>
      <c r="AC33" s="82"/>
      <c r="AD33" s="77"/>
      <c r="AE33" s="79"/>
      <c r="AF33" s="80"/>
      <c r="AG33" s="81">
        <f t="shared" si="5"/>
        <v>0</v>
      </c>
      <c r="AH33" s="82"/>
      <c r="AI33" s="77"/>
      <c r="AJ33" s="100">
        <v>1</v>
      </c>
      <c r="AK33" s="101">
        <v>0.3</v>
      </c>
      <c r="AL33" s="85">
        <f t="shared" si="6"/>
        <v>0.3</v>
      </c>
      <c r="AM33" s="78" t="s">
        <v>987</v>
      </c>
      <c r="AO33" s="88"/>
      <c r="AP33" s="89"/>
      <c r="AQ33" s="90">
        <f t="shared" si="7"/>
        <v>0</v>
      </c>
      <c r="AR33" s="91"/>
    </row>
    <row r="34" spans="1:44" ht="94.5" customHeight="1" x14ac:dyDescent="0.25">
      <c r="A34" s="77">
        <v>31</v>
      </c>
      <c r="B34" s="78" t="s">
        <v>6</v>
      </c>
      <c r="C34" s="78" t="s">
        <v>9</v>
      </c>
      <c r="D34" s="102" t="s">
        <v>57</v>
      </c>
      <c r="E34" s="77"/>
      <c r="F34" s="79"/>
      <c r="G34" s="80"/>
      <c r="H34" s="81">
        <f t="shared" si="0"/>
        <v>0</v>
      </c>
      <c r="I34" s="82"/>
      <c r="J34" s="77"/>
      <c r="K34" s="100">
        <v>1</v>
      </c>
      <c r="L34" s="101">
        <v>0.65</v>
      </c>
      <c r="M34" s="85">
        <f t="shared" si="1"/>
        <v>0.65</v>
      </c>
      <c r="N34" s="78" t="s">
        <v>975</v>
      </c>
      <c r="O34" s="77"/>
      <c r="P34" s="79"/>
      <c r="Q34" s="80"/>
      <c r="R34" s="81">
        <f t="shared" si="2"/>
        <v>0</v>
      </c>
      <c r="S34" s="82"/>
      <c r="T34" s="77"/>
      <c r="U34" s="79"/>
      <c r="V34" s="80"/>
      <c r="W34" s="81">
        <f t="shared" si="3"/>
        <v>0</v>
      </c>
      <c r="X34" s="82"/>
      <c r="Y34" s="77"/>
      <c r="Z34" s="79"/>
      <c r="AA34" s="80"/>
      <c r="AB34" s="81">
        <f t="shared" si="4"/>
        <v>0</v>
      </c>
      <c r="AC34" s="82"/>
      <c r="AD34" s="77"/>
      <c r="AE34" s="79"/>
      <c r="AF34" s="80"/>
      <c r="AG34" s="81">
        <f t="shared" si="5"/>
        <v>0</v>
      </c>
      <c r="AH34" s="82"/>
      <c r="AI34" s="77"/>
      <c r="AJ34" s="100">
        <v>1</v>
      </c>
      <c r="AK34" s="101">
        <v>0.3</v>
      </c>
      <c r="AL34" s="85">
        <f t="shared" si="6"/>
        <v>0.3</v>
      </c>
      <c r="AM34" s="78" t="s">
        <v>610</v>
      </c>
      <c r="AO34" s="88"/>
      <c r="AP34" s="89"/>
      <c r="AQ34" s="90">
        <f t="shared" si="7"/>
        <v>0</v>
      </c>
      <c r="AR34" s="91"/>
    </row>
    <row r="35" spans="1:44" ht="110.25" x14ac:dyDescent="0.25">
      <c r="A35" s="77">
        <v>32</v>
      </c>
      <c r="B35" s="78" t="s">
        <v>6</v>
      </c>
      <c r="C35" s="78" t="s">
        <v>9</v>
      </c>
      <c r="D35" s="102" t="s">
        <v>58</v>
      </c>
      <c r="E35" s="77"/>
      <c r="F35" s="79"/>
      <c r="G35" s="80"/>
      <c r="H35" s="81">
        <f t="shared" si="0"/>
        <v>0</v>
      </c>
      <c r="I35" s="78"/>
      <c r="J35" s="77"/>
      <c r="K35" s="100">
        <v>1</v>
      </c>
      <c r="L35" s="101">
        <v>0.9</v>
      </c>
      <c r="M35" s="85">
        <f t="shared" si="1"/>
        <v>0.9</v>
      </c>
      <c r="N35" s="78" t="s">
        <v>152</v>
      </c>
      <c r="O35" s="77"/>
      <c r="P35" s="79"/>
      <c r="Q35" s="80"/>
      <c r="R35" s="81">
        <f t="shared" si="2"/>
        <v>0</v>
      </c>
      <c r="S35" s="82"/>
      <c r="T35" s="77"/>
      <c r="U35" s="79"/>
      <c r="V35" s="80"/>
      <c r="W35" s="81">
        <f t="shared" si="3"/>
        <v>0</v>
      </c>
      <c r="X35" s="82"/>
      <c r="Y35" s="77"/>
      <c r="Z35" s="79"/>
      <c r="AA35" s="80"/>
      <c r="AB35" s="81">
        <f t="shared" si="4"/>
        <v>0</v>
      </c>
      <c r="AC35" s="82"/>
      <c r="AD35" s="77"/>
      <c r="AE35" s="79"/>
      <c r="AF35" s="80"/>
      <c r="AG35" s="81">
        <f t="shared" si="5"/>
        <v>0</v>
      </c>
      <c r="AH35" s="82"/>
      <c r="AI35" s="77"/>
      <c r="AJ35" s="100">
        <v>1</v>
      </c>
      <c r="AK35" s="101">
        <v>0.1</v>
      </c>
      <c r="AL35" s="85">
        <f t="shared" si="6"/>
        <v>0.1</v>
      </c>
      <c r="AM35" s="78" t="s">
        <v>965</v>
      </c>
      <c r="AO35" s="88"/>
      <c r="AP35" s="89"/>
      <c r="AQ35" s="90">
        <f t="shared" si="7"/>
        <v>0</v>
      </c>
      <c r="AR35" s="91"/>
    </row>
    <row r="36" spans="1:44" ht="141.75" x14ac:dyDescent="0.25">
      <c r="A36" s="77">
        <v>33</v>
      </c>
      <c r="B36" s="78" t="s">
        <v>6</v>
      </c>
      <c r="C36" s="78" t="s">
        <v>9</v>
      </c>
      <c r="D36" s="78" t="s">
        <v>59</v>
      </c>
      <c r="E36" s="77"/>
      <c r="F36" s="79"/>
      <c r="G36" s="80"/>
      <c r="H36" s="81">
        <f t="shared" si="0"/>
        <v>0</v>
      </c>
      <c r="I36" s="82"/>
      <c r="J36" s="77"/>
      <c r="K36" s="100">
        <v>1</v>
      </c>
      <c r="L36" s="101">
        <v>1</v>
      </c>
      <c r="M36" s="85">
        <f t="shared" si="1"/>
        <v>1</v>
      </c>
      <c r="N36" s="78"/>
      <c r="O36" s="77"/>
      <c r="P36" s="79"/>
      <c r="Q36" s="80"/>
      <c r="R36" s="81">
        <f t="shared" si="2"/>
        <v>0</v>
      </c>
      <c r="S36" s="82"/>
      <c r="T36" s="77"/>
      <c r="U36" s="79"/>
      <c r="V36" s="80"/>
      <c r="W36" s="81">
        <f t="shared" si="3"/>
        <v>0</v>
      </c>
      <c r="X36" s="82"/>
      <c r="Y36" s="77"/>
      <c r="Z36" s="79"/>
      <c r="AA36" s="80"/>
      <c r="AB36" s="81">
        <f t="shared" si="4"/>
        <v>0</v>
      </c>
      <c r="AC36" s="82"/>
      <c r="AD36" s="77"/>
      <c r="AE36" s="79"/>
      <c r="AF36" s="80"/>
      <c r="AG36" s="81">
        <f t="shared" si="5"/>
        <v>0</v>
      </c>
      <c r="AH36" s="82"/>
      <c r="AI36" s="77"/>
      <c r="AJ36" s="100">
        <v>1</v>
      </c>
      <c r="AK36" s="101">
        <v>0.5</v>
      </c>
      <c r="AL36" s="85">
        <f t="shared" si="6"/>
        <v>0.5</v>
      </c>
      <c r="AM36" s="78" t="s">
        <v>612</v>
      </c>
      <c r="AO36" s="88"/>
      <c r="AP36" s="89"/>
      <c r="AQ36" s="90">
        <f t="shared" si="7"/>
        <v>0</v>
      </c>
      <c r="AR36" s="91"/>
    </row>
    <row r="37" spans="1:44" ht="126" x14ac:dyDescent="0.25">
      <c r="A37" s="77">
        <v>34</v>
      </c>
      <c r="B37" s="78" t="s">
        <v>6</v>
      </c>
      <c r="C37" s="78" t="s">
        <v>9</v>
      </c>
      <c r="D37" s="78" t="s">
        <v>60</v>
      </c>
      <c r="E37" s="77"/>
      <c r="F37" s="79"/>
      <c r="G37" s="80"/>
      <c r="H37" s="81">
        <f t="shared" si="0"/>
        <v>0</v>
      </c>
      <c r="I37" s="82"/>
      <c r="J37" s="77"/>
      <c r="K37" s="100">
        <v>1</v>
      </c>
      <c r="L37" s="101">
        <v>0.9</v>
      </c>
      <c r="M37" s="85">
        <f t="shared" si="1"/>
        <v>0.9</v>
      </c>
      <c r="N37" s="78" t="s">
        <v>976</v>
      </c>
      <c r="O37" s="77"/>
      <c r="P37" s="79"/>
      <c r="Q37" s="80"/>
      <c r="R37" s="81">
        <f t="shared" si="2"/>
        <v>0</v>
      </c>
      <c r="S37" s="82"/>
      <c r="T37" s="77"/>
      <c r="U37" s="79"/>
      <c r="V37" s="80"/>
      <c r="W37" s="81">
        <f t="shared" si="3"/>
        <v>0</v>
      </c>
      <c r="X37" s="82"/>
      <c r="Y37" s="77"/>
      <c r="Z37" s="79"/>
      <c r="AA37" s="80"/>
      <c r="AB37" s="81">
        <f t="shared" si="4"/>
        <v>0</v>
      </c>
      <c r="AC37" s="82"/>
      <c r="AD37" s="77"/>
      <c r="AE37" s="79"/>
      <c r="AF37" s="80"/>
      <c r="AG37" s="81">
        <f t="shared" si="5"/>
        <v>0</v>
      </c>
      <c r="AH37" s="82"/>
      <c r="AI37" s="77"/>
      <c r="AJ37" s="100">
        <v>1</v>
      </c>
      <c r="AK37" s="101">
        <v>1</v>
      </c>
      <c r="AL37" s="85">
        <f t="shared" si="6"/>
        <v>1</v>
      </c>
      <c r="AM37" s="78" t="s">
        <v>613</v>
      </c>
      <c r="AO37" s="88"/>
      <c r="AP37" s="89"/>
      <c r="AQ37" s="90">
        <f t="shared" si="7"/>
        <v>0</v>
      </c>
      <c r="AR37" s="91"/>
    </row>
    <row r="38" spans="1:44" ht="126" x14ac:dyDescent="0.25">
      <c r="A38" s="77">
        <v>35</v>
      </c>
      <c r="B38" s="78" t="s">
        <v>6</v>
      </c>
      <c r="C38" s="78" t="s">
        <v>9</v>
      </c>
      <c r="D38" s="78" t="s">
        <v>61</v>
      </c>
      <c r="E38" s="77"/>
      <c r="F38" s="79"/>
      <c r="G38" s="80"/>
      <c r="H38" s="81">
        <f t="shared" si="0"/>
        <v>0</v>
      </c>
      <c r="I38" s="82"/>
      <c r="J38" s="77"/>
      <c r="K38" s="100">
        <v>1</v>
      </c>
      <c r="L38" s="101">
        <v>0.9</v>
      </c>
      <c r="M38" s="85">
        <f t="shared" si="1"/>
        <v>0.9</v>
      </c>
      <c r="N38" s="78" t="s">
        <v>577</v>
      </c>
      <c r="O38" s="77"/>
      <c r="P38" s="79"/>
      <c r="Q38" s="80"/>
      <c r="R38" s="81">
        <f t="shared" si="2"/>
        <v>0</v>
      </c>
      <c r="S38" s="82"/>
      <c r="T38" s="77"/>
      <c r="U38" s="79"/>
      <c r="V38" s="80"/>
      <c r="W38" s="81">
        <f t="shared" si="3"/>
        <v>0</v>
      </c>
      <c r="X38" s="82"/>
      <c r="Y38" s="77"/>
      <c r="Z38" s="79"/>
      <c r="AA38" s="80"/>
      <c r="AB38" s="81">
        <f t="shared" si="4"/>
        <v>0</v>
      </c>
      <c r="AC38" s="82"/>
      <c r="AD38" s="77"/>
      <c r="AE38" s="79"/>
      <c r="AF38" s="80"/>
      <c r="AG38" s="81">
        <f t="shared" si="5"/>
        <v>0</v>
      </c>
      <c r="AH38" s="82"/>
      <c r="AI38" s="77"/>
      <c r="AJ38" s="100">
        <v>1</v>
      </c>
      <c r="AK38" s="101">
        <v>0.1</v>
      </c>
      <c r="AL38" s="85">
        <f t="shared" si="6"/>
        <v>0.1</v>
      </c>
      <c r="AM38" s="78" t="s">
        <v>674</v>
      </c>
      <c r="AO38" s="88"/>
      <c r="AP38" s="89"/>
      <c r="AQ38" s="90">
        <f t="shared" si="7"/>
        <v>0</v>
      </c>
      <c r="AR38" s="91"/>
    </row>
    <row r="39" spans="1:44" ht="283.5" x14ac:dyDescent="0.25">
      <c r="A39" s="77">
        <v>36</v>
      </c>
      <c r="B39" s="78" t="s">
        <v>6</v>
      </c>
      <c r="C39" s="78" t="s">
        <v>9</v>
      </c>
      <c r="D39" s="78" t="s">
        <v>62</v>
      </c>
      <c r="E39" s="77"/>
      <c r="F39" s="79"/>
      <c r="G39" s="80"/>
      <c r="H39" s="81">
        <f t="shared" si="0"/>
        <v>0</v>
      </c>
      <c r="I39" s="82"/>
      <c r="J39" s="77"/>
      <c r="K39" s="100">
        <v>1</v>
      </c>
      <c r="L39" s="101">
        <v>0.9</v>
      </c>
      <c r="M39" s="85">
        <f t="shared" si="1"/>
        <v>0.9</v>
      </c>
      <c r="N39" s="78" t="s">
        <v>928</v>
      </c>
      <c r="O39" s="77"/>
      <c r="P39" s="79"/>
      <c r="Q39" s="80"/>
      <c r="R39" s="81">
        <f t="shared" si="2"/>
        <v>0</v>
      </c>
      <c r="S39" s="82"/>
      <c r="T39" s="77"/>
      <c r="U39" s="79"/>
      <c r="V39" s="80"/>
      <c r="W39" s="81">
        <f t="shared" si="3"/>
        <v>0</v>
      </c>
      <c r="X39" s="82"/>
      <c r="Y39" s="77"/>
      <c r="Z39" s="79"/>
      <c r="AA39" s="80"/>
      <c r="AB39" s="81">
        <f t="shared" si="4"/>
        <v>0</v>
      </c>
      <c r="AC39" s="82"/>
      <c r="AD39" s="77"/>
      <c r="AE39" s="79"/>
      <c r="AF39" s="80"/>
      <c r="AG39" s="81">
        <f t="shared" si="5"/>
        <v>0</v>
      </c>
      <c r="AH39" s="82"/>
      <c r="AI39" s="77"/>
      <c r="AJ39" s="100">
        <v>1</v>
      </c>
      <c r="AK39" s="101">
        <v>0.4</v>
      </c>
      <c r="AL39" s="85">
        <f t="shared" si="6"/>
        <v>0.4</v>
      </c>
      <c r="AM39" s="78" t="s">
        <v>675</v>
      </c>
      <c r="AO39" s="88"/>
      <c r="AP39" s="89"/>
      <c r="AQ39" s="90">
        <f t="shared" si="7"/>
        <v>0</v>
      </c>
      <c r="AR39" s="91"/>
    </row>
    <row r="40" spans="1:44" ht="110.25" x14ac:dyDescent="0.25">
      <c r="A40" s="77">
        <v>37</v>
      </c>
      <c r="B40" s="78" t="s">
        <v>6</v>
      </c>
      <c r="C40" s="78" t="s">
        <v>9</v>
      </c>
      <c r="D40" s="78" t="s">
        <v>63</v>
      </c>
      <c r="E40" s="77"/>
      <c r="F40" s="79"/>
      <c r="G40" s="80"/>
      <c r="H40" s="81">
        <f t="shared" si="0"/>
        <v>0</v>
      </c>
      <c r="I40" s="82"/>
      <c r="J40" s="77"/>
      <c r="K40" s="100">
        <v>1</v>
      </c>
      <c r="L40" s="101">
        <v>0.65</v>
      </c>
      <c r="M40" s="85">
        <f t="shared" si="1"/>
        <v>0.65</v>
      </c>
      <c r="N40" s="78" t="s">
        <v>977</v>
      </c>
      <c r="O40" s="77"/>
      <c r="P40" s="79"/>
      <c r="Q40" s="80"/>
      <c r="R40" s="81">
        <f t="shared" si="2"/>
        <v>0</v>
      </c>
      <c r="S40" s="82"/>
      <c r="T40" s="77"/>
      <c r="U40" s="79"/>
      <c r="V40" s="80"/>
      <c r="W40" s="81">
        <f t="shared" si="3"/>
        <v>0</v>
      </c>
      <c r="X40" s="82"/>
      <c r="Y40" s="77"/>
      <c r="Z40" s="79"/>
      <c r="AA40" s="80"/>
      <c r="AB40" s="81">
        <f t="shared" si="4"/>
        <v>0</v>
      </c>
      <c r="AC40" s="82"/>
      <c r="AD40" s="77"/>
      <c r="AE40" s="79"/>
      <c r="AF40" s="80"/>
      <c r="AG40" s="81">
        <f t="shared" si="5"/>
        <v>0</v>
      </c>
      <c r="AH40" s="82"/>
      <c r="AI40" s="77"/>
      <c r="AJ40" s="100">
        <v>1</v>
      </c>
      <c r="AK40" s="101">
        <v>0.99</v>
      </c>
      <c r="AL40" s="85">
        <f t="shared" si="6"/>
        <v>0.99</v>
      </c>
      <c r="AM40" s="78" t="s">
        <v>616</v>
      </c>
      <c r="AO40" s="88"/>
      <c r="AP40" s="89"/>
      <c r="AQ40" s="90">
        <f t="shared" si="7"/>
        <v>0</v>
      </c>
      <c r="AR40" s="91"/>
    </row>
    <row r="41" spans="1:44" ht="173.25" x14ac:dyDescent="0.25">
      <c r="A41" s="77">
        <v>38</v>
      </c>
      <c r="B41" s="78" t="s">
        <v>10</v>
      </c>
      <c r="C41" s="78" t="s">
        <v>11</v>
      </c>
      <c r="D41" s="78" t="s">
        <v>65</v>
      </c>
      <c r="E41" s="77"/>
      <c r="F41" s="79"/>
      <c r="G41" s="80"/>
      <c r="H41" s="81">
        <f t="shared" si="0"/>
        <v>0</v>
      </c>
      <c r="I41" s="82"/>
      <c r="J41" s="77"/>
      <c r="K41" s="100">
        <v>1</v>
      </c>
      <c r="L41" s="101">
        <v>0.97</v>
      </c>
      <c r="M41" s="85">
        <f t="shared" si="1"/>
        <v>0.97</v>
      </c>
      <c r="N41" s="78" t="s">
        <v>1536</v>
      </c>
      <c r="O41" s="77"/>
      <c r="P41" s="79"/>
      <c r="Q41" s="80"/>
      <c r="R41" s="81">
        <f t="shared" si="2"/>
        <v>0</v>
      </c>
      <c r="S41" s="82"/>
      <c r="T41" s="77"/>
      <c r="U41" s="79"/>
      <c r="V41" s="80"/>
      <c r="W41" s="81">
        <f t="shared" si="3"/>
        <v>0</v>
      </c>
      <c r="X41" s="82"/>
      <c r="Y41" s="77"/>
      <c r="Z41" s="79"/>
      <c r="AA41" s="80"/>
      <c r="AB41" s="81">
        <f t="shared" si="4"/>
        <v>0</v>
      </c>
      <c r="AC41" s="82"/>
      <c r="AD41" s="77"/>
      <c r="AE41" s="79"/>
      <c r="AF41" s="80"/>
      <c r="AG41" s="81">
        <f t="shared" si="5"/>
        <v>0</v>
      </c>
      <c r="AH41" s="82"/>
      <c r="AI41" s="77"/>
      <c r="AJ41" s="100">
        <v>1</v>
      </c>
      <c r="AK41" s="101">
        <v>0.65</v>
      </c>
      <c r="AL41" s="85">
        <f t="shared" si="6"/>
        <v>0.65</v>
      </c>
      <c r="AM41" s="78" t="s">
        <v>1537</v>
      </c>
      <c r="AO41" s="88"/>
      <c r="AP41" s="89"/>
      <c r="AQ41" s="90">
        <f t="shared" si="7"/>
        <v>0</v>
      </c>
      <c r="AR41" s="91"/>
    </row>
    <row r="42" spans="1:44" ht="105.75" customHeight="1" x14ac:dyDescent="0.25">
      <c r="A42" s="77">
        <v>39</v>
      </c>
      <c r="B42" s="78" t="s">
        <v>10</v>
      </c>
      <c r="C42" s="78" t="s">
        <v>11</v>
      </c>
      <c r="D42" s="78" t="s">
        <v>66</v>
      </c>
      <c r="E42" s="77"/>
      <c r="F42" s="79"/>
      <c r="G42" s="80"/>
      <c r="H42" s="81">
        <f t="shared" si="0"/>
        <v>0</v>
      </c>
      <c r="I42" s="82"/>
      <c r="J42" s="77"/>
      <c r="K42" s="100">
        <v>1</v>
      </c>
      <c r="L42" s="101">
        <v>1</v>
      </c>
      <c r="M42" s="85">
        <f t="shared" si="1"/>
        <v>1</v>
      </c>
      <c r="N42" s="78" t="s">
        <v>1067</v>
      </c>
      <c r="O42" s="77"/>
      <c r="P42" s="79"/>
      <c r="Q42" s="80"/>
      <c r="R42" s="81">
        <f t="shared" si="2"/>
        <v>0</v>
      </c>
      <c r="S42" s="82"/>
      <c r="T42" s="77"/>
      <c r="U42" s="79"/>
      <c r="V42" s="80"/>
      <c r="W42" s="81">
        <f t="shared" si="3"/>
        <v>0</v>
      </c>
      <c r="X42" s="82"/>
      <c r="Y42" s="77"/>
      <c r="Z42" s="79"/>
      <c r="AA42" s="80"/>
      <c r="AB42" s="81">
        <f t="shared" si="4"/>
        <v>0</v>
      </c>
      <c r="AC42" s="82"/>
      <c r="AD42" s="77"/>
      <c r="AE42" s="79"/>
      <c r="AF42" s="80"/>
      <c r="AG42" s="81">
        <f t="shared" si="5"/>
        <v>0</v>
      </c>
      <c r="AH42" s="82"/>
      <c r="AI42" s="77"/>
      <c r="AJ42" s="100">
        <v>1</v>
      </c>
      <c r="AK42" s="101">
        <v>1</v>
      </c>
      <c r="AL42" s="85">
        <f t="shared" si="6"/>
        <v>1</v>
      </c>
      <c r="AM42" s="78" t="s">
        <v>1084</v>
      </c>
      <c r="AO42" s="88"/>
      <c r="AP42" s="89"/>
      <c r="AQ42" s="90">
        <f t="shared" si="7"/>
        <v>0</v>
      </c>
      <c r="AR42" s="91"/>
    </row>
    <row r="43" spans="1:44" ht="45.75" customHeight="1" x14ac:dyDescent="0.25">
      <c r="A43" s="77">
        <v>40</v>
      </c>
      <c r="B43" s="78" t="s">
        <v>10</v>
      </c>
      <c r="C43" s="78" t="s">
        <v>11</v>
      </c>
      <c r="D43" s="78" t="s">
        <v>67</v>
      </c>
      <c r="E43" s="77"/>
      <c r="F43" s="79"/>
      <c r="G43" s="80"/>
      <c r="H43" s="81">
        <f t="shared" si="0"/>
        <v>0</v>
      </c>
      <c r="I43" s="82"/>
      <c r="J43" s="77"/>
      <c r="K43" s="100">
        <v>1</v>
      </c>
      <c r="L43" s="101">
        <v>1</v>
      </c>
      <c r="M43" s="85">
        <f t="shared" si="1"/>
        <v>1</v>
      </c>
      <c r="N43" s="78" t="s">
        <v>1080</v>
      </c>
      <c r="O43" s="77"/>
      <c r="P43" s="79"/>
      <c r="Q43" s="80"/>
      <c r="R43" s="81">
        <f t="shared" si="2"/>
        <v>0</v>
      </c>
      <c r="S43" s="82"/>
      <c r="T43" s="77"/>
      <c r="U43" s="79"/>
      <c r="V43" s="80"/>
      <c r="W43" s="81">
        <f t="shared" si="3"/>
        <v>0</v>
      </c>
      <c r="X43" s="82"/>
      <c r="Y43" s="77"/>
      <c r="Z43" s="79"/>
      <c r="AA43" s="80"/>
      <c r="AB43" s="81">
        <f t="shared" si="4"/>
        <v>0</v>
      </c>
      <c r="AC43" s="82"/>
      <c r="AD43" s="77"/>
      <c r="AE43" s="79"/>
      <c r="AF43" s="80"/>
      <c r="AG43" s="81">
        <f t="shared" si="5"/>
        <v>0</v>
      </c>
      <c r="AH43" s="82"/>
      <c r="AI43" s="77"/>
      <c r="AJ43" s="100">
        <v>1</v>
      </c>
      <c r="AK43" s="101">
        <v>0.5</v>
      </c>
      <c r="AL43" s="85">
        <f t="shared" si="6"/>
        <v>0.5</v>
      </c>
      <c r="AM43" s="78" t="s">
        <v>1520</v>
      </c>
      <c r="AO43" s="88"/>
      <c r="AP43" s="89"/>
      <c r="AQ43" s="90">
        <f t="shared" si="7"/>
        <v>0</v>
      </c>
      <c r="AR43" s="91"/>
    </row>
    <row r="44" spans="1:44" ht="78.75" x14ac:dyDescent="0.25">
      <c r="A44" s="77">
        <v>41</v>
      </c>
      <c r="B44" s="78" t="s">
        <v>10</v>
      </c>
      <c r="C44" s="78" t="s">
        <v>11</v>
      </c>
      <c r="D44" s="78" t="s">
        <v>68</v>
      </c>
      <c r="E44" s="77"/>
      <c r="F44" s="79"/>
      <c r="G44" s="80"/>
      <c r="H44" s="81">
        <f t="shared" si="0"/>
        <v>0</v>
      </c>
      <c r="I44" s="82"/>
      <c r="J44" s="77"/>
      <c r="K44" s="100">
        <v>1</v>
      </c>
      <c r="L44" s="101">
        <v>1</v>
      </c>
      <c r="M44" s="85">
        <f t="shared" si="1"/>
        <v>1</v>
      </c>
      <c r="N44" s="78" t="s">
        <v>1067</v>
      </c>
      <c r="O44" s="77"/>
      <c r="P44" s="79"/>
      <c r="Q44" s="80"/>
      <c r="R44" s="81">
        <f t="shared" si="2"/>
        <v>0</v>
      </c>
      <c r="S44" s="82"/>
      <c r="T44" s="77"/>
      <c r="U44" s="79"/>
      <c r="V44" s="80"/>
      <c r="W44" s="81">
        <f t="shared" si="3"/>
        <v>0</v>
      </c>
      <c r="X44" s="82"/>
      <c r="Y44" s="77"/>
      <c r="Z44" s="79"/>
      <c r="AA44" s="80"/>
      <c r="AB44" s="81">
        <f t="shared" si="4"/>
        <v>0</v>
      </c>
      <c r="AC44" s="82"/>
      <c r="AD44" s="77"/>
      <c r="AE44" s="79"/>
      <c r="AF44" s="80"/>
      <c r="AG44" s="81">
        <f t="shared" si="5"/>
        <v>0</v>
      </c>
      <c r="AH44" s="82"/>
      <c r="AI44" s="77"/>
      <c r="AJ44" s="100">
        <v>1</v>
      </c>
      <c r="AK44" s="101">
        <v>0.8</v>
      </c>
      <c r="AL44" s="85">
        <f t="shared" si="6"/>
        <v>0.8</v>
      </c>
      <c r="AM44" s="78" t="s">
        <v>1521</v>
      </c>
      <c r="AO44" s="88"/>
      <c r="AP44" s="89"/>
      <c r="AQ44" s="90">
        <f t="shared" si="7"/>
        <v>0</v>
      </c>
      <c r="AR44" s="91"/>
    </row>
    <row r="45" spans="1:44" ht="47.25" x14ac:dyDescent="0.25">
      <c r="A45" s="77">
        <v>42</v>
      </c>
      <c r="B45" s="78" t="s">
        <v>10</v>
      </c>
      <c r="C45" s="78" t="s">
        <v>11</v>
      </c>
      <c r="D45" s="78" t="s">
        <v>69</v>
      </c>
      <c r="E45" s="77"/>
      <c r="F45" s="79"/>
      <c r="G45" s="80"/>
      <c r="H45" s="81">
        <f t="shared" si="0"/>
        <v>0</v>
      </c>
      <c r="I45" s="82"/>
      <c r="J45" s="77"/>
      <c r="K45" s="100">
        <v>1</v>
      </c>
      <c r="L45" s="101">
        <v>1</v>
      </c>
      <c r="M45" s="85">
        <f t="shared" si="1"/>
        <v>1</v>
      </c>
      <c r="N45" s="78" t="s">
        <v>1063</v>
      </c>
      <c r="O45" s="77"/>
      <c r="P45" s="79"/>
      <c r="Q45" s="80"/>
      <c r="R45" s="81">
        <f t="shared" si="2"/>
        <v>0</v>
      </c>
      <c r="S45" s="82"/>
      <c r="T45" s="77"/>
      <c r="U45" s="79"/>
      <c r="V45" s="80"/>
      <c r="W45" s="81">
        <f t="shared" si="3"/>
        <v>0</v>
      </c>
      <c r="X45" s="82"/>
      <c r="Y45" s="77"/>
      <c r="Z45" s="79"/>
      <c r="AA45" s="80"/>
      <c r="AB45" s="81">
        <f t="shared" si="4"/>
        <v>0</v>
      </c>
      <c r="AC45" s="82"/>
      <c r="AD45" s="77"/>
      <c r="AE45" s="79"/>
      <c r="AF45" s="80"/>
      <c r="AG45" s="81">
        <f t="shared" si="5"/>
        <v>0</v>
      </c>
      <c r="AH45" s="82"/>
      <c r="AI45" s="77"/>
      <c r="AJ45" s="100">
        <v>1</v>
      </c>
      <c r="AK45" s="101">
        <v>0.7</v>
      </c>
      <c r="AL45" s="85">
        <f t="shared" si="6"/>
        <v>0.7</v>
      </c>
      <c r="AM45" s="78" t="s">
        <v>1409</v>
      </c>
      <c r="AO45" s="88"/>
      <c r="AP45" s="89"/>
      <c r="AQ45" s="90">
        <f t="shared" si="7"/>
        <v>0</v>
      </c>
      <c r="AR45" s="91"/>
    </row>
    <row r="46" spans="1:44" ht="110.25" x14ac:dyDescent="0.25">
      <c r="A46" s="77">
        <v>43</v>
      </c>
      <c r="B46" s="78" t="s">
        <v>10</v>
      </c>
      <c r="C46" s="78" t="s">
        <v>11</v>
      </c>
      <c r="D46" s="78" t="s">
        <v>70</v>
      </c>
      <c r="E46" s="77"/>
      <c r="F46" s="79"/>
      <c r="G46" s="80"/>
      <c r="H46" s="81">
        <f t="shared" si="0"/>
        <v>0</v>
      </c>
      <c r="I46" s="82"/>
      <c r="J46" s="77"/>
      <c r="K46" s="100">
        <v>1</v>
      </c>
      <c r="L46" s="101">
        <v>1</v>
      </c>
      <c r="M46" s="85">
        <f t="shared" si="1"/>
        <v>1</v>
      </c>
      <c r="N46" s="78" t="s">
        <v>1083</v>
      </c>
      <c r="O46" s="77"/>
      <c r="P46" s="79"/>
      <c r="Q46" s="80"/>
      <c r="R46" s="81">
        <f t="shared" si="2"/>
        <v>0</v>
      </c>
      <c r="S46" s="82"/>
      <c r="T46" s="77"/>
      <c r="U46" s="79"/>
      <c r="V46" s="80"/>
      <c r="W46" s="81">
        <f t="shared" si="3"/>
        <v>0</v>
      </c>
      <c r="X46" s="82"/>
      <c r="Y46" s="77"/>
      <c r="Z46" s="79"/>
      <c r="AA46" s="80"/>
      <c r="AB46" s="81">
        <f t="shared" si="4"/>
        <v>0</v>
      </c>
      <c r="AC46" s="82"/>
      <c r="AD46" s="77"/>
      <c r="AE46" s="79"/>
      <c r="AF46" s="80"/>
      <c r="AG46" s="81">
        <f t="shared" si="5"/>
        <v>0</v>
      </c>
      <c r="AH46" s="82"/>
      <c r="AI46" s="77"/>
      <c r="AJ46" s="100">
        <v>1</v>
      </c>
      <c r="AK46" s="101">
        <v>0.73</v>
      </c>
      <c r="AL46" s="85">
        <f t="shared" si="6"/>
        <v>0.73</v>
      </c>
      <c r="AM46" s="78" t="s">
        <v>1479</v>
      </c>
      <c r="AO46" s="88"/>
      <c r="AP46" s="89"/>
      <c r="AQ46" s="90">
        <f t="shared" si="7"/>
        <v>0</v>
      </c>
      <c r="AR46" s="91"/>
    </row>
    <row r="47" spans="1:44" ht="63" x14ac:dyDescent="0.25">
      <c r="A47" s="77">
        <v>44</v>
      </c>
      <c r="B47" s="78" t="s">
        <v>10</v>
      </c>
      <c r="C47" s="78" t="s">
        <v>11</v>
      </c>
      <c r="D47" s="78" t="s">
        <v>12</v>
      </c>
      <c r="E47" s="77"/>
      <c r="F47" s="79"/>
      <c r="G47" s="80"/>
      <c r="H47" s="81">
        <f t="shared" si="0"/>
        <v>0</v>
      </c>
      <c r="I47" s="82"/>
      <c r="J47" s="77"/>
      <c r="K47" s="100">
        <v>1</v>
      </c>
      <c r="L47" s="101">
        <v>1</v>
      </c>
      <c r="M47" s="85">
        <f t="shared" si="1"/>
        <v>1</v>
      </c>
      <c r="N47" s="78" t="s">
        <v>1062</v>
      </c>
      <c r="O47" s="77"/>
      <c r="P47" s="79"/>
      <c r="Q47" s="80"/>
      <c r="R47" s="81">
        <f t="shared" si="2"/>
        <v>0</v>
      </c>
      <c r="S47" s="82"/>
      <c r="T47" s="77"/>
      <c r="U47" s="79"/>
      <c r="V47" s="80"/>
      <c r="W47" s="81">
        <f t="shared" si="3"/>
        <v>0</v>
      </c>
      <c r="X47" s="82"/>
      <c r="Y47" s="77"/>
      <c r="Z47" s="79"/>
      <c r="AA47" s="80"/>
      <c r="AB47" s="81">
        <f t="shared" si="4"/>
        <v>0</v>
      </c>
      <c r="AC47" s="82"/>
      <c r="AD47" s="77"/>
      <c r="AE47" s="79"/>
      <c r="AF47" s="80"/>
      <c r="AG47" s="81">
        <f t="shared" si="5"/>
        <v>0</v>
      </c>
      <c r="AH47" s="82"/>
      <c r="AI47" s="77"/>
      <c r="AJ47" s="100">
        <v>1</v>
      </c>
      <c r="AK47" s="101">
        <v>0.5</v>
      </c>
      <c r="AL47" s="85">
        <f t="shared" si="6"/>
        <v>0.5</v>
      </c>
      <c r="AM47" s="78" t="s">
        <v>1414</v>
      </c>
      <c r="AO47" s="88"/>
      <c r="AP47" s="89"/>
      <c r="AQ47" s="90">
        <f t="shared" si="7"/>
        <v>0</v>
      </c>
      <c r="AR47" s="91"/>
    </row>
    <row r="48" spans="1:44" ht="94.5" x14ac:dyDescent="0.25">
      <c r="A48" s="77">
        <v>45</v>
      </c>
      <c r="B48" s="78" t="s">
        <v>10</v>
      </c>
      <c r="C48" s="78" t="s">
        <v>71</v>
      </c>
      <c r="D48" s="78" t="s">
        <v>72</v>
      </c>
      <c r="E48" s="77"/>
      <c r="F48" s="79"/>
      <c r="G48" s="80"/>
      <c r="H48" s="81">
        <f t="shared" si="0"/>
        <v>0</v>
      </c>
      <c r="I48" s="82"/>
      <c r="J48" s="77"/>
      <c r="K48" s="100">
        <v>1</v>
      </c>
      <c r="L48" s="101">
        <v>1</v>
      </c>
      <c r="M48" s="85">
        <f t="shared" si="1"/>
        <v>1</v>
      </c>
      <c r="N48" s="78" t="s">
        <v>1082</v>
      </c>
      <c r="O48" s="77"/>
      <c r="P48" s="79"/>
      <c r="Q48" s="80"/>
      <c r="R48" s="81">
        <f t="shared" si="2"/>
        <v>0</v>
      </c>
      <c r="S48" s="82"/>
      <c r="T48" s="77"/>
      <c r="U48" s="79"/>
      <c r="V48" s="80"/>
      <c r="W48" s="81">
        <f t="shared" si="3"/>
        <v>0</v>
      </c>
      <c r="X48" s="82"/>
      <c r="Y48" s="77"/>
      <c r="Z48" s="79"/>
      <c r="AA48" s="80"/>
      <c r="AB48" s="81">
        <f t="shared" si="4"/>
        <v>0</v>
      </c>
      <c r="AC48" s="82"/>
      <c r="AD48" s="77"/>
      <c r="AE48" s="79"/>
      <c r="AF48" s="80"/>
      <c r="AG48" s="81">
        <f t="shared" si="5"/>
        <v>0</v>
      </c>
      <c r="AH48" s="82"/>
      <c r="AI48" s="77"/>
      <c r="AJ48" s="100">
        <v>1</v>
      </c>
      <c r="AK48" s="101">
        <v>0.7</v>
      </c>
      <c r="AL48" s="85">
        <f t="shared" si="6"/>
        <v>0.7</v>
      </c>
      <c r="AM48" s="78" t="s">
        <v>1538</v>
      </c>
      <c r="AO48" s="88"/>
      <c r="AP48" s="89"/>
      <c r="AQ48" s="90">
        <f t="shared" si="7"/>
        <v>0</v>
      </c>
      <c r="AR48" s="91"/>
    </row>
    <row r="49" spans="1:44" ht="47.25" x14ac:dyDescent="0.25">
      <c r="A49" s="77">
        <v>46</v>
      </c>
      <c r="B49" s="78" t="s">
        <v>10</v>
      </c>
      <c r="C49" s="78" t="s">
        <v>11</v>
      </c>
      <c r="D49" s="78" t="s">
        <v>13</v>
      </c>
      <c r="E49" s="77"/>
      <c r="F49" s="79"/>
      <c r="G49" s="80"/>
      <c r="H49" s="81">
        <f t="shared" si="0"/>
        <v>0</v>
      </c>
      <c r="I49" s="82"/>
      <c r="J49" s="77"/>
      <c r="K49" s="100">
        <v>1</v>
      </c>
      <c r="L49" s="101">
        <v>1</v>
      </c>
      <c r="M49" s="85">
        <f t="shared" si="1"/>
        <v>1</v>
      </c>
      <c r="N49" s="78" t="s">
        <v>1060</v>
      </c>
      <c r="O49" s="77"/>
      <c r="P49" s="79"/>
      <c r="Q49" s="80"/>
      <c r="R49" s="81">
        <f t="shared" si="2"/>
        <v>0</v>
      </c>
      <c r="S49" s="82"/>
      <c r="T49" s="77"/>
      <c r="U49" s="79"/>
      <c r="V49" s="80"/>
      <c r="W49" s="81">
        <f t="shared" si="3"/>
        <v>0</v>
      </c>
      <c r="X49" s="82"/>
      <c r="Y49" s="77"/>
      <c r="Z49" s="79"/>
      <c r="AA49" s="80"/>
      <c r="AB49" s="81">
        <f t="shared" si="4"/>
        <v>0</v>
      </c>
      <c r="AC49" s="82"/>
      <c r="AD49" s="77"/>
      <c r="AE49" s="79"/>
      <c r="AF49" s="80"/>
      <c r="AG49" s="81">
        <f t="shared" si="5"/>
        <v>0</v>
      </c>
      <c r="AH49" s="82"/>
      <c r="AI49" s="77"/>
      <c r="AJ49" s="100">
        <v>1</v>
      </c>
      <c r="AK49" s="101">
        <v>1</v>
      </c>
      <c r="AL49" s="85">
        <f t="shared" si="6"/>
        <v>1</v>
      </c>
      <c r="AM49" s="78" t="s">
        <v>1072</v>
      </c>
      <c r="AO49" s="88"/>
      <c r="AP49" s="89"/>
      <c r="AQ49" s="90">
        <f t="shared" si="7"/>
        <v>0</v>
      </c>
      <c r="AR49" s="91"/>
    </row>
    <row r="50" spans="1:44" ht="189" x14ac:dyDescent="0.25">
      <c r="A50" s="77">
        <v>47</v>
      </c>
      <c r="B50" s="78" t="s">
        <v>14</v>
      </c>
      <c r="C50" s="78" t="s">
        <v>14</v>
      </c>
      <c r="D50" s="78" t="s">
        <v>15</v>
      </c>
      <c r="E50" s="77"/>
      <c r="F50" s="79"/>
      <c r="G50" s="80"/>
      <c r="H50" s="81">
        <f t="shared" si="0"/>
        <v>0</v>
      </c>
      <c r="I50" s="82"/>
      <c r="J50" s="77"/>
      <c r="K50" s="100">
        <v>1</v>
      </c>
      <c r="L50" s="101">
        <v>1</v>
      </c>
      <c r="M50" s="85">
        <f t="shared" si="1"/>
        <v>1</v>
      </c>
      <c r="N50" s="78" t="s">
        <v>1087</v>
      </c>
      <c r="O50" s="77"/>
      <c r="P50" s="79"/>
      <c r="Q50" s="80"/>
      <c r="R50" s="81">
        <f t="shared" si="2"/>
        <v>0</v>
      </c>
      <c r="S50" s="82"/>
      <c r="T50" s="77"/>
      <c r="U50" s="79"/>
      <c r="V50" s="80"/>
      <c r="W50" s="81">
        <f t="shared" si="3"/>
        <v>0</v>
      </c>
      <c r="X50" s="82"/>
      <c r="Y50" s="77"/>
      <c r="Z50" s="79"/>
      <c r="AA50" s="80"/>
      <c r="AB50" s="81">
        <f t="shared" si="4"/>
        <v>0</v>
      </c>
      <c r="AC50" s="82"/>
      <c r="AD50" s="77"/>
      <c r="AE50" s="79"/>
      <c r="AF50" s="80"/>
      <c r="AG50" s="81">
        <f t="shared" si="5"/>
        <v>0</v>
      </c>
      <c r="AH50" s="82"/>
      <c r="AI50" s="77"/>
      <c r="AJ50" s="100">
        <v>1</v>
      </c>
      <c r="AK50" s="101">
        <v>0.35</v>
      </c>
      <c r="AL50" s="85">
        <f t="shared" si="6"/>
        <v>0.35</v>
      </c>
      <c r="AM50" s="78" t="s">
        <v>1168</v>
      </c>
      <c r="AO50" s="88"/>
      <c r="AP50" s="89"/>
      <c r="AQ50" s="90">
        <f t="shared" si="7"/>
        <v>0</v>
      </c>
      <c r="AR50" s="91"/>
    </row>
    <row r="51" spans="1:44" ht="142.5" customHeight="1" x14ac:dyDescent="0.25">
      <c r="A51" s="77">
        <v>48</v>
      </c>
      <c r="B51" s="78" t="s">
        <v>14</v>
      </c>
      <c r="C51" s="78" t="s">
        <v>14</v>
      </c>
      <c r="D51" s="78" t="s">
        <v>73</v>
      </c>
      <c r="E51" s="77"/>
      <c r="F51" s="79"/>
      <c r="G51" s="80"/>
      <c r="H51" s="81">
        <f t="shared" si="0"/>
        <v>0</v>
      </c>
      <c r="I51" s="82"/>
      <c r="J51" s="77"/>
      <c r="K51" s="100">
        <v>1</v>
      </c>
      <c r="L51" s="101">
        <v>0.65</v>
      </c>
      <c r="M51" s="85">
        <f t="shared" si="1"/>
        <v>0.65</v>
      </c>
      <c r="N51" s="78" t="s">
        <v>1166</v>
      </c>
      <c r="O51" s="77"/>
      <c r="P51" s="79"/>
      <c r="Q51" s="80"/>
      <c r="R51" s="81">
        <f t="shared" si="2"/>
        <v>0</v>
      </c>
      <c r="S51" s="82"/>
      <c r="T51" s="77"/>
      <c r="U51" s="79"/>
      <c r="V51" s="80"/>
      <c r="W51" s="81">
        <f t="shared" si="3"/>
        <v>0</v>
      </c>
      <c r="X51" s="82"/>
      <c r="Y51" s="77"/>
      <c r="Z51" s="79"/>
      <c r="AA51" s="80"/>
      <c r="AB51" s="81">
        <f t="shared" si="4"/>
        <v>0</v>
      </c>
      <c r="AC51" s="82"/>
      <c r="AD51" s="77"/>
      <c r="AE51" s="79"/>
      <c r="AF51" s="80"/>
      <c r="AG51" s="81">
        <f t="shared" si="5"/>
        <v>0</v>
      </c>
      <c r="AH51" s="82"/>
      <c r="AI51" s="77"/>
      <c r="AJ51" s="100">
        <v>1</v>
      </c>
      <c r="AK51" s="101">
        <v>0.15</v>
      </c>
      <c r="AL51" s="85">
        <f t="shared" si="6"/>
        <v>0.15</v>
      </c>
      <c r="AM51" s="78" t="s">
        <v>1169</v>
      </c>
      <c r="AO51" s="88"/>
      <c r="AP51" s="89"/>
      <c r="AQ51" s="90">
        <f t="shared" si="7"/>
        <v>0</v>
      </c>
      <c r="AR51" s="91"/>
    </row>
    <row r="52" spans="1:44" ht="124.5" customHeight="1" x14ac:dyDescent="0.25">
      <c r="A52" s="77">
        <v>49</v>
      </c>
      <c r="B52" s="78" t="s">
        <v>14</v>
      </c>
      <c r="C52" s="78" t="s">
        <v>14</v>
      </c>
      <c r="D52" s="78" t="s">
        <v>74</v>
      </c>
      <c r="E52" s="77"/>
      <c r="F52" s="79"/>
      <c r="G52" s="80"/>
      <c r="H52" s="81">
        <f t="shared" si="0"/>
        <v>0</v>
      </c>
      <c r="I52" s="82"/>
      <c r="J52" s="77"/>
      <c r="K52" s="100">
        <v>1</v>
      </c>
      <c r="L52" s="101">
        <v>0.7</v>
      </c>
      <c r="M52" s="85">
        <f t="shared" si="1"/>
        <v>0.7</v>
      </c>
      <c r="N52" s="78" t="s">
        <v>1167</v>
      </c>
      <c r="O52" s="77"/>
      <c r="P52" s="79"/>
      <c r="Q52" s="80"/>
      <c r="R52" s="81">
        <f t="shared" si="2"/>
        <v>0</v>
      </c>
      <c r="S52" s="82"/>
      <c r="T52" s="77"/>
      <c r="U52" s="79"/>
      <c r="V52" s="80"/>
      <c r="W52" s="81">
        <f t="shared" si="3"/>
        <v>0</v>
      </c>
      <c r="X52" s="82"/>
      <c r="Y52" s="77"/>
      <c r="Z52" s="79"/>
      <c r="AA52" s="80"/>
      <c r="AB52" s="81">
        <f t="shared" si="4"/>
        <v>0</v>
      </c>
      <c r="AC52" s="82"/>
      <c r="AD52" s="77"/>
      <c r="AE52" s="79"/>
      <c r="AF52" s="80"/>
      <c r="AG52" s="81">
        <f t="shared" si="5"/>
        <v>0</v>
      </c>
      <c r="AH52" s="82"/>
      <c r="AI52" s="77"/>
      <c r="AJ52" s="100">
        <v>1</v>
      </c>
      <c r="AK52" s="101">
        <v>0.2</v>
      </c>
      <c r="AL52" s="85">
        <f t="shared" si="6"/>
        <v>0.2</v>
      </c>
      <c r="AM52" s="78" t="s">
        <v>1170</v>
      </c>
      <c r="AO52" s="88"/>
      <c r="AP52" s="89"/>
      <c r="AQ52" s="90">
        <f t="shared" si="7"/>
        <v>0</v>
      </c>
      <c r="AR52" s="91"/>
    </row>
    <row r="53" spans="1:44" ht="138" customHeight="1" x14ac:dyDescent="0.25">
      <c r="A53" s="77">
        <v>50</v>
      </c>
      <c r="B53" s="78" t="s">
        <v>14</v>
      </c>
      <c r="C53" s="78" t="s">
        <v>14</v>
      </c>
      <c r="D53" s="78" t="s">
        <v>75</v>
      </c>
      <c r="E53" s="77"/>
      <c r="F53" s="79"/>
      <c r="G53" s="80"/>
      <c r="H53" s="81">
        <f t="shared" si="0"/>
        <v>0</v>
      </c>
      <c r="I53" s="82"/>
      <c r="J53" s="77"/>
      <c r="K53" s="100">
        <v>1</v>
      </c>
      <c r="L53" s="101">
        <v>1</v>
      </c>
      <c r="M53" s="85">
        <f t="shared" si="1"/>
        <v>1</v>
      </c>
      <c r="N53" s="78" t="s">
        <v>1087</v>
      </c>
      <c r="O53" s="77"/>
      <c r="P53" s="79"/>
      <c r="Q53" s="80"/>
      <c r="R53" s="81">
        <f t="shared" si="2"/>
        <v>0</v>
      </c>
      <c r="S53" s="82"/>
      <c r="T53" s="77"/>
      <c r="U53" s="79"/>
      <c r="V53" s="80"/>
      <c r="W53" s="81">
        <f t="shared" si="3"/>
        <v>0</v>
      </c>
      <c r="X53" s="82"/>
      <c r="Y53" s="77"/>
      <c r="Z53" s="79"/>
      <c r="AA53" s="80"/>
      <c r="AB53" s="81">
        <f t="shared" si="4"/>
        <v>0</v>
      </c>
      <c r="AC53" s="82"/>
      <c r="AD53" s="77"/>
      <c r="AE53" s="79"/>
      <c r="AF53" s="80"/>
      <c r="AG53" s="81">
        <f t="shared" si="5"/>
        <v>0</v>
      </c>
      <c r="AH53" s="82"/>
      <c r="AI53" s="77"/>
      <c r="AJ53" s="100">
        <v>1</v>
      </c>
      <c r="AK53" s="101">
        <v>0.55000000000000004</v>
      </c>
      <c r="AL53" s="85">
        <f t="shared" si="6"/>
        <v>0.55000000000000004</v>
      </c>
      <c r="AM53" s="78" t="s">
        <v>1128</v>
      </c>
      <c r="AO53" s="88"/>
      <c r="AP53" s="89"/>
      <c r="AQ53" s="90">
        <f t="shared" si="7"/>
        <v>0</v>
      </c>
      <c r="AR53" s="91"/>
    </row>
    <row r="54" spans="1:44" ht="109.5" customHeight="1" x14ac:dyDescent="0.25">
      <c r="A54" s="77">
        <v>51</v>
      </c>
      <c r="B54" s="78" t="s">
        <v>14</v>
      </c>
      <c r="C54" s="78" t="s">
        <v>14</v>
      </c>
      <c r="D54" s="78" t="s">
        <v>76</v>
      </c>
      <c r="E54" s="77"/>
      <c r="F54" s="79"/>
      <c r="G54" s="80"/>
      <c r="H54" s="81">
        <f t="shared" si="0"/>
        <v>0</v>
      </c>
      <c r="I54" s="82"/>
      <c r="J54" s="77"/>
      <c r="K54" s="100">
        <v>1</v>
      </c>
      <c r="L54" s="101">
        <v>1</v>
      </c>
      <c r="M54" s="85">
        <f t="shared" si="1"/>
        <v>1</v>
      </c>
      <c r="N54" s="78" t="s">
        <v>1087</v>
      </c>
      <c r="O54" s="77"/>
      <c r="P54" s="79"/>
      <c r="Q54" s="80"/>
      <c r="R54" s="81">
        <f t="shared" si="2"/>
        <v>0</v>
      </c>
      <c r="S54" s="82"/>
      <c r="T54" s="77"/>
      <c r="U54" s="79"/>
      <c r="V54" s="80"/>
      <c r="W54" s="81">
        <f t="shared" si="3"/>
        <v>0</v>
      </c>
      <c r="X54" s="82"/>
      <c r="Y54" s="77"/>
      <c r="Z54" s="79"/>
      <c r="AA54" s="80"/>
      <c r="AB54" s="81">
        <f t="shared" si="4"/>
        <v>0</v>
      </c>
      <c r="AC54" s="82"/>
      <c r="AD54" s="77"/>
      <c r="AE54" s="79"/>
      <c r="AF54" s="80"/>
      <c r="AG54" s="81">
        <f t="shared" si="5"/>
        <v>0</v>
      </c>
      <c r="AH54" s="82"/>
      <c r="AI54" s="77"/>
      <c r="AJ54" s="100">
        <v>1</v>
      </c>
      <c r="AK54" s="101">
        <v>0.5</v>
      </c>
      <c r="AL54" s="85">
        <f t="shared" si="6"/>
        <v>0.5</v>
      </c>
      <c r="AM54" s="78" t="s">
        <v>1161</v>
      </c>
      <c r="AO54" s="88"/>
      <c r="AP54" s="89"/>
      <c r="AQ54" s="90">
        <f t="shared" si="7"/>
        <v>0</v>
      </c>
      <c r="AR54" s="91"/>
    </row>
    <row r="55" spans="1:44" ht="267.75" x14ac:dyDescent="0.25">
      <c r="A55" s="77">
        <v>52</v>
      </c>
      <c r="B55" s="78" t="s">
        <v>14</v>
      </c>
      <c r="C55" s="78" t="s">
        <v>14</v>
      </c>
      <c r="D55" s="78" t="s">
        <v>77</v>
      </c>
      <c r="E55" s="77"/>
      <c r="F55" s="79"/>
      <c r="G55" s="80"/>
      <c r="H55" s="81">
        <f t="shared" si="0"/>
        <v>0</v>
      </c>
      <c r="I55" s="82"/>
      <c r="J55" s="77"/>
      <c r="K55" s="100">
        <v>1</v>
      </c>
      <c r="L55" s="101">
        <v>1</v>
      </c>
      <c r="M55" s="85">
        <f t="shared" si="1"/>
        <v>1</v>
      </c>
      <c r="N55" s="78" t="s">
        <v>1087</v>
      </c>
      <c r="O55" s="77"/>
      <c r="P55" s="79"/>
      <c r="Q55" s="80"/>
      <c r="R55" s="81">
        <f t="shared" si="2"/>
        <v>0</v>
      </c>
      <c r="S55" s="82"/>
      <c r="T55" s="77"/>
      <c r="U55" s="79"/>
      <c r="V55" s="80"/>
      <c r="W55" s="81">
        <f t="shared" si="3"/>
        <v>0</v>
      </c>
      <c r="X55" s="82"/>
      <c r="Y55" s="77"/>
      <c r="Z55" s="79"/>
      <c r="AA55" s="80"/>
      <c r="AB55" s="81">
        <f t="shared" si="4"/>
        <v>0</v>
      </c>
      <c r="AC55" s="82"/>
      <c r="AD55" s="77"/>
      <c r="AE55" s="79"/>
      <c r="AF55" s="80"/>
      <c r="AG55" s="81">
        <f t="shared" si="5"/>
        <v>0</v>
      </c>
      <c r="AH55" s="82"/>
      <c r="AI55" s="77"/>
      <c r="AJ55" s="100">
        <v>1</v>
      </c>
      <c r="AK55" s="101">
        <v>0.1</v>
      </c>
      <c r="AL55" s="85">
        <f t="shared" si="6"/>
        <v>0.1</v>
      </c>
      <c r="AM55" s="78" t="s">
        <v>1162</v>
      </c>
      <c r="AO55" s="88"/>
      <c r="AP55" s="89"/>
      <c r="AQ55" s="90">
        <f t="shared" si="7"/>
        <v>0</v>
      </c>
      <c r="AR55" s="91"/>
    </row>
    <row r="56" spans="1:44" ht="79.5" customHeight="1" x14ac:dyDescent="0.25">
      <c r="A56" s="77">
        <v>53</v>
      </c>
      <c r="B56" s="78" t="s">
        <v>14</v>
      </c>
      <c r="C56" s="78" t="s">
        <v>14</v>
      </c>
      <c r="D56" s="78" t="s">
        <v>78</v>
      </c>
      <c r="E56" s="77"/>
      <c r="F56" s="79">
        <v>1</v>
      </c>
      <c r="G56" s="80"/>
      <c r="H56" s="81">
        <f t="shared" si="0"/>
        <v>0</v>
      </c>
      <c r="I56" s="82"/>
      <c r="J56" s="77"/>
      <c r="K56" s="100">
        <v>1</v>
      </c>
      <c r="L56" s="101">
        <v>1</v>
      </c>
      <c r="M56" s="85">
        <f t="shared" si="1"/>
        <v>1</v>
      </c>
      <c r="N56" s="78" t="s">
        <v>1087</v>
      </c>
      <c r="O56" s="77"/>
      <c r="P56" s="79"/>
      <c r="Q56" s="80"/>
      <c r="R56" s="81">
        <f t="shared" si="2"/>
        <v>0</v>
      </c>
      <c r="S56" s="77"/>
      <c r="T56" s="77"/>
      <c r="U56" s="79"/>
      <c r="V56" s="80"/>
      <c r="W56" s="81">
        <f t="shared" si="3"/>
        <v>0</v>
      </c>
      <c r="X56" s="77"/>
      <c r="Y56" s="77"/>
      <c r="Z56" s="79"/>
      <c r="AA56" s="80"/>
      <c r="AB56" s="81">
        <f t="shared" si="4"/>
        <v>0</v>
      </c>
      <c r="AC56" s="77"/>
      <c r="AD56" s="77"/>
      <c r="AE56" s="79"/>
      <c r="AF56" s="80"/>
      <c r="AG56" s="81">
        <f t="shared" si="5"/>
        <v>0</v>
      </c>
      <c r="AH56" s="77"/>
      <c r="AI56" s="77"/>
      <c r="AJ56" s="100">
        <v>1</v>
      </c>
      <c r="AK56" s="101">
        <v>1</v>
      </c>
      <c r="AL56" s="85">
        <f t="shared" si="6"/>
        <v>1</v>
      </c>
      <c r="AM56" s="78" t="s">
        <v>1087</v>
      </c>
      <c r="AO56" s="88"/>
      <c r="AP56" s="89"/>
      <c r="AQ56" s="90">
        <f t="shared" si="7"/>
        <v>0</v>
      </c>
      <c r="AR56" s="108"/>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AK4:AK15" xr:uid="{4AFA3207-7AE4-4D0F-84FC-BE7388A8455F}">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4C4607C-69B6-49F2-8087-13EF6939FF05}">
          <x14:formula1>
            <xm:f>'C:\Users\michele.cerqueira\AppData\Local\Microsoft\Windows\INetCache\Content.Outlook\CUTOBPMD\[ESTUDOS DE MERCADO - AVALIAÇÕES FINAIS.xlsx]Parâmetros'!#REF!</xm:f>
          </x14:formula1>
          <xm:sqref>K4:K15 AJ4:AJ15</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R56"/>
  <sheetViews>
    <sheetView zoomScale="70" zoomScaleNormal="70" workbookViewId="0">
      <pane xSplit="4" ySplit="3" topLeftCell="E8" activePane="bottomRight" state="frozen"/>
      <selection pane="topRight" activeCell="E1" sqref="E1"/>
      <selection pane="bottomLeft" activeCell="A4" sqref="A4"/>
      <selection pane="bottomRight" activeCell="N10" sqref="N10"/>
    </sheetView>
  </sheetViews>
  <sheetFormatPr defaultRowHeight="15" x14ac:dyDescent="0.25"/>
  <cols>
    <col min="1" max="1" width="4.42578125" style="73" customWidth="1"/>
    <col min="2" max="2" width="16.5703125" style="74" bestFit="1" customWidth="1"/>
    <col min="3" max="3" width="20.7109375" style="74" customWidth="1"/>
    <col min="4" max="4" width="69" style="74" customWidth="1"/>
    <col min="5" max="5" width="2.42578125" style="74" customWidth="1"/>
    <col min="6" max="6" width="20.140625" style="74" hidden="1" customWidth="1"/>
    <col min="7" max="7" width="14.28515625" style="74" hidden="1" customWidth="1"/>
    <col min="8" max="8" width="0" style="74" hidden="1" customWidth="1"/>
    <col min="9" max="9" width="52.85546875" style="110" hidden="1" customWidth="1"/>
    <col min="10" max="10" width="1.85546875" style="74" hidden="1" customWidth="1"/>
    <col min="11" max="11" width="20.140625" style="75" bestFit="1" customWidth="1"/>
    <col min="12" max="12" width="14.28515625" style="75" bestFit="1" customWidth="1"/>
    <col min="13" max="13" width="9.140625" style="75"/>
    <col min="14" max="14" width="103.28515625" style="74" customWidth="1"/>
    <col min="15" max="15" width="1.28515625" style="74" customWidth="1"/>
    <col min="16" max="35" width="1.28515625" style="74" hidden="1" customWidth="1"/>
    <col min="36" max="36" width="14.5703125" style="75" customWidth="1"/>
    <col min="37" max="37" width="11" style="75" customWidth="1"/>
    <col min="38" max="38" width="9.140625" style="75"/>
    <col min="39" max="39" width="105.28515625" style="74" customWidth="1"/>
    <col min="40" max="40" width="0" style="74" hidden="1" customWidth="1"/>
    <col min="41" max="41" width="16.28515625" style="74" hidden="1" customWidth="1"/>
    <col min="42" max="43" width="0" style="74" hidden="1" customWidth="1"/>
    <col min="44" max="44" width="62.28515625" style="74" hidden="1" customWidth="1"/>
    <col min="45" max="46" width="0" style="74" hidden="1" customWidth="1"/>
    <col min="47" max="16384" width="9.140625" style="74"/>
  </cols>
  <sheetData>
    <row r="1" spans="1:44" x14ac:dyDescent="0.25">
      <c r="I1" s="74"/>
    </row>
    <row r="2" spans="1:44" ht="39.75" customHeight="1" x14ac:dyDescent="0.25">
      <c r="B2" s="233" t="s">
        <v>16</v>
      </c>
      <c r="C2" s="233"/>
      <c r="D2" s="233"/>
      <c r="F2" s="232" t="s">
        <v>121</v>
      </c>
      <c r="G2" s="232"/>
      <c r="H2" s="232"/>
      <c r="I2" s="232"/>
      <c r="K2" s="234" t="s">
        <v>119</v>
      </c>
      <c r="L2" s="235"/>
      <c r="M2" s="235"/>
      <c r="N2" s="236"/>
      <c r="P2" s="232" t="s">
        <v>120</v>
      </c>
      <c r="Q2" s="232"/>
      <c r="R2" s="232"/>
      <c r="S2" s="232"/>
      <c r="U2" s="232" t="s">
        <v>122</v>
      </c>
      <c r="V2" s="232"/>
      <c r="W2" s="232"/>
      <c r="X2" s="232"/>
      <c r="Z2" s="232" t="s">
        <v>123</v>
      </c>
      <c r="AA2" s="232"/>
      <c r="AB2" s="232"/>
      <c r="AC2" s="232"/>
      <c r="AE2" s="232" t="s">
        <v>124</v>
      </c>
      <c r="AF2" s="232"/>
      <c r="AG2" s="232"/>
      <c r="AH2" s="232"/>
      <c r="AJ2" s="233" t="s">
        <v>125</v>
      </c>
      <c r="AK2" s="233"/>
      <c r="AL2" s="233"/>
      <c r="AM2" s="233"/>
      <c r="AO2" s="232" t="s">
        <v>126</v>
      </c>
      <c r="AP2" s="232"/>
      <c r="AQ2" s="232"/>
      <c r="AR2" s="232"/>
    </row>
    <row r="3" spans="1:44" ht="61.5" customHeight="1" x14ac:dyDescent="0.25">
      <c r="B3" s="66" t="s">
        <v>0</v>
      </c>
      <c r="C3" s="66" t="s">
        <v>1</v>
      </c>
      <c r="D3" s="66" t="s">
        <v>2</v>
      </c>
      <c r="F3" s="67" t="s">
        <v>17</v>
      </c>
      <c r="G3" s="67" t="s">
        <v>18</v>
      </c>
      <c r="H3" s="67" t="s">
        <v>21</v>
      </c>
      <c r="I3" s="67" t="s">
        <v>19</v>
      </c>
      <c r="K3" s="70" t="s">
        <v>17</v>
      </c>
      <c r="L3" s="70" t="s">
        <v>18</v>
      </c>
      <c r="M3" s="70" t="s">
        <v>21</v>
      </c>
      <c r="N3" s="67" t="s">
        <v>19</v>
      </c>
      <c r="P3" s="67" t="s">
        <v>17</v>
      </c>
      <c r="Q3" s="67" t="s">
        <v>18</v>
      </c>
      <c r="R3" s="67" t="s">
        <v>21</v>
      </c>
      <c r="S3" s="67" t="s">
        <v>19</v>
      </c>
      <c r="U3" s="67" t="s">
        <v>17</v>
      </c>
      <c r="V3" s="67" t="s">
        <v>18</v>
      </c>
      <c r="W3" s="67" t="s">
        <v>21</v>
      </c>
      <c r="X3" s="67" t="s">
        <v>19</v>
      </c>
      <c r="Z3" s="67" t="s">
        <v>17</v>
      </c>
      <c r="AA3" s="67" t="s">
        <v>18</v>
      </c>
      <c r="AB3" s="67" t="s">
        <v>21</v>
      </c>
      <c r="AC3" s="67" t="s">
        <v>19</v>
      </c>
      <c r="AE3" s="67" t="s">
        <v>17</v>
      </c>
      <c r="AF3" s="67" t="s">
        <v>18</v>
      </c>
      <c r="AG3" s="67" t="s">
        <v>21</v>
      </c>
      <c r="AH3" s="67" t="s">
        <v>19</v>
      </c>
      <c r="AJ3" s="70" t="s">
        <v>17</v>
      </c>
      <c r="AK3" s="70" t="s">
        <v>18</v>
      </c>
      <c r="AL3" s="70" t="s">
        <v>21</v>
      </c>
      <c r="AM3" s="67" t="s">
        <v>19</v>
      </c>
      <c r="AO3" s="2" t="s">
        <v>17</v>
      </c>
      <c r="AP3" s="2" t="s">
        <v>18</v>
      </c>
      <c r="AQ3" s="2" t="s">
        <v>21</v>
      </c>
      <c r="AR3" s="2" t="s">
        <v>19</v>
      </c>
    </row>
    <row r="4" spans="1:44" ht="173.25" x14ac:dyDescent="0.25">
      <c r="A4" s="77">
        <v>1</v>
      </c>
      <c r="B4" s="78" t="s">
        <v>3</v>
      </c>
      <c r="C4" s="78" t="s">
        <v>4</v>
      </c>
      <c r="D4" s="78" t="s">
        <v>127</v>
      </c>
      <c r="E4" s="77"/>
      <c r="F4" s="79">
        <v>1</v>
      </c>
      <c r="G4" s="80"/>
      <c r="H4" s="81">
        <f>F4*G4</f>
        <v>0</v>
      </c>
      <c r="I4" s="82"/>
      <c r="J4" s="77"/>
      <c r="K4" s="83">
        <v>1</v>
      </c>
      <c r="L4" s="84">
        <v>0.99</v>
      </c>
      <c r="M4" s="85">
        <f>K4*L4</f>
        <v>0.99</v>
      </c>
      <c r="N4" s="86" t="s">
        <v>1197</v>
      </c>
      <c r="O4" s="77"/>
      <c r="P4" s="79"/>
      <c r="Q4" s="80"/>
      <c r="R4" s="81">
        <f>P4*Q4</f>
        <v>0</v>
      </c>
      <c r="S4" s="82"/>
      <c r="T4" s="77"/>
      <c r="U4" s="79"/>
      <c r="V4" s="80"/>
      <c r="W4" s="81">
        <f>U4*V4</f>
        <v>0</v>
      </c>
      <c r="X4" s="82"/>
      <c r="Y4" s="77"/>
      <c r="Z4" s="79"/>
      <c r="AA4" s="80"/>
      <c r="AB4" s="81">
        <f>Z4*AA4</f>
        <v>0</v>
      </c>
      <c r="AC4" s="82"/>
      <c r="AD4" s="77"/>
      <c r="AE4" s="79"/>
      <c r="AF4" s="80"/>
      <c r="AG4" s="81">
        <f>AE4*AF4</f>
        <v>0</v>
      </c>
      <c r="AH4" s="82"/>
      <c r="AI4" s="77"/>
      <c r="AJ4" s="83">
        <v>1</v>
      </c>
      <c r="AK4" s="84">
        <v>0.4</v>
      </c>
      <c r="AL4" s="85">
        <f>AJ4*AK4</f>
        <v>0.4</v>
      </c>
      <c r="AM4" s="87" t="s">
        <v>1443</v>
      </c>
      <c r="AO4" s="88"/>
      <c r="AP4" s="89"/>
      <c r="AQ4" s="90">
        <f>AO4*AP4</f>
        <v>0</v>
      </c>
      <c r="AR4" s="91"/>
    </row>
    <row r="5" spans="1:44" ht="78.75" x14ac:dyDescent="0.25">
      <c r="A5" s="77">
        <v>2</v>
      </c>
      <c r="B5" s="78" t="s">
        <v>3</v>
      </c>
      <c r="C5" s="78" t="s">
        <v>4</v>
      </c>
      <c r="D5" s="78" t="s">
        <v>33</v>
      </c>
      <c r="E5" s="77"/>
      <c r="F5" s="79">
        <v>1</v>
      </c>
      <c r="G5" s="80"/>
      <c r="H5" s="81">
        <f t="shared" ref="H5:H56" si="0">F5*G5</f>
        <v>0</v>
      </c>
      <c r="I5" s="82"/>
      <c r="J5" s="77"/>
      <c r="K5" s="92">
        <v>1</v>
      </c>
      <c r="L5" s="93">
        <v>0.95</v>
      </c>
      <c r="M5" s="85">
        <f t="shared" ref="M5:M56" si="1">K5*L5</f>
        <v>0.95</v>
      </c>
      <c r="N5" s="94" t="s">
        <v>1179</v>
      </c>
      <c r="O5" s="77"/>
      <c r="P5" s="79"/>
      <c r="Q5" s="80"/>
      <c r="R5" s="81">
        <f t="shared" ref="R5:R56" si="2">P5*Q5</f>
        <v>0</v>
      </c>
      <c r="S5" s="82"/>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92">
        <v>1</v>
      </c>
      <c r="AK5" s="93">
        <v>0.6</v>
      </c>
      <c r="AL5" s="85">
        <f t="shared" ref="AL5:AL56" si="6">AJ5*AK5</f>
        <v>0.6</v>
      </c>
      <c r="AM5" s="95" t="s">
        <v>1420</v>
      </c>
      <c r="AO5" s="88"/>
      <c r="AP5" s="89"/>
      <c r="AQ5" s="90">
        <f t="shared" ref="AQ5:AQ56" si="7">AO5*AP5</f>
        <v>0</v>
      </c>
      <c r="AR5" s="91"/>
    </row>
    <row r="6" spans="1:44" ht="78.75" x14ac:dyDescent="0.25">
      <c r="A6" s="77">
        <v>3</v>
      </c>
      <c r="B6" s="78" t="s">
        <v>3</v>
      </c>
      <c r="C6" s="78" t="s">
        <v>4</v>
      </c>
      <c r="D6" s="78" t="s">
        <v>128</v>
      </c>
      <c r="E6" s="77"/>
      <c r="F6" s="79"/>
      <c r="G6" s="80"/>
      <c r="H6" s="81">
        <f t="shared" si="0"/>
        <v>0</v>
      </c>
      <c r="I6" s="82"/>
      <c r="J6" s="77"/>
      <c r="K6" s="83">
        <v>1</v>
      </c>
      <c r="L6" s="84">
        <v>1</v>
      </c>
      <c r="M6" s="85">
        <f t="shared" si="1"/>
        <v>1</v>
      </c>
      <c r="N6" s="86"/>
      <c r="O6" s="77"/>
      <c r="P6" s="79"/>
      <c r="Q6" s="80"/>
      <c r="R6" s="81">
        <f t="shared" si="2"/>
        <v>0</v>
      </c>
      <c r="S6" s="82"/>
      <c r="T6" s="77"/>
      <c r="U6" s="79"/>
      <c r="V6" s="80"/>
      <c r="W6" s="81">
        <f t="shared" si="3"/>
        <v>0</v>
      </c>
      <c r="X6" s="82"/>
      <c r="Y6" s="77"/>
      <c r="Z6" s="79"/>
      <c r="AA6" s="80"/>
      <c r="AB6" s="81">
        <f t="shared" si="4"/>
        <v>0</v>
      </c>
      <c r="AC6" s="82"/>
      <c r="AD6" s="77"/>
      <c r="AE6" s="79"/>
      <c r="AF6" s="80"/>
      <c r="AG6" s="81">
        <f t="shared" si="5"/>
        <v>0</v>
      </c>
      <c r="AH6" s="82"/>
      <c r="AI6" s="77"/>
      <c r="AJ6" s="83">
        <v>1</v>
      </c>
      <c r="AK6" s="84">
        <v>0.85</v>
      </c>
      <c r="AL6" s="85">
        <f t="shared" si="6"/>
        <v>0.85</v>
      </c>
      <c r="AM6" s="87" t="s">
        <v>1240</v>
      </c>
      <c r="AO6" s="88"/>
      <c r="AP6" s="89"/>
      <c r="AQ6" s="90">
        <f t="shared" si="7"/>
        <v>0</v>
      </c>
      <c r="AR6" s="91"/>
    </row>
    <row r="7" spans="1:44" ht="63" x14ac:dyDescent="0.25">
      <c r="A7" s="77">
        <v>4</v>
      </c>
      <c r="B7" s="78" t="s">
        <v>3</v>
      </c>
      <c r="C7" s="78" t="s">
        <v>4</v>
      </c>
      <c r="D7" s="78" t="s">
        <v>34</v>
      </c>
      <c r="E7" s="77"/>
      <c r="F7" s="79"/>
      <c r="G7" s="80"/>
      <c r="H7" s="81">
        <f t="shared" si="0"/>
        <v>0</v>
      </c>
      <c r="I7" s="82"/>
      <c r="J7" s="77"/>
      <c r="K7" s="92">
        <v>1</v>
      </c>
      <c r="L7" s="93">
        <v>0.94499999999999995</v>
      </c>
      <c r="M7" s="85">
        <f t="shared" si="1"/>
        <v>0.94499999999999995</v>
      </c>
      <c r="N7" s="94" t="s">
        <v>1546</v>
      </c>
      <c r="O7" s="77"/>
      <c r="P7" s="79"/>
      <c r="Q7" s="80"/>
      <c r="R7" s="81">
        <f t="shared" si="2"/>
        <v>0</v>
      </c>
      <c r="S7" s="82"/>
      <c r="T7" s="77"/>
      <c r="U7" s="79"/>
      <c r="V7" s="80"/>
      <c r="W7" s="81">
        <f t="shared" si="3"/>
        <v>0</v>
      </c>
      <c r="X7" s="82"/>
      <c r="Y7" s="77"/>
      <c r="Z7" s="79"/>
      <c r="AA7" s="80"/>
      <c r="AB7" s="81">
        <f t="shared" si="4"/>
        <v>0</v>
      </c>
      <c r="AC7" s="82"/>
      <c r="AD7" s="77"/>
      <c r="AE7" s="79"/>
      <c r="AF7" s="80"/>
      <c r="AG7" s="81">
        <f t="shared" si="5"/>
        <v>0</v>
      </c>
      <c r="AH7" s="82"/>
      <c r="AI7" s="77"/>
      <c r="AJ7" s="92">
        <v>1</v>
      </c>
      <c r="AK7" s="93">
        <v>0.93</v>
      </c>
      <c r="AL7" s="85">
        <f t="shared" si="6"/>
        <v>0.93</v>
      </c>
      <c r="AM7" s="95" t="s">
        <v>1254</v>
      </c>
      <c r="AO7" s="88"/>
      <c r="AP7" s="89"/>
      <c r="AQ7" s="90">
        <f t="shared" si="7"/>
        <v>0</v>
      </c>
      <c r="AR7" s="91"/>
    </row>
    <row r="8" spans="1:44" ht="141.75" x14ac:dyDescent="0.25">
      <c r="A8" s="77">
        <v>5</v>
      </c>
      <c r="B8" s="78" t="s">
        <v>3</v>
      </c>
      <c r="C8" s="78" t="s">
        <v>4</v>
      </c>
      <c r="D8" s="78" t="s">
        <v>35</v>
      </c>
      <c r="E8" s="77"/>
      <c r="F8" s="79"/>
      <c r="G8" s="80"/>
      <c r="H8" s="81">
        <f t="shared" si="0"/>
        <v>0</v>
      </c>
      <c r="I8" s="82"/>
      <c r="J8" s="77"/>
      <c r="K8" s="83">
        <v>1</v>
      </c>
      <c r="L8" s="84">
        <v>0.7</v>
      </c>
      <c r="M8" s="85">
        <f t="shared" si="1"/>
        <v>0.7</v>
      </c>
      <c r="N8" s="86" t="s">
        <v>1180</v>
      </c>
      <c r="O8" s="77"/>
      <c r="P8" s="79"/>
      <c r="Q8" s="80"/>
      <c r="R8" s="81">
        <f t="shared" si="2"/>
        <v>0</v>
      </c>
      <c r="S8" s="78"/>
      <c r="T8" s="77"/>
      <c r="U8" s="79"/>
      <c r="V8" s="80"/>
      <c r="W8" s="81">
        <f t="shared" si="3"/>
        <v>0</v>
      </c>
      <c r="X8" s="78"/>
      <c r="Y8" s="77"/>
      <c r="Z8" s="79"/>
      <c r="AA8" s="80"/>
      <c r="AB8" s="81">
        <f t="shared" si="4"/>
        <v>0</v>
      </c>
      <c r="AC8" s="78"/>
      <c r="AD8" s="77"/>
      <c r="AE8" s="79"/>
      <c r="AF8" s="80"/>
      <c r="AG8" s="81">
        <f t="shared" si="5"/>
        <v>0</v>
      </c>
      <c r="AH8" s="78"/>
      <c r="AI8" s="77"/>
      <c r="AJ8" s="83">
        <v>1</v>
      </c>
      <c r="AK8" s="84">
        <v>0.95</v>
      </c>
      <c r="AL8" s="85">
        <f t="shared" si="6"/>
        <v>0.95</v>
      </c>
      <c r="AM8" s="87" t="s">
        <v>1241</v>
      </c>
      <c r="AO8" s="88"/>
      <c r="AP8" s="89"/>
      <c r="AQ8" s="90">
        <f t="shared" si="7"/>
        <v>0</v>
      </c>
      <c r="AR8" s="96"/>
    </row>
    <row r="9" spans="1:44" ht="94.5" x14ac:dyDescent="0.25">
      <c r="A9" s="77">
        <v>6</v>
      </c>
      <c r="B9" s="78" t="s">
        <v>3</v>
      </c>
      <c r="C9" s="78" t="s">
        <v>4</v>
      </c>
      <c r="D9" s="78" t="s">
        <v>129</v>
      </c>
      <c r="E9" s="77"/>
      <c r="F9" s="79"/>
      <c r="G9" s="80"/>
      <c r="H9" s="81">
        <f t="shared" si="0"/>
        <v>0</v>
      </c>
      <c r="I9" s="78"/>
      <c r="J9" s="77"/>
      <c r="K9" s="92">
        <v>1</v>
      </c>
      <c r="L9" s="93">
        <v>0.79</v>
      </c>
      <c r="M9" s="85">
        <f t="shared" si="1"/>
        <v>0.79</v>
      </c>
      <c r="N9" s="94" t="s">
        <v>1631</v>
      </c>
      <c r="O9" s="77"/>
      <c r="P9" s="79"/>
      <c r="Q9" s="80"/>
      <c r="R9" s="81">
        <f t="shared" si="2"/>
        <v>0</v>
      </c>
      <c r="S9" s="78"/>
      <c r="T9" s="77"/>
      <c r="U9" s="79"/>
      <c r="V9" s="80"/>
      <c r="W9" s="81">
        <f t="shared" si="3"/>
        <v>0</v>
      </c>
      <c r="X9" s="78"/>
      <c r="Y9" s="77"/>
      <c r="Z9" s="79"/>
      <c r="AA9" s="80"/>
      <c r="AB9" s="81">
        <f t="shared" si="4"/>
        <v>0</v>
      </c>
      <c r="AC9" s="78"/>
      <c r="AD9" s="77"/>
      <c r="AE9" s="79"/>
      <c r="AF9" s="80"/>
      <c r="AG9" s="81">
        <f t="shared" si="5"/>
        <v>0</v>
      </c>
      <c r="AH9" s="78"/>
      <c r="AI9" s="77"/>
      <c r="AJ9" s="92">
        <v>1</v>
      </c>
      <c r="AK9" s="93">
        <v>0.5</v>
      </c>
      <c r="AL9" s="85">
        <f t="shared" si="6"/>
        <v>0.5</v>
      </c>
      <c r="AM9" s="97" t="s">
        <v>1242</v>
      </c>
      <c r="AO9" s="88"/>
      <c r="AP9" s="89"/>
      <c r="AQ9" s="90">
        <f t="shared" si="7"/>
        <v>0</v>
      </c>
      <c r="AR9" s="96"/>
    </row>
    <row r="10" spans="1:44" ht="173.25" x14ac:dyDescent="0.25">
      <c r="A10" s="77">
        <v>7</v>
      </c>
      <c r="B10" s="78" t="s">
        <v>3</v>
      </c>
      <c r="C10" s="78" t="s">
        <v>4</v>
      </c>
      <c r="D10" s="78" t="s">
        <v>36</v>
      </c>
      <c r="E10" s="77"/>
      <c r="F10" s="79"/>
      <c r="G10" s="80"/>
      <c r="H10" s="81">
        <f t="shared" si="0"/>
        <v>0</v>
      </c>
      <c r="I10" s="82"/>
      <c r="J10" s="77"/>
      <c r="K10" s="83">
        <v>1</v>
      </c>
      <c r="L10" s="84">
        <v>0.75</v>
      </c>
      <c r="M10" s="85">
        <f t="shared" si="1"/>
        <v>0.75</v>
      </c>
      <c r="N10" s="86" t="s">
        <v>1181</v>
      </c>
      <c r="O10" s="77"/>
      <c r="P10" s="79"/>
      <c r="Q10" s="80"/>
      <c r="R10" s="81">
        <f t="shared" si="2"/>
        <v>0</v>
      </c>
      <c r="S10" s="82"/>
      <c r="T10" s="77"/>
      <c r="U10" s="79"/>
      <c r="V10" s="80"/>
      <c r="W10" s="81">
        <f t="shared" si="3"/>
        <v>0</v>
      </c>
      <c r="X10" s="82"/>
      <c r="Y10" s="77"/>
      <c r="Z10" s="79"/>
      <c r="AA10" s="80"/>
      <c r="AB10" s="81">
        <f t="shared" si="4"/>
        <v>0</v>
      </c>
      <c r="AC10" s="82"/>
      <c r="AD10" s="77"/>
      <c r="AE10" s="79"/>
      <c r="AF10" s="80"/>
      <c r="AG10" s="81">
        <f t="shared" si="5"/>
        <v>0</v>
      </c>
      <c r="AH10" s="82"/>
      <c r="AI10" s="77"/>
      <c r="AJ10" s="83">
        <v>1</v>
      </c>
      <c r="AK10" s="84">
        <v>0.4</v>
      </c>
      <c r="AL10" s="85">
        <f t="shared" si="6"/>
        <v>0.4</v>
      </c>
      <c r="AM10" s="98" t="s">
        <v>1243</v>
      </c>
      <c r="AO10" s="88"/>
      <c r="AP10" s="89"/>
      <c r="AQ10" s="90">
        <f t="shared" si="7"/>
        <v>0</v>
      </c>
      <c r="AR10" s="91"/>
    </row>
    <row r="11" spans="1:44" ht="47.25" x14ac:dyDescent="0.25">
      <c r="A11" s="77">
        <v>8</v>
      </c>
      <c r="B11" s="78" t="s">
        <v>3</v>
      </c>
      <c r="C11" s="78" t="s">
        <v>4</v>
      </c>
      <c r="D11" s="78" t="s">
        <v>64</v>
      </c>
      <c r="E11" s="77"/>
      <c r="F11" s="79"/>
      <c r="G11" s="80"/>
      <c r="H11" s="81">
        <f t="shared" si="0"/>
        <v>0</v>
      </c>
      <c r="I11" s="78"/>
      <c r="J11" s="77"/>
      <c r="K11" s="92">
        <v>1</v>
      </c>
      <c r="L11" s="93">
        <v>1</v>
      </c>
      <c r="M11" s="85">
        <f t="shared" si="1"/>
        <v>1</v>
      </c>
      <c r="N11" s="94"/>
      <c r="O11" s="77"/>
      <c r="P11" s="79"/>
      <c r="Q11" s="80"/>
      <c r="R11" s="81">
        <f t="shared" si="2"/>
        <v>0</v>
      </c>
      <c r="S11" s="82"/>
      <c r="T11" s="77"/>
      <c r="U11" s="79"/>
      <c r="V11" s="80"/>
      <c r="W11" s="81">
        <f t="shared" si="3"/>
        <v>0</v>
      </c>
      <c r="X11" s="82"/>
      <c r="Y11" s="77"/>
      <c r="Z11" s="79"/>
      <c r="AA11" s="80"/>
      <c r="AB11" s="81">
        <f t="shared" si="4"/>
        <v>0</v>
      </c>
      <c r="AC11" s="82"/>
      <c r="AD11" s="77"/>
      <c r="AE11" s="79"/>
      <c r="AF11" s="80"/>
      <c r="AG11" s="81">
        <f t="shared" si="5"/>
        <v>0</v>
      </c>
      <c r="AH11" s="82"/>
      <c r="AI11" s="77"/>
      <c r="AJ11" s="92">
        <v>1</v>
      </c>
      <c r="AK11" s="93">
        <v>0.5</v>
      </c>
      <c r="AL11" s="85">
        <f t="shared" si="6"/>
        <v>0.5</v>
      </c>
      <c r="AM11" s="97" t="s">
        <v>1244</v>
      </c>
      <c r="AO11" s="88"/>
      <c r="AP11" s="89"/>
      <c r="AQ11" s="90">
        <f t="shared" si="7"/>
        <v>0</v>
      </c>
      <c r="AR11" s="91"/>
    </row>
    <row r="12" spans="1:44" ht="110.25" x14ac:dyDescent="0.25">
      <c r="A12" s="77">
        <v>9</v>
      </c>
      <c r="B12" s="78" t="s">
        <v>3</v>
      </c>
      <c r="C12" s="78" t="s">
        <v>5</v>
      </c>
      <c r="D12" s="78" t="s">
        <v>37</v>
      </c>
      <c r="E12" s="77"/>
      <c r="F12" s="79"/>
      <c r="G12" s="80"/>
      <c r="H12" s="81">
        <f t="shared" si="0"/>
        <v>0</v>
      </c>
      <c r="I12" s="82"/>
      <c r="J12" s="77"/>
      <c r="K12" s="83">
        <v>1</v>
      </c>
      <c r="L12" s="99">
        <v>0.52</v>
      </c>
      <c r="M12" s="85">
        <f t="shared" si="1"/>
        <v>0.52</v>
      </c>
      <c r="N12" s="86" t="s">
        <v>1547</v>
      </c>
      <c r="O12" s="77"/>
      <c r="P12" s="79"/>
      <c r="Q12" s="80"/>
      <c r="R12" s="81">
        <f t="shared" si="2"/>
        <v>0</v>
      </c>
      <c r="S12" s="82"/>
      <c r="T12" s="77"/>
      <c r="U12" s="79"/>
      <c r="V12" s="80"/>
      <c r="W12" s="81">
        <f t="shared" si="3"/>
        <v>0</v>
      </c>
      <c r="X12" s="82"/>
      <c r="Y12" s="77"/>
      <c r="Z12" s="79"/>
      <c r="AA12" s="80"/>
      <c r="AB12" s="81">
        <f t="shared" si="4"/>
        <v>0</v>
      </c>
      <c r="AC12" s="82"/>
      <c r="AD12" s="77"/>
      <c r="AE12" s="79"/>
      <c r="AF12" s="80"/>
      <c r="AG12" s="81">
        <f t="shared" si="5"/>
        <v>0</v>
      </c>
      <c r="AH12" s="82"/>
      <c r="AI12" s="77"/>
      <c r="AJ12" s="83">
        <v>1</v>
      </c>
      <c r="AK12" s="84">
        <v>0.15</v>
      </c>
      <c r="AL12" s="85">
        <f t="shared" si="6"/>
        <v>0.15</v>
      </c>
      <c r="AM12" s="98" t="s">
        <v>1245</v>
      </c>
      <c r="AO12" s="88"/>
      <c r="AP12" s="89"/>
      <c r="AQ12" s="90">
        <f t="shared" si="7"/>
        <v>0</v>
      </c>
      <c r="AR12" s="91"/>
    </row>
    <row r="13" spans="1:44" ht="94.5" x14ac:dyDescent="0.25">
      <c r="A13" s="77">
        <v>10</v>
      </c>
      <c r="B13" s="78" t="s">
        <v>3</v>
      </c>
      <c r="C13" s="78" t="s">
        <v>5</v>
      </c>
      <c r="D13" s="78" t="s">
        <v>38</v>
      </c>
      <c r="E13" s="77"/>
      <c r="F13" s="79"/>
      <c r="G13" s="80"/>
      <c r="H13" s="81">
        <f t="shared" si="0"/>
        <v>0</v>
      </c>
      <c r="I13" s="82"/>
      <c r="J13" s="77"/>
      <c r="K13" s="92">
        <v>1</v>
      </c>
      <c r="L13" s="93">
        <v>0.54</v>
      </c>
      <c r="M13" s="85">
        <f t="shared" si="1"/>
        <v>0.54</v>
      </c>
      <c r="N13" s="94" t="s">
        <v>1534</v>
      </c>
      <c r="O13" s="77"/>
      <c r="P13" s="79"/>
      <c r="Q13" s="80"/>
      <c r="R13" s="81">
        <f t="shared" si="2"/>
        <v>0</v>
      </c>
      <c r="S13" s="82"/>
      <c r="T13" s="77"/>
      <c r="U13" s="79"/>
      <c r="V13" s="80"/>
      <c r="W13" s="81">
        <f t="shared" si="3"/>
        <v>0</v>
      </c>
      <c r="X13" s="82"/>
      <c r="Y13" s="77"/>
      <c r="Z13" s="79"/>
      <c r="AA13" s="80"/>
      <c r="AB13" s="81">
        <f t="shared" si="4"/>
        <v>0</v>
      </c>
      <c r="AC13" s="82"/>
      <c r="AD13" s="77"/>
      <c r="AE13" s="79"/>
      <c r="AF13" s="80"/>
      <c r="AG13" s="81">
        <f t="shared" si="5"/>
        <v>0</v>
      </c>
      <c r="AH13" s="82"/>
      <c r="AI13" s="77"/>
      <c r="AJ13" s="92">
        <v>1</v>
      </c>
      <c r="AK13" s="93">
        <v>0.15</v>
      </c>
      <c r="AL13" s="85">
        <f t="shared" si="6"/>
        <v>0.15</v>
      </c>
      <c r="AM13" s="97" t="s">
        <v>1246</v>
      </c>
      <c r="AO13" s="88"/>
      <c r="AP13" s="89"/>
      <c r="AQ13" s="90">
        <f t="shared" si="7"/>
        <v>0</v>
      </c>
      <c r="AR13" s="91"/>
    </row>
    <row r="14" spans="1:44" ht="63" x14ac:dyDescent="0.25">
      <c r="A14" s="77">
        <v>11</v>
      </c>
      <c r="B14" s="78" t="s">
        <v>3</v>
      </c>
      <c r="C14" s="78" t="s">
        <v>31</v>
      </c>
      <c r="D14" s="78" t="s">
        <v>39</v>
      </c>
      <c r="E14" s="77"/>
      <c r="F14" s="79"/>
      <c r="G14" s="80"/>
      <c r="H14" s="81">
        <f t="shared" si="0"/>
        <v>0</v>
      </c>
      <c r="I14" s="82"/>
      <c r="J14" s="77"/>
      <c r="K14" s="83">
        <v>1</v>
      </c>
      <c r="L14" s="84">
        <v>0.85</v>
      </c>
      <c r="M14" s="85">
        <f t="shared" si="1"/>
        <v>0.85</v>
      </c>
      <c r="N14" s="86" t="s">
        <v>1199</v>
      </c>
      <c r="O14" s="77"/>
      <c r="P14" s="79"/>
      <c r="Q14" s="80"/>
      <c r="R14" s="81">
        <f t="shared" si="2"/>
        <v>0</v>
      </c>
      <c r="S14" s="82"/>
      <c r="T14" s="77"/>
      <c r="U14" s="79"/>
      <c r="V14" s="80"/>
      <c r="W14" s="81">
        <f t="shared" si="3"/>
        <v>0</v>
      </c>
      <c r="X14" s="82"/>
      <c r="Y14" s="77"/>
      <c r="Z14" s="79"/>
      <c r="AA14" s="80"/>
      <c r="AB14" s="81">
        <f t="shared" si="4"/>
        <v>0</v>
      </c>
      <c r="AC14" s="82"/>
      <c r="AD14" s="77"/>
      <c r="AE14" s="79"/>
      <c r="AF14" s="80"/>
      <c r="AG14" s="81">
        <f t="shared" si="5"/>
        <v>0</v>
      </c>
      <c r="AH14" s="82"/>
      <c r="AI14" s="77"/>
      <c r="AJ14" s="83">
        <v>1</v>
      </c>
      <c r="AK14" s="84">
        <v>0.3</v>
      </c>
      <c r="AL14" s="85">
        <f t="shared" si="6"/>
        <v>0.3</v>
      </c>
      <c r="AM14" s="98" t="s">
        <v>1265</v>
      </c>
      <c r="AO14" s="88"/>
      <c r="AP14" s="89"/>
      <c r="AQ14" s="90">
        <f t="shared" si="7"/>
        <v>0</v>
      </c>
      <c r="AR14" s="91"/>
    </row>
    <row r="15" spans="1:44" ht="110.25" x14ac:dyDescent="0.25">
      <c r="A15" s="77">
        <v>12</v>
      </c>
      <c r="B15" s="78" t="s">
        <v>3</v>
      </c>
      <c r="C15" s="78" t="s">
        <v>31</v>
      </c>
      <c r="D15" s="78" t="s">
        <v>40</v>
      </c>
      <c r="E15" s="77"/>
      <c r="F15" s="79"/>
      <c r="G15" s="80"/>
      <c r="H15" s="81">
        <f t="shared" si="0"/>
        <v>0</v>
      </c>
      <c r="I15" s="82"/>
      <c r="J15" s="77"/>
      <c r="K15" s="92">
        <v>1</v>
      </c>
      <c r="L15" s="93">
        <v>1</v>
      </c>
      <c r="M15" s="85">
        <f t="shared" si="1"/>
        <v>1</v>
      </c>
      <c r="N15" s="94"/>
      <c r="O15" s="77"/>
      <c r="P15" s="79"/>
      <c r="Q15" s="80"/>
      <c r="R15" s="81">
        <f t="shared" si="2"/>
        <v>0</v>
      </c>
      <c r="S15" s="82"/>
      <c r="T15" s="77"/>
      <c r="U15" s="79"/>
      <c r="V15" s="80"/>
      <c r="W15" s="81">
        <f t="shared" si="3"/>
        <v>0</v>
      </c>
      <c r="X15" s="82"/>
      <c r="Y15" s="77"/>
      <c r="Z15" s="79"/>
      <c r="AA15" s="80"/>
      <c r="AB15" s="81">
        <f t="shared" si="4"/>
        <v>0</v>
      </c>
      <c r="AC15" s="82"/>
      <c r="AD15" s="77"/>
      <c r="AE15" s="79"/>
      <c r="AF15" s="80"/>
      <c r="AG15" s="81">
        <f t="shared" si="5"/>
        <v>0</v>
      </c>
      <c r="AH15" s="82"/>
      <c r="AI15" s="77"/>
      <c r="AJ15" s="92">
        <v>1</v>
      </c>
      <c r="AK15" s="93">
        <v>0.3</v>
      </c>
      <c r="AL15" s="85">
        <f t="shared" si="6"/>
        <v>0.3</v>
      </c>
      <c r="AM15" s="97" t="s">
        <v>1248</v>
      </c>
      <c r="AO15" s="88"/>
      <c r="AP15" s="89"/>
      <c r="AQ15" s="90">
        <f t="shared" si="7"/>
        <v>0</v>
      </c>
      <c r="AR15" s="91"/>
    </row>
    <row r="16" spans="1:44" ht="173.25" x14ac:dyDescent="0.25">
      <c r="A16" s="77">
        <v>13</v>
      </c>
      <c r="B16" s="78" t="s">
        <v>6</v>
      </c>
      <c r="C16" s="78" t="s">
        <v>7</v>
      </c>
      <c r="D16" s="78" t="s">
        <v>41</v>
      </c>
      <c r="E16" s="77"/>
      <c r="F16" s="79"/>
      <c r="G16" s="80"/>
      <c r="H16" s="81">
        <f t="shared" si="0"/>
        <v>0</v>
      </c>
      <c r="I16" s="82"/>
      <c r="J16" s="77"/>
      <c r="K16" s="100">
        <v>1</v>
      </c>
      <c r="L16" s="101">
        <v>1</v>
      </c>
      <c r="M16" s="85">
        <f t="shared" si="1"/>
        <v>1</v>
      </c>
      <c r="N16" s="78" t="s">
        <v>988</v>
      </c>
      <c r="O16" s="77"/>
      <c r="P16" s="79"/>
      <c r="Q16" s="80"/>
      <c r="R16" s="81">
        <f t="shared" si="2"/>
        <v>0</v>
      </c>
      <c r="S16" s="82"/>
      <c r="T16" s="77"/>
      <c r="U16" s="79"/>
      <c r="V16" s="80"/>
      <c r="W16" s="81">
        <f t="shared" si="3"/>
        <v>0</v>
      </c>
      <c r="X16" s="82"/>
      <c r="Y16" s="77"/>
      <c r="Z16" s="79"/>
      <c r="AA16" s="80"/>
      <c r="AB16" s="81">
        <f t="shared" si="4"/>
        <v>0</v>
      </c>
      <c r="AC16" s="82"/>
      <c r="AD16" s="77"/>
      <c r="AE16" s="79"/>
      <c r="AF16" s="80"/>
      <c r="AG16" s="81">
        <f t="shared" si="5"/>
        <v>0</v>
      </c>
      <c r="AH16" s="82"/>
      <c r="AI16" s="77"/>
      <c r="AJ16" s="100">
        <v>1</v>
      </c>
      <c r="AK16" s="101">
        <v>0.75</v>
      </c>
      <c r="AL16" s="85">
        <f t="shared" si="6"/>
        <v>0.75</v>
      </c>
      <c r="AM16" s="78" t="s">
        <v>1000</v>
      </c>
      <c r="AO16" s="88"/>
      <c r="AP16" s="89"/>
      <c r="AQ16" s="90">
        <f t="shared" si="7"/>
        <v>0</v>
      </c>
      <c r="AR16" s="91"/>
    </row>
    <row r="17" spans="1:44" ht="78.75" x14ac:dyDescent="0.25">
      <c r="A17" s="77">
        <v>14</v>
      </c>
      <c r="B17" s="78" t="s">
        <v>6</v>
      </c>
      <c r="C17" s="78" t="s">
        <v>7</v>
      </c>
      <c r="D17" s="78" t="s">
        <v>130</v>
      </c>
      <c r="E17" s="77"/>
      <c r="F17" s="79"/>
      <c r="G17" s="80"/>
      <c r="H17" s="81">
        <f t="shared" si="0"/>
        <v>0</v>
      </c>
      <c r="I17" s="82"/>
      <c r="J17" s="77"/>
      <c r="K17" s="100">
        <v>1</v>
      </c>
      <c r="L17" s="101">
        <v>1</v>
      </c>
      <c r="M17" s="85">
        <f t="shared" si="1"/>
        <v>1</v>
      </c>
      <c r="N17" s="78" t="s">
        <v>967</v>
      </c>
      <c r="O17" s="77"/>
      <c r="P17" s="79"/>
      <c r="Q17" s="80"/>
      <c r="R17" s="81">
        <f t="shared" si="2"/>
        <v>0</v>
      </c>
      <c r="S17" s="82"/>
      <c r="T17" s="77"/>
      <c r="U17" s="79"/>
      <c r="V17" s="80"/>
      <c r="W17" s="81">
        <f t="shared" si="3"/>
        <v>0</v>
      </c>
      <c r="X17" s="82"/>
      <c r="Y17" s="77"/>
      <c r="Z17" s="79"/>
      <c r="AA17" s="80"/>
      <c r="AB17" s="81">
        <f t="shared" si="4"/>
        <v>0</v>
      </c>
      <c r="AC17" s="82"/>
      <c r="AD17" s="77"/>
      <c r="AE17" s="79"/>
      <c r="AF17" s="80"/>
      <c r="AG17" s="81">
        <f t="shared" si="5"/>
        <v>0</v>
      </c>
      <c r="AH17" s="82"/>
      <c r="AI17" s="77"/>
      <c r="AJ17" s="100">
        <v>0</v>
      </c>
      <c r="AK17" s="101" t="s">
        <v>1001</v>
      </c>
      <c r="AL17" s="85">
        <v>0</v>
      </c>
      <c r="AM17" s="78" t="s">
        <v>1002</v>
      </c>
      <c r="AO17" s="88"/>
      <c r="AP17" s="89"/>
      <c r="AQ17" s="90">
        <f t="shared" si="7"/>
        <v>0</v>
      </c>
      <c r="AR17" s="91"/>
    </row>
    <row r="18" spans="1:44" ht="78.75" x14ac:dyDescent="0.25">
      <c r="A18" s="77">
        <v>15</v>
      </c>
      <c r="B18" s="78" t="s">
        <v>6</v>
      </c>
      <c r="C18" s="78" t="s">
        <v>7</v>
      </c>
      <c r="D18" s="78" t="s">
        <v>131</v>
      </c>
      <c r="E18" s="77"/>
      <c r="F18" s="79"/>
      <c r="G18" s="80"/>
      <c r="H18" s="81">
        <f t="shared" si="0"/>
        <v>0</v>
      </c>
      <c r="I18" s="82"/>
      <c r="J18" s="77"/>
      <c r="K18" s="100">
        <v>1</v>
      </c>
      <c r="L18" s="101">
        <v>1</v>
      </c>
      <c r="M18" s="85">
        <f t="shared" si="1"/>
        <v>1</v>
      </c>
      <c r="N18" s="78" t="s">
        <v>989</v>
      </c>
      <c r="O18" s="77"/>
      <c r="P18" s="79"/>
      <c r="Q18" s="80"/>
      <c r="R18" s="81">
        <f t="shared" si="2"/>
        <v>0</v>
      </c>
      <c r="S18" s="82"/>
      <c r="T18" s="77"/>
      <c r="U18" s="79"/>
      <c r="V18" s="80"/>
      <c r="W18" s="81">
        <f t="shared" si="3"/>
        <v>0</v>
      </c>
      <c r="X18" s="82"/>
      <c r="Y18" s="77"/>
      <c r="Z18" s="79"/>
      <c r="AA18" s="80"/>
      <c r="AB18" s="81">
        <f t="shared" si="4"/>
        <v>0</v>
      </c>
      <c r="AC18" s="82"/>
      <c r="AD18" s="77"/>
      <c r="AE18" s="79"/>
      <c r="AF18" s="80"/>
      <c r="AG18" s="81">
        <f t="shared" si="5"/>
        <v>0</v>
      </c>
      <c r="AH18" s="82"/>
      <c r="AI18" s="77"/>
      <c r="AJ18" s="100">
        <v>1</v>
      </c>
      <c r="AK18" s="101">
        <v>0.98</v>
      </c>
      <c r="AL18" s="85">
        <f t="shared" ref="AL18:AL19" si="8">AJ18*AK18</f>
        <v>0.98</v>
      </c>
      <c r="AM18" s="78" t="s">
        <v>1003</v>
      </c>
      <c r="AO18" s="88"/>
      <c r="AP18" s="89"/>
      <c r="AQ18" s="90">
        <f t="shared" si="7"/>
        <v>0</v>
      </c>
      <c r="AR18" s="91"/>
    </row>
    <row r="19" spans="1:44" ht="94.5" x14ac:dyDescent="0.25">
      <c r="A19" s="77">
        <v>16</v>
      </c>
      <c r="B19" s="78" t="s">
        <v>6</v>
      </c>
      <c r="C19" s="78" t="s">
        <v>7</v>
      </c>
      <c r="D19" s="78" t="s">
        <v>42</v>
      </c>
      <c r="E19" s="77"/>
      <c r="F19" s="79"/>
      <c r="G19" s="80"/>
      <c r="H19" s="81">
        <f t="shared" si="0"/>
        <v>0</v>
      </c>
      <c r="I19" s="82"/>
      <c r="J19" s="77"/>
      <c r="K19" s="100">
        <v>1</v>
      </c>
      <c r="L19" s="101">
        <v>1</v>
      </c>
      <c r="M19" s="85">
        <f t="shared" si="1"/>
        <v>1</v>
      </c>
      <c r="N19" s="78" t="s">
        <v>990</v>
      </c>
      <c r="O19" s="77"/>
      <c r="P19" s="79"/>
      <c r="Q19" s="80"/>
      <c r="R19" s="81">
        <f t="shared" si="2"/>
        <v>0</v>
      </c>
      <c r="S19" s="82"/>
      <c r="T19" s="77"/>
      <c r="U19" s="79"/>
      <c r="V19" s="80"/>
      <c r="W19" s="81">
        <f t="shared" si="3"/>
        <v>0</v>
      </c>
      <c r="X19" s="82"/>
      <c r="Y19" s="77"/>
      <c r="Z19" s="79"/>
      <c r="AA19" s="80"/>
      <c r="AB19" s="81">
        <f t="shared" si="4"/>
        <v>0</v>
      </c>
      <c r="AC19" s="82"/>
      <c r="AD19" s="77"/>
      <c r="AE19" s="79"/>
      <c r="AF19" s="80"/>
      <c r="AG19" s="81">
        <f t="shared" si="5"/>
        <v>0</v>
      </c>
      <c r="AH19" s="82"/>
      <c r="AI19" s="77"/>
      <c r="AJ19" s="100">
        <v>1</v>
      </c>
      <c r="AK19" s="101">
        <v>0.8</v>
      </c>
      <c r="AL19" s="85">
        <f t="shared" si="8"/>
        <v>0.8</v>
      </c>
      <c r="AM19" s="78" t="s">
        <v>1004</v>
      </c>
      <c r="AO19" s="88"/>
      <c r="AP19" s="89"/>
      <c r="AQ19" s="90">
        <f t="shared" si="7"/>
        <v>0</v>
      </c>
      <c r="AR19" s="91"/>
    </row>
    <row r="20" spans="1:44" ht="315" x14ac:dyDescent="0.25">
      <c r="A20" s="77">
        <v>17</v>
      </c>
      <c r="B20" s="78" t="s">
        <v>6</v>
      </c>
      <c r="C20" s="78" t="s">
        <v>7</v>
      </c>
      <c r="D20" s="78" t="s">
        <v>43</v>
      </c>
      <c r="E20" s="77"/>
      <c r="F20" s="79"/>
      <c r="G20" s="80"/>
      <c r="H20" s="81">
        <f t="shared" si="0"/>
        <v>0</v>
      </c>
      <c r="I20" s="82"/>
      <c r="J20" s="77"/>
      <c r="K20" s="100">
        <v>1</v>
      </c>
      <c r="L20" s="101">
        <v>0.7</v>
      </c>
      <c r="M20" s="85">
        <f t="shared" si="1"/>
        <v>0.7</v>
      </c>
      <c r="N20" s="78" t="s">
        <v>444</v>
      </c>
      <c r="O20" s="77"/>
      <c r="P20" s="79"/>
      <c r="Q20" s="80"/>
      <c r="R20" s="81">
        <f t="shared" si="2"/>
        <v>0</v>
      </c>
      <c r="S20" s="82"/>
      <c r="T20" s="77"/>
      <c r="U20" s="79"/>
      <c r="V20" s="80"/>
      <c r="W20" s="81">
        <f t="shared" si="3"/>
        <v>0</v>
      </c>
      <c r="X20" s="82"/>
      <c r="Y20" s="77"/>
      <c r="Z20" s="79"/>
      <c r="AA20" s="80"/>
      <c r="AB20" s="81">
        <f t="shared" si="4"/>
        <v>0</v>
      </c>
      <c r="AC20" s="82"/>
      <c r="AD20" s="77"/>
      <c r="AE20" s="79"/>
      <c r="AF20" s="80"/>
      <c r="AG20" s="81">
        <f t="shared" si="5"/>
        <v>0</v>
      </c>
      <c r="AH20" s="82"/>
      <c r="AI20" s="77"/>
      <c r="AJ20" s="100">
        <v>1</v>
      </c>
      <c r="AK20" s="101">
        <v>0.45</v>
      </c>
      <c r="AL20" s="85">
        <f t="shared" si="6"/>
        <v>0.45</v>
      </c>
      <c r="AM20" s="78" t="s">
        <v>1005</v>
      </c>
      <c r="AO20" s="88"/>
      <c r="AP20" s="89"/>
      <c r="AQ20" s="90">
        <f t="shared" si="7"/>
        <v>0</v>
      </c>
      <c r="AR20" s="91"/>
    </row>
    <row r="21" spans="1:44" ht="141.75" x14ac:dyDescent="0.25">
      <c r="A21" s="77">
        <v>18</v>
      </c>
      <c r="B21" s="78" t="s">
        <v>6</v>
      </c>
      <c r="C21" s="78" t="s">
        <v>7</v>
      </c>
      <c r="D21" s="78" t="s">
        <v>44</v>
      </c>
      <c r="E21" s="77"/>
      <c r="F21" s="79"/>
      <c r="G21" s="80"/>
      <c r="H21" s="81">
        <f t="shared" si="0"/>
        <v>0</v>
      </c>
      <c r="I21" s="82"/>
      <c r="J21" s="77"/>
      <c r="K21" s="100">
        <v>1</v>
      </c>
      <c r="L21" s="101">
        <v>0.75</v>
      </c>
      <c r="M21" s="85">
        <f t="shared" si="1"/>
        <v>0.75</v>
      </c>
      <c r="N21" s="102" t="s">
        <v>915</v>
      </c>
      <c r="O21" s="77"/>
      <c r="P21" s="79"/>
      <c r="Q21" s="80"/>
      <c r="R21" s="81">
        <f t="shared" si="2"/>
        <v>0</v>
      </c>
      <c r="S21" s="82"/>
      <c r="T21" s="77"/>
      <c r="U21" s="79"/>
      <c r="V21" s="80"/>
      <c r="W21" s="81">
        <f t="shared" si="3"/>
        <v>0</v>
      </c>
      <c r="X21" s="82"/>
      <c r="Y21" s="77"/>
      <c r="Z21" s="79"/>
      <c r="AA21" s="80"/>
      <c r="AB21" s="81">
        <f t="shared" si="4"/>
        <v>0</v>
      </c>
      <c r="AC21" s="82"/>
      <c r="AD21" s="77"/>
      <c r="AE21" s="79"/>
      <c r="AF21" s="80"/>
      <c r="AG21" s="81">
        <f t="shared" si="5"/>
        <v>0</v>
      </c>
      <c r="AH21" s="82"/>
      <c r="AI21" s="77"/>
      <c r="AJ21" s="100">
        <v>1</v>
      </c>
      <c r="AK21" s="101">
        <v>0.5</v>
      </c>
      <c r="AL21" s="85">
        <f t="shared" si="6"/>
        <v>0.5</v>
      </c>
      <c r="AM21" s="78" t="s">
        <v>959</v>
      </c>
      <c r="AO21" s="88"/>
      <c r="AP21" s="89"/>
      <c r="AQ21" s="90">
        <f t="shared" si="7"/>
        <v>0</v>
      </c>
      <c r="AR21" s="91"/>
    </row>
    <row r="22" spans="1:44" ht="94.5" x14ac:dyDescent="0.25">
      <c r="A22" s="77">
        <v>19</v>
      </c>
      <c r="B22" s="78" t="s">
        <v>6</v>
      </c>
      <c r="C22" s="78" t="s">
        <v>7</v>
      </c>
      <c r="D22" s="78" t="s">
        <v>45</v>
      </c>
      <c r="E22" s="77"/>
      <c r="F22" s="79"/>
      <c r="G22" s="80"/>
      <c r="H22" s="81">
        <f t="shared" si="0"/>
        <v>0</v>
      </c>
      <c r="I22" s="82"/>
      <c r="J22" s="77"/>
      <c r="K22" s="100">
        <v>1</v>
      </c>
      <c r="L22" s="101">
        <v>0.7</v>
      </c>
      <c r="M22" s="85">
        <f t="shared" si="1"/>
        <v>0.7</v>
      </c>
      <c r="N22" s="78" t="s">
        <v>991</v>
      </c>
      <c r="O22" s="77"/>
      <c r="P22" s="79"/>
      <c r="Q22" s="80"/>
      <c r="R22" s="81">
        <f t="shared" si="2"/>
        <v>0</v>
      </c>
      <c r="S22" s="82"/>
      <c r="T22" s="77"/>
      <c r="U22" s="79"/>
      <c r="V22" s="80"/>
      <c r="W22" s="81">
        <f t="shared" si="3"/>
        <v>0</v>
      </c>
      <c r="X22" s="82"/>
      <c r="Y22" s="77"/>
      <c r="Z22" s="79"/>
      <c r="AA22" s="80"/>
      <c r="AB22" s="81">
        <f t="shared" si="4"/>
        <v>0</v>
      </c>
      <c r="AC22" s="82"/>
      <c r="AD22" s="77"/>
      <c r="AE22" s="79"/>
      <c r="AF22" s="80"/>
      <c r="AG22" s="81">
        <f t="shared" si="5"/>
        <v>0</v>
      </c>
      <c r="AH22" s="82"/>
      <c r="AI22" s="77"/>
      <c r="AJ22" s="100">
        <v>1</v>
      </c>
      <c r="AK22" s="101">
        <v>0.65</v>
      </c>
      <c r="AL22" s="85">
        <f t="shared" si="6"/>
        <v>0.65</v>
      </c>
      <c r="AM22" s="78" t="s">
        <v>1006</v>
      </c>
      <c r="AO22" s="88"/>
      <c r="AP22" s="89"/>
      <c r="AQ22" s="90">
        <f t="shared" si="7"/>
        <v>0</v>
      </c>
      <c r="AR22" s="91"/>
    </row>
    <row r="23" spans="1:44" ht="78.75" x14ac:dyDescent="0.25">
      <c r="A23" s="77">
        <v>20</v>
      </c>
      <c r="B23" s="78" t="s">
        <v>6</v>
      </c>
      <c r="C23" s="78" t="s">
        <v>7</v>
      </c>
      <c r="D23" s="78" t="s">
        <v>46</v>
      </c>
      <c r="E23" s="77"/>
      <c r="F23" s="79"/>
      <c r="G23" s="80"/>
      <c r="H23" s="81">
        <f t="shared" si="0"/>
        <v>0</v>
      </c>
      <c r="I23" s="82"/>
      <c r="J23" s="77"/>
      <c r="K23" s="100">
        <v>1</v>
      </c>
      <c r="L23" s="101">
        <v>0.9</v>
      </c>
      <c r="M23" s="85">
        <f t="shared" si="1"/>
        <v>0.9</v>
      </c>
      <c r="N23" s="78" t="s">
        <v>992</v>
      </c>
      <c r="O23" s="77"/>
      <c r="P23" s="79"/>
      <c r="Q23" s="80"/>
      <c r="R23" s="81">
        <f t="shared" si="2"/>
        <v>0</v>
      </c>
      <c r="S23" s="82"/>
      <c r="T23" s="77"/>
      <c r="U23" s="79"/>
      <c r="V23" s="80"/>
      <c r="W23" s="81">
        <f t="shared" si="3"/>
        <v>0</v>
      </c>
      <c r="X23" s="82"/>
      <c r="Y23" s="77"/>
      <c r="Z23" s="79"/>
      <c r="AA23" s="80"/>
      <c r="AB23" s="81">
        <f t="shared" si="4"/>
        <v>0</v>
      </c>
      <c r="AC23" s="82"/>
      <c r="AD23" s="77"/>
      <c r="AE23" s="79"/>
      <c r="AF23" s="80"/>
      <c r="AG23" s="81">
        <f t="shared" si="5"/>
        <v>0</v>
      </c>
      <c r="AH23" s="82"/>
      <c r="AI23" s="77"/>
      <c r="AJ23" s="100">
        <v>1</v>
      </c>
      <c r="AK23" s="101">
        <v>0.5</v>
      </c>
      <c r="AL23" s="85">
        <f t="shared" si="6"/>
        <v>0.5</v>
      </c>
      <c r="AM23" s="78" t="s">
        <v>1007</v>
      </c>
      <c r="AO23" s="88"/>
      <c r="AP23" s="89"/>
      <c r="AQ23" s="90">
        <f t="shared" si="7"/>
        <v>0</v>
      </c>
      <c r="AR23" s="91"/>
    </row>
    <row r="24" spans="1:44" ht="63" x14ac:dyDescent="0.25">
      <c r="A24" s="77">
        <v>21</v>
      </c>
      <c r="B24" s="78" t="s">
        <v>6</v>
      </c>
      <c r="C24" s="78" t="s">
        <v>7</v>
      </c>
      <c r="D24" s="78" t="s">
        <v>47</v>
      </c>
      <c r="E24" s="77"/>
      <c r="F24" s="79"/>
      <c r="G24" s="80"/>
      <c r="H24" s="81">
        <f t="shared" si="0"/>
        <v>0</v>
      </c>
      <c r="I24" s="82"/>
      <c r="J24" s="77" t="s">
        <v>30</v>
      </c>
      <c r="K24" s="100">
        <v>1</v>
      </c>
      <c r="L24" s="101">
        <v>0.98</v>
      </c>
      <c r="M24" s="85">
        <f t="shared" si="1"/>
        <v>0.98</v>
      </c>
      <c r="N24" s="78" t="s">
        <v>358</v>
      </c>
      <c r="O24" s="77"/>
      <c r="P24" s="79"/>
      <c r="Q24" s="80"/>
      <c r="R24" s="81">
        <f t="shared" si="2"/>
        <v>0</v>
      </c>
      <c r="S24" s="82"/>
      <c r="T24" s="77"/>
      <c r="U24" s="79"/>
      <c r="V24" s="80"/>
      <c r="W24" s="81">
        <f t="shared" si="3"/>
        <v>0</v>
      </c>
      <c r="X24" s="82"/>
      <c r="Y24" s="77"/>
      <c r="Z24" s="79"/>
      <c r="AA24" s="80"/>
      <c r="AB24" s="81">
        <f t="shared" si="4"/>
        <v>0</v>
      </c>
      <c r="AC24" s="82"/>
      <c r="AD24" s="77"/>
      <c r="AE24" s="79"/>
      <c r="AF24" s="80"/>
      <c r="AG24" s="81">
        <f t="shared" si="5"/>
        <v>0</v>
      </c>
      <c r="AH24" s="82"/>
      <c r="AI24" s="77"/>
      <c r="AJ24" s="100">
        <v>1</v>
      </c>
      <c r="AK24" s="101">
        <v>0.98</v>
      </c>
      <c r="AL24" s="85">
        <f t="shared" si="6"/>
        <v>0.98</v>
      </c>
      <c r="AM24" s="78" t="s">
        <v>142</v>
      </c>
      <c r="AO24" s="88"/>
      <c r="AP24" s="89"/>
      <c r="AQ24" s="90">
        <f t="shared" si="7"/>
        <v>0</v>
      </c>
      <c r="AR24" s="91"/>
    </row>
    <row r="25" spans="1:44" s="73" customFormat="1" ht="141.75" x14ac:dyDescent="0.25">
      <c r="A25" s="77">
        <v>22</v>
      </c>
      <c r="B25" s="78" t="s">
        <v>6</v>
      </c>
      <c r="C25" s="78" t="s">
        <v>8</v>
      </c>
      <c r="D25" s="78" t="s">
        <v>48</v>
      </c>
      <c r="E25" s="77"/>
      <c r="F25" s="79"/>
      <c r="G25" s="80"/>
      <c r="H25" s="81">
        <f t="shared" si="0"/>
        <v>0</v>
      </c>
      <c r="I25" s="82"/>
      <c r="J25" s="77"/>
      <c r="K25" s="100">
        <v>1</v>
      </c>
      <c r="L25" s="101">
        <v>1</v>
      </c>
      <c r="M25" s="85">
        <f t="shared" si="1"/>
        <v>1</v>
      </c>
      <c r="N25" s="78" t="s">
        <v>696</v>
      </c>
      <c r="O25" s="77"/>
      <c r="P25" s="79"/>
      <c r="Q25" s="80"/>
      <c r="R25" s="81">
        <f t="shared" si="2"/>
        <v>0</v>
      </c>
      <c r="S25" s="82"/>
      <c r="T25" s="77"/>
      <c r="U25" s="79"/>
      <c r="V25" s="80"/>
      <c r="W25" s="81">
        <f t="shared" si="3"/>
        <v>0</v>
      </c>
      <c r="X25" s="82"/>
      <c r="Y25" s="77"/>
      <c r="Z25" s="79"/>
      <c r="AA25" s="80"/>
      <c r="AB25" s="81">
        <f t="shared" si="4"/>
        <v>0</v>
      </c>
      <c r="AC25" s="82"/>
      <c r="AD25" s="77"/>
      <c r="AE25" s="79"/>
      <c r="AF25" s="80"/>
      <c r="AG25" s="81">
        <f t="shared" si="5"/>
        <v>0</v>
      </c>
      <c r="AH25" s="82"/>
      <c r="AI25" s="77"/>
      <c r="AJ25" s="100">
        <v>1</v>
      </c>
      <c r="AK25" s="101">
        <v>0.35</v>
      </c>
      <c r="AL25" s="85">
        <f t="shared" si="6"/>
        <v>0.35</v>
      </c>
      <c r="AM25" s="78" t="s">
        <v>1008</v>
      </c>
      <c r="AO25" s="103"/>
      <c r="AP25" s="104"/>
      <c r="AQ25" s="105">
        <f t="shared" si="7"/>
        <v>0</v>
      </c>
      <c r="AR25" s="106"/>
    </row>
    <row r="26" spans="1:44" ht="94.5" x14ac:dyDescent="0.25">
      <c r="A26" s="77">
        <v>23</v>
      </c>
      <c r="B26" s="78" t="s">
        <v>6</v>
      </c>
      <c r="C26" s="78" t="s">
        <v>8</v>
      </c>
      <c r="D26" s="78" t="s">
        <v>49</v>
      </c>
      <c r="E26" s="77"/>
      <c r="F26" s="79"/>
      <c r="G26" s="80"/>
      <c r="H26" s="81">
        <f t="shared" si="0"/>
        <v>0</v>
      </c>
      <c r="I26" s="82"/>
      <c r="J26" s="77"/>
      <c r="K26" s="100">
        <v>1</v>
      </c>
      <c r="L26" s="101">
        <v>1</v>
      </c>
      <c r="M26" s="85">
        <f t="shared" si="1"/>
        <v>1</v>
      </c>
      <c r="N26" s="78" t="s">
        <v>993</v>
      </c>
      <c r="O26" s="77"/>
      <c r="P26" s="79"/>
      <c r="Q26" s="80"/>
      <c r="R26" s="81">
        <f t="shared" si="2"/>
        <v>0</v>
      </c>
      <c r="S26" s="82"/>
      <c r="T26" s="77"/>
      <c r="U26" s="79"/>
      <c r="V26" s="80"/>
      <c r="W26" s="81">
        <f t="shared" si="3"/>
        <v>0</v>
      </c>
      <c r="X26" s="82"/>
      <c r="Y26" s="77"/>
      <c r="Z26" s="79"/>
      <c r="AA26" s="80"/>
      <c r="AB26" s="81">
        <f t="shared" si="4"/>
        <v>0</v>
      </c>
      <c r="AC26" s="82"/>
      <c r="AD26" s="77"/>
      <c r="AE26" s="79"/>
      <c r="AF26" s="80"/>
      <c r="AG26" s="81">
        <f t="shared" si="5"/>
        <v>0</v>
      </c>
      <c r="AH26" s="82"/>
      <c r="AI26" s="77"/>
      <c r="AJ26" s="100">
        <v>1</v>
      </c>
      <c r="AK26" s="101">
        <v>0.7</v>
      </c>
      <c r="AL26" s="85">
        <f t="shared" si="6"/>
        <v>0.7</v>
      </c>
      <c r="AM26" s="78" t="s">
        <v>671</v>
      </c>
      <c r="AO26" s="88"/>
      <c r="AP26" s="89"/>
      <c r="AQ26" s="90">
        <f t="shared" si="7"/>
        <v>0</v>
      </c>
      <c r="AR26" s="91"/>
    </row>
    <row r="27" spans="1:44" ht="126" x14ac:dyDescent="0.25">
      <c r="A27" s="77">
        <v>24</v>
      </c>
      <c r="B27" s="78" t="s">
        <v>6</v>
      </c>
      <c r="C27" s="78" t="s">
        <v>8</v>
      </c>
      <c r="D27" s="78" t="s">
        <v>50</v>
      </c>
      <c r="E27" s="77"/>
      <c r="F27" s="79"/>
      <c r="G27" s="80"/>
      <c r="H27" s="81">
        <f t="shared" si="0"/>
        <v>0</v>
      </c>
      <c r="I27" s="82"/>
      <c r="J27" s="77"/>
      <c r="K27" s="100">
        <v>1</v>
      </c>
      <c r="L27" s="101">
        <v>0.99</v>
      </c>
      <c r="M27" s="85">
        <f t="shared" si="1"/>
        <v>0.99</v>
      </c>
      <c r="N27" s="78" t="s">
        <v>994</v>
      </c>
      <c r="O27" s="77"/>
      <c r="P27" s="79"/>
      <c r="Q27" s="80"/>
      <c r="R27" s="81">
        <f t="shared" si="2"/>
        <v>0</v>
      </c>
      <c r="S27" s="82"/>
      <c r="T27" s="77"/>
      <c r="U27" s="79"/>
      <c r="V27" s="80"/>
      <c r="W27" s="81">
        <f t="shared" si="3"/>
        <v>0</v>
      </c>
      <c r="X27" s="82"/>
      <c r="Y27" s="77"/>
      <c r="Z27" s="79"/>
      <c r="AA27" s="80"/>
      <c r="AB27" s="81">
        <f t="shared" si="4"/>
        <v>0</v>
      </c>
      <c r="AC27" s="82"/>
      <c r="AD27" s="77"/>
      <c r="AE27" s="79"/>
      <c r="AF27" s="80"/>
      <c r="AG27" s="81">
        <f t="shared" si="5"/>
        <v>0</v>
      </c>
      <c r="AH27" s="82"/>
      <c r="AI27" s="77"/>
      <c r="AJ27" s="100">
        <v>1</v>
      </c>
      <c r="AK27" s="101">
        <v>0.45</v>
      </c>
      <c r="AL27" s="85">
        <f t="shared" si="6"/>
        <v>0.45</v>
      </c>
      <c r="AM27" s="78" t="s">
        <v>1009</v>
      </c>
      <c r="AO27" s="88"/>
      <c r="AP27" s="89"/>
      <c r="AQ27" s="90">
        <f t="shared" si="7"/>
        <v>0</v>
      </c>
      <c r="AR27" s="91"/>
    </row>
    <row r="28" spans="1:44" ht="220.5" x14ac:dyDescent="0.25">
      <c r="A28" s="77">
        <v>25</v>
      </c>
      <c r="B28" s="78" t="s">
        <v>6</v>
      </c>
      <c r="C28" s="78" t="s">
        <v>8</v>
      </c>
      <c r="D28" s="78" t="s">
        <v>51</v>
      </c>
      <c r="E28" s="77"/>
      <c r="F28" s="79"/>
      <c r="G28" s="80"/>
      <c r="H28" s="81">
        <f t="shared" si="0"/>
        <v>0</v>
      </c>
      <c r="I28" s="82"/>
      <c r="J28" s="77"/>
      <c r="K28" s="100">
        <v>1</v>
      </c>
      <c r="L28" s="101">
        <v>0.85</v>
      </c>
      <c r="M28" s="85">
        <f t="shared" si="1"/>
        <v>0.85</v>
      </c>
      <c r="N28" s="78" t="s">
        <v>995</v>
      </c>
      <c r="O28" s="77"/>
      <c r="P28" s="79"/>
      <c r="Q28" s="80"/>
      <c r="R28" s="81">
        <f t="shared" si="2"/>
        <v>0</v>
      </c>
      <c r="S28" s="82"/>
      <c r="T28" s="77"/>
      <c r="U28" s="79"/>
      <c r="V28" s="80"/>
      <c r="W28" s="81">
        <f t="shared" si="3"/>
        <v>0</v>
      </c>
      <c r="X28" s="82"/>
      <c r="Y28" s="77"/>
      <c r="Z28" s="79"/>
      <c r="AA28" s="80"/>
      <c r="AB28" s="81">
        <f t="shared" si="4"/>
        <v>0</v>
      </c>
      <c r="AC28" s="82"/>
      <c r="AD28" s="77"/>
      <c r="AE28" s="79"/>
      <c r="AF28" s="80"/>
      <c r="AG28" s="81">
        <f t="shared" si="5"/>
        <v>0</v>
      </c>
      <c r="AH28" s="82"/>
      <c r="AI28" s="77"/>
      <c r="AJ28" s="100">
        <v>1</v>
      </c>
      <c r="AK28" s="101">
        <v>0.1</v>
      </c>
      <c r="AL28" s="85">
        <f t="shared" si="6"/>
        <v>0.1</v>
      </c>
      <c r="AM28" s="78" t="s">
        <v>604</v>
      </c>
      <c r="AO28" s="88"/>
      <c r="AP28" s="89"/>
      <c r="AQ28" s="90">
        <f t="shared" si="7"/>
        <v>0</v>
      </c>
      <c r="AR28" s="91"/>
    </row>
    <row r="29" spans="1:44" ht="110.25" x14ac:dyDescent="0.25">
      <c r="A29" s="77">
        <v>26</v>
      </c>
      <c r="B29" s="78" t="s">
        <v>6</v>
      </c>
      <c r="C29" s="78" t="s">
        <v>8</v>
      </c>
      <c r="D29" s="78" t="s">
        <v>52</v>
      </c>
      <c r="E29" s="77"/>
      <c r="F29" s="79"/>
      <c r="G29" s="80"/>
      <c r="H29" s="81">
        <f t="shared" si="0"/>
        <v>0</v>
      </c>
      <c r="I29" s="82"/>
      <c r="J29" s="77"/>
      <c r="K29" s="100">
        <v>1</v>
      </c>
      <c r="L29" s="101">
        <v>1</v>
      </c>
      <c r="M29" s="85">
        <f t="shared" si="1"/>
        <v>1</v>
      </c>
      <c r="N29" s="78" t="s">
        <v>996</v>
      </c>
      <c r="O29" s="77"/>
      <c r="P29" s="79"/>
      <c r="Q29" s="80"/>
      <c r="R29" s="81">
        <f t="shared" si="2"/>
        <v>0</v>
      </c>
      <c r="S29" s="78"/>
      <c r="T29" s="77"/>
      <c r="U29" s="79"/>
      <c r="V29" s="80"/>
      <c r="W29" s="81">
        <f t="shared" si="3"/>
        <v>0</v>
      </c>
      <c r="X29" s="78"/>
      <c r="Y29" s="77"/>
      <c r="Z29" s="79"/>
      <c r="AA29" s="80"/>
      <c r="AB29" s="81">
        <f t="shared" si="4"/>
        <v>0</v>
      </c>
      <c r="AC29" s="78"/>
      <c r="AD29" s="77"/>
      <c r="AE29" s="79"/>
      <c r="AF29" s="80"/>
      <c r="AG29" s="81">
        <f t="shared" si="5"/>
        <v>0</v>
      </c>
      <c r="AH29" s="78"/>
      <c r="AI29" s="77"/>
      <c r="AJ29" s="100">
        <v>1</v>
      </c>
      <c r="AK29" s="101">
        <v>0.1</v>
      </c>
      <c r="AL29" s="85">
        <f t="shared" si="6"/>
        <v>0.1</v>
      </c>
      <c r="AM29" s="78" t="s">
        <v>605</v>
      </c>
      <c r="AO29" s="88"/>
      <c r="AP29" s="89"/>
      <c r="AQ29" s="90">
        <f t="shared" si="7"/>
        <v>0</v>
      </c>
      <c r="AR29" s="96"/>
    </row>
    <row r="30" spans="1:44" ht="157.5" x14ac:dyDescent="0.25">
      <c r="A30" s="77">
        <v>27</v>
      </c>
      <c r="B30" s="78" t="s">
        <v>6</v>
      </c>
      <c r="C30" s="78" t="s">
        <v>8</v>
      </c>
      <c r="D30" s="78" t="s">
        <v>53</v>
      </c>
      <c r="E30" s="77"/>
      <c r="F30" s="79"/>
      <c r="G30" s="80"/>
      <c r="H30" s="81">
        <f t="shared" si="0"/>
        <v>0</v>
      </c>
      <c r="I30" s="82"/>
      <c r="J30" s="77"/>
      <c r="K30" s="100">
        <v>1</v>
      </c>
      <c r="L30" s="107">
        <v>1</v>
      </c>
      <c r="M30" s="85">
        <f t="shared" si="1"/>
        <v>1</v>
      </c>
      <c r="N30" s="78"/>
      <c r="O30" s="77"/>
      <c r="P30" s="79"/>
      <c r="Q30" s="80"/>
      <c r="R30" s="81">
        <f t="shared" si="2"/>
        <v>0</v>
      </c>
      <c r="S30" s="82"/>
      <c r="T30" s="77"/>
      <c r="U30" s="79"/>
      <c r="V30" s="80"/>
      <c r="W30" s="81">
        <f t="shared" si="3"/>
        <v>0</v>
      </c>
      <c r="X30" s="82"/>
      <c r="Y30" s="77"/>
      <c r="Z30" s="79"/>
      <c r="AA30" s="80"/>
      <c r="AB30" s="81">
        <f t="shared" si="4"/>
        <v>0</v>
      </c>
      <c r="AC30" s="82"/>
      <c r="AD30" s="77"/>
      <c r="AE30" s="79"/>
      <c r="AF30" s="80"/>
      <c r="AG30" s="81">
        <f t="shared" si="5"/>
        <v>0</v>
      </c>
      <c r="AH30" s="82"/>
      <c r="AI30" s="77"/>
      <c r="AJ30" s="100">
        <v>1</v>
      </c>
      <c r="AK30" s="107">
        <v>0.85</v>
      </c>
      <c r="AL30" s="107">
        <v>0.85</v>
      </c>
      <c r="AM30" s="78" t="s">
        <v>606</v>
      </c>
      <c r="AO30" s="88"/>
      <c r="AP30" s="89"/>
      <c r="AQ30" s="90">
        <f t="shared" si="7"/>
        <v>0</v>
      </c>
      <c r="AR30" s="91"/>
    </row>
    <row r="31" spans="1:44" ht="78.75" x14ac:dyDescent="0.25">
      <c r="A31" s="77">
        <v>28</v>
      </c>
      <c r="B31" s="78" t="s">
        <v>6</v>
      </c>
      <c r="C31" s="78" t="s">
        <v>8</v>
      </c>
      <c r="D31" s="78" t="s">
        <v>54</v>
      </c>
      <c r="E31" s="77"/>
      <c r="F31" s="79"/>
      <c r="G31" s="80"/>
      <c r="H31" s="81">
        <f t="shared" si="0"/>
        <v>0</v>
      </c>
      <c r="I31" s="82"/>
      <c r="J31" s="77"/>
      <c r="K31" s="100">
        <v>1</v>
      </c>
      <c r="L31" s="101">
        <v>1</v>
      </c>
      <c r="M31" s="85">
        <f t="shared" si="1"/>
        <v>1</v>
      </c>
      <c r="N31" s="78" t="s">
        <v>211</v>
      </c>
      <c r="O31" s="77"/>
      <c r="P31" s="79"/>
      <c r="Q31" s="80"/>
      <c r="R31" s="81">
        <f t="shared" si="2"/>
        <v>0</v>
      </c>
      <c r="S31" s="82"/>
      <c r="T31" s="77"/>
      <c r="U31" s="79"/>
      <c r="V31" s="80"/>
      <c r="W31" s="81">
        <f t="shared" si="3"/>
        <v>0</v>
      </c>
      <c r="X31" s="82"/>
      <c r="Y31" s="77"/>
      <c r="Z31" s="79"/>
      <c r="AA31" s="80"/>
      <c r="AB31" s="81">
        <f t="shared" si="4"/>
        <v>0</v>
      </c>
      <c r="AC31" s="82"/>
      <c r="AD31" s="77"/>
      <c r="AE31" s="79"/>
      <c r="AF31" s="80"/>
      <c r="AG31" s="81">
        <f t="shared" si="5"/>
        <v>0</v>
      </c>
      <c r="AH31" s="82"/>
      <c r="AI31" s="77"/>
      <c r="AJ31" s="100">
        <v>1</v>
      </c>
      <c r="AK31" s="101">
        <v>1</v>
      </c>
      <c r="AL31" s="85">
        <f t="shared" ref="AL31" si="9">AJ31*AK31</f>
        <v>1</v>
      </c>
      <c r="AM31" s="78" t="s">
        <v>1010</v>
      </c>
      <c r="AO31" s="88"/>
      <c r="AP31" s="89"/>
      <c r="AQ31" s="90">
        <f t="shared" si="7"/>
        <v>0</v>
      </c>
      <c r="AR31" s="91"/>
    </row>
    <row r="32" spans="1:44" ht="78.75" x14ac:dyDescent="0.25">
      <c r="A32" s="77">
        <v>29</v>
      </c>
      <c r="B32" s="78" t="s">
        <v>6</v>
      </c>
      <c r="C32" s="78" t="s">
        <v>8</v>
      </c>
      <c r="D32" s="78" t="s">
        <v>55</v>
      </c>
      <c r="E32" s="77"/>
      <c r="F32" s="79"/>
      <c r="G32" s="80"/>
      <c r="H32" s="81">
        <f t="shared" si="0"/>
        <v>0</v>
      </c>
      <c r="I32" s="82"/>
      <c r="J32" s="77"/>
      <c r="K32" s="100">
        <v>1</v>
      </c>
      <c r="L32" s="101">
        <v>1</v>
      </c>
      <c r="M32" s="85">
        <f t="shared" si="1"/>
        <v>1</v>
      </c>
      <c r="N32" s="78" t="s">
        <v>786</v>
      </c>
      <c r="O32" s="77"/>
      <c r="P32" s="79"/>
      <c r="Q32" s="80"/>
      <c r="R32" s="81">
        <f t="shared" si="2"/>
        <v>0</v>
      </c>
      <c r="S32" s="82"/>
      <c r="T32" s="77"/>
      <c r="U32" s="79"/>
      <c r="V32" s="80"/>
      <c r="W32" s="81">
        <f t="shared" si="3"/>
        <v>0</v>
      </c>
      <c r="X32" s="82"/>
      <c r="Y32" s="77"/>
      <c r="Z32" s="79"/>
      <c r="AA32" s="80"/>
      <c r="AB32" s="81">
        <f t="shared" si="4"/>
        <v>0</v>
      </c>
      <c r="AC32" s="82"/>
      <c r="AD32" s="77"/>
      <c r="AE32" s="79"/>
      <c r="AF32" s="80"/>
      <c r="AG32" s="81">
        <f t="shared" si="5"/>
        <v>0</v>
      </c>
      <c r="AH32" s="82"/>
      <c r="AI32" s="77"/>
      <c r="AJ32" s="100">
        <v>1</v>
      </c>
      <c r="AK32" s="101">
        <v>1</v>
      </c>
      <c r="AL32" s="85">
        <f t="shared" si="6"/>
        <v>1</v>
      </c>
      <c r="AM32" s="78" t="s">
        <v>673</v>
      </c>
      <c r="AO32" s="88"/>
      <c r="AP32" s="89"/>
      <c r="AQ32" s="90">
        <f t="shared" si="7"/>
        <v>0</v>
      </c>
      <c r="AR32" s="91"/>
    </row>
    <row r="33" spans="1:44" ht="94.5" x14ac:dyDescent="0.25">
      <c r="A33" s="77">
        <v>30</v>
      </c>
      <c r="B33" s="78" t="s">
        <v>6</v>
      </c>
      <c r="C33" s="78" t="s">
        <v>8</v>
      </c>
      <c r="D33" s="78" t="s">
        <v>56</v>
      </c>
      <c r="E33" s="77"/>
      <c r="F33" s="79"/>
      <c r="G33" s="80"/>
      <c r="H33" s="81">
        <f t="shared" si="0"/>
        <v>0</v>
      </c>
      <c r="I33" s="82"/>
      <c r="J33" s="77"/>
      <c r="K33" s="100">
        <v>1</v>
      </c>
      <c r="L33" s="101">
        <v>1</v>
      </c>
      <c r="M33" s="85">
        <f t="shared" si="1"/>
        <v>1</v>
      </c>
      <c r="N33" s="78" t="s">
        <v>997</v>
      </c>
      <c r="O33" s="77"/>
      <c r="P33" s="79"/>
      <c r="Q33" s="80"/>
      <c r="R33" s="81">
        <f t="shared" si="2"/>
        <v>0</v>
      </c>
      <c r="S33" s="82"/>
      <c r="T33" s="77"/>
      <c r="U33" s="79"/>
      <c r="V33" s="80"/>
      <c r="W33" s="81">
        <f t="shared" si="3"/>
        <v>0</v>
      </c>
      <c r="X33" s="82"/>
      <c r="Y33" s="77"/>
      <c r="Z33" s="79"/>
      <c r="AA33" s="80"/>
      <c r="AB33" s="81">
        <f t="shared" si="4"/>
        <v>0</v>
      </c>
      <c r="AC33" s="82"/>
      <c r="AD33" s="77"/>
      <c r="AE33" s="79"/>
      <c r="AF33" s="80"/>
      <c r="AG33" s="81">
        <f t="shared" si="5"/>
        <v>0</v>
      </c>
      <c r="AH33" s="82"/>
      <c r="AI33" s="77"/>
      <c r="AJ33" s="100">
        <v>1</v>
      </c>
      <c r="AK33" s="101">
        <v>0.3</v>
      </c>
      <c r="AL33" s="85">
        <f t="shared" si="6"/>
        <v>0.3</v>
      </c>
      <c r="AM33" s="78" t="s">
        <v>609</v>
      </c>
      <c r="AO33" s="88"/>
      <c r="AP33" s="89"/>
      <c r="AQ33" s="90">
        <f t="shared" si="7"/>
        <v>0</v>
      </c>
      <c r="AR33" s="91"/>
    </row>
    <row r="34" spans="1:44" ht="94.5" customHeight="1" x14ac:dyDescent="0.25">
      <c r="A34" s="77">
        <v>31</v>
      </c>
      <c r="B34" s="78" t="s">
        <v>6</v>
      </c>
      <c r="C34" s="78" t="s">
        <v>9</v>
      </c>
      <c r="D34" s="102" t="s">
        <v>57</v>
      </c>
      <c r="E34" s="77"/>
      <c r="F34" s="79"/>
      <c r="G34" s="80"/>
      <c r="H34" s="81">
        <f t="shared" si="0"/>
        <v>0</v>
      </c>
      <c r="I34" s="82"/>
      <c r="J34" s="77"/>
      <c r="K34" s="100">
        <v>1</v>
      </c>
      <c r="L34" s="101">
        <v>0.68</v>
      </c>
      <c r="M34" s="85">
        <f t="shared" si="1"/>
        <v>0.68</v>
      </c>
      <c r="N34" s="78" t="s">
        <v>998</v>
      </c>
      <c r="O34" s="77"/>
      <c r="P34" s="79"/>
      <c r="Q34" s="80"/>
      <c r="R34" s="81">
        <f t="shared" si="2"/>
        <v>0</v>
      </c>
      <c r="S34" s="82"/>
      <c r="T34" s="77"/>
      <c r="U34" s="79"/>
      <c r="V34" s="80"/>
      <c r="W34" s="81">
        <f t="shared" si="3"/>
        <v>0</v>
      </c>
      <c r="X34" s="82"/>
      <c r="Y34" s="77"/>
      <c r="Z34" s="79"/>
      <c r="AA34" s="80"/>
      <c r="AB34" s="81">
        <f t="shared" si="4"/>
        <v>0</v>
      </c>
      <c r="AC34" s="82"/>
      <c r="AD34" s="77"/>
      <c r="AE34" s="79"/>
      <c r="AF34" s="80"/>
      <c r="AG34" s="81">
        <f t="shared" si="5"/>
        <v>0</v>
      </c>
      <c r="AH34" s="82"/>
      <c r="AI34" s="77"/>
      <c r="AJ34" s="100">
        <v>1</v>
      </c>
      <c r="AK34" s="101">
        <v>0.3</v>
      </c>
      <c r="AL34" s="85">
        <v>0.3</v>
      </c>
      <c r="AM34" s="78" t="s">
        <v>610</v>
      </c>
      <c r="AO34" s="88"/>
      <c r="AP34" s="89"/>
      <c r="AQ34" s="90">
        <f t="shared" si="7"/>
        <v>0</v>
      </c>
      <c r="AR34" s="91"/>
    </row>
    <row r="35" spans="1:44" ht="110.25" x14ac:dyDescent="0.25">
      <c r="A35" s="77">
        <v>32</v>
      </c>
      <c r="B35" s="78" t="s">
        <v>6</v>
      </c>
      <c r="C35" s="78" t="s">
        <v>9</v>
      </c>
      <c r="D35" s="102" t="s">
        <v>58</v>
      </c>
      <c r="E35" s="77"/>
      <c r="F35" s="79"/>
      <c r="G35" s="80"/>
      <c r="H35" s="81">
        <f t="shared" si="0"/>
        <v>0</v>
      </c>
      <c r="I35" s="78"/>
      <c r="J35" s="77"/>
      <c r="K35" s="100">
        <v>1</v>
      </c>
      <c r="L35" s="101">
        <v>0.9</v>
      </c>
      <c r="M35" s="85">
        <f t="shared" si="1"/>
        <v>0.9</v>
      </c>
      <c r="N35" s="78" t="s">
        <v>152</v>
      </c>
      <c r="O35" s="77"/>
      <c r="P35" s="79"/>
      <c r="Q35" s="80"/>
      <c r="R35" s="81">
        <f t="shared" si="2"/>
        <v>0</v>
      </c>
      <c r="S35" s="82"/>
      <c r="T35" s="77"/>
      <c r="U35" s="79"/>
      <c r="V35" s="80"/>
      <c r="W35" s="81">
        <f t="shared" si="3"/>
        <v>0</v>
      </c>
      <c r="X35" s="82"/>
      <c r="Y35" s="77"/>
      <c r="Z35" s="79"/>
      <c r="AA35" s="80"/>
      <c r="AB35" s="81">
        <f t="shared" si="4"/>
        <v>0</v>
      </c>
      <c r="AC35" s="82"/>
      <c r="AD35" s="77"/>
      <c r="AE35" s="79"/>
      <c r="AF35" s="80"/>
      <c r="AG35" s="81">
        <f t="shared" si="5"/>
        <v>0</v>
      </c>
      <c r="AH35" s="82"/>
      <c r="AI35" s="77"/>
      <c r="AJ35" s="100">
        <v>1</v>
      </c>
      <c r="AK35" s="101">
        <v>0.1</v>
      </c>
      <c r="AL35" s="85">
        <v>0.1</v>
      </c>
      <c r="AM35" s="78" t="s">
        <v>965</v>
      </c>
      <c r="AO35" s="88"/>
      <c r="AP35" s="89"/>
      <c r="AQ35" s="90">
        <f t="shared" si="7"/>
        <v>0</v>
      </c>
      <c r="AR35" s="91"/>
    </row>
    <row r="36" spans="1:44" ht="110.25" x14ac:dyDescent="0.25">
      <c r="A36" s="77">
        <v>33</v>
      </c>
      <c r="B36" s="78" t="s">
        <v>6</v>
      </c>
      <c r="C36" s="78" t="s">
        <v>9</v>
      </c>
      <c r="D36" s="78" t="s">
        <v>59</v>
      </c>
      <c r="E36" s="77"/>
      <c r="F36" s="79"/>
      <c r="G36" s="80"/>
      <c r="H36" s="81">
        <f t="shared" si="0"/>
        <v>0</v>
      </c>
      <c r="I36" s="82"/>
      <c r="J36" s="77"/>
      <c r="K36" s="100">
        <v>1</v>
      </c>
      <c r="L36" s="101">
        <v>1</v>
      </c>
      <c r="M36" s="85">
        <f t="shared" si="1"/>
        <v>1</v>
      </c>
      <c r="N36" s="78"/>
      <c r="O36" s="77"/>
      <c r="P36" s="79"/>
      <c r="Q36" s="80"/>
      <c r="R36" s="81">
        <f t="shared" si="2"/>
        <v>0</v>
      </c>
      <c r="S36" s="82"/>
      <c r="T36" s="77"/>
      <c r="U36" s="79"/>
      <c r="V36" s="80"/>
      <c r="W36" s="81">
        <f t="shared" si="3"/>
        <v>0</v>
      </c>
      <c r="X36" s="82"/>
      <c r="Y36" s="77"/>
      <c r="Z36" s="79"/>
      <c r="AA36" s="80"/>
      <c r="AB36" s="81">
        <f t="shared" si="4"/>
        <v>0</v>
      </c>
      <c r="AC36" s="82"/>
      <c r="AD36" s="77"/>
      <c r="AE36" s="79"/>
      <c r="AF36" s="80"/>
      <c r="AG36" s="81">
        <f t="shared" si="5"/>
        <v>0</v>
      </c>
      <c r="AH36" s="82"/>
      <c r="AI36" s="77"/>
      <c r="AJ36" s="100">
        <v>1</v>
      </c>
      <c r="AK36" s="101">
        <v>0.5</v>
      </c>
      <c r="AL36" s="85">
        <v>0.5</v>
      </c>
      <c r="AM36" s="78" t="s">
        <v>612</v>
      </c>
      <c r="AO36" s="88"/>
      <c r="AP36" s="89"/>
      <c r="AQ36" s="90">
        <f t="shared" si="7"/>
        <v>0</v>
      </c>
      <c r="AR36" s="91"/>
    </row>
    <row r="37" spans="1:44" ht="78.75" x14ac:dyDescent="0.25">
      <c r="A37" s="77">
        <v>34</v>
      </c>
      <c r="B37" s="78" t="s">
        <v>6</v>
      </c>
      <c r="C37" s="78" t="s">
        <v>9</v>
      </c>
      <c r="D37" s="78" t="s">
        <v>60</v>
      </c>
      <c r="E37" s="77"/>
      <c r="F37" s="79"/>
      <c r="G37" s="80"/>
      <c r="H37" s="81">
        <f t="shared" si="0"/>
        <v>0</v>
      </c>
      <c r="I37" s="82"/>
      <c r="J37" s="77"/>
      <c r="K37" s="100">
        <v>1</v>
      </c>
      <c r="L37" s="101">
        <v>1</v>
      </c>
      <c r="M37" s="85">
        <f t="shared" si="1"/>
        <v>1</v>
      </c>
      <c r="N37" s="78" t="s">
        <v>409</v>
      </c>
      <c r="O37" s="77"/>
      <c r="P37" s="79"/>
      <c r="Q37" s="80"/>
      <c r="R37" s="81">
        <f t="shared" si="2"/>
        <v>0</v>
      </c>
      <c r="S37" s="82"/>
      <c r="T37" s="77"/>
      <c r="U37" s="79"/>
      <c r="V37" s="80"/>
      <c r="W37" s="81">
        <f t="shared" si="3"/>
        <v>0</v>
      </c>
      <c r="X37" s="82"/>
      <c r="Y37" s="77"/>
      <c r="Z37" s="79"/>
      <c r="AA37" s="80"/>
      <c r="AB37" s="81">
        <f t="shared" si="4"/>
        <v>0</v>
      </c>
      <c r="AC37" s="82"/>
      <c r="AD37" s="77"/>
      <c r="AE37" s="79"/>
      <c r="AF37" s="80"/>
      <c r="AG37" s="81">
        <f t="shared" si="5"/>
        <v>0</v>
      </c>
      <c r="AH37" s="82"/>
      <c r="AI37" s="77"/>
      <c r="AJ37" s="100">
        <v>1</v>
      </c>
      <c r="AK37" s="101">
        <v>1</v>
      </c>
      <c r="AL37" s="85">
        <f t="shared" si="6"/>
        <v>1</v>
      </c>
      <c r="AM37" s="78" t="s">
        <v>1011</v>
      </c>
      <c r="AO37" s="88"/>
      <c r="AP37" s="89"/>
      <c r="AQ37" s="90">
        <f t="shared" si="7"/>
        <v>0</v>
      </c>
      <c r="AR37" s="91"/>
    </row>
    <row r="38" spans="1:44" ht="110.25" x14ac:dyDescent="0.25">
      <c r="A38" s="77">
        <v>35</v>
      </c>
      <c r="B38" s="78" t="s">
        <v>6</v>
      </c>
      <c r="C38" s="78" t="s">
        <v>9</v>
      </c>
      <c r="D38" s="78" t="s">
        <v>61</v>
      </c>
      <c r="E38" s="77"/>
      <c r="F38" s="79"/>
      <c r="G38" s="80"/>
      <c r="H38" s="81">
        <f t="shared" si="0"/>
        <v>0</v>
      </c>
      <c r="I38" s="82"/>
      <c r="J38" s="77"/>
      <c r="K38" s="100">
        <v>1</v>
      </c>
      <c r="L38" s="101">
        <v>0.9</v>
      </c>
      <c r="M38" s="85">
        <f t="shared" si="1"/>
        <v>0.9</v>
      </c>
      <c r="N38" s="78" t="s">
        <v>366</v>
      </c>
      <c r="O38" s="77"/>
      <c r="P38" s="79"/>
      <c r="Q38" s="80"/>
      <c r="R38" s="81">
        <f t="shared" si="2"/>
        <v>0</v>
      </c>
      <c r="S38" s="82"/>
      <c r="T38" s="77"/>
      <c r="U38" s="79"/>
      <c r="V38" s="80"/>
      <c r="W38" s="81">
        <f t="shared" si="3"/>
        <v>0</v>
      </c>
      <c r="X38" s="82"/>
      <c r="Y38" s="77"/>
      <c r="Z38" s="79"/>
      <c r="AA38" s="80"/>
      <c r="AB38" s="81">
        <f t="shared" si="4"/>
        <v>0</v>
      </c>
      <c r="AC38" s="82"/>
      <c r="AD38" s="77"/>
      <c r="AE38" s="79"/>
      <c r="AF38" s="80"/>
      <c r="AG38" s="81">
        <f t="shared" si="5"/>
        <v>0</v>
      </c>
      <c r="AH38" s="82"/>
      <c r="AI38" s="77"/>
      <c r="AJ38" s="100">
        <v>1</v>
      </c>
      <c r="AK38" s="101">
        <v>0.1</v>
      </c>
      <c r="AL38" s="85">
        <f t="shared" si="6"/>
        <v>0.1</v>
      </c>
      <c r="AM38" s="78" t="s">
        <v>1012</v>
      </c>
      <c r="AO38" s="88"/>
      <c r="AP38" s="89"/>
      <c r="AQ38" s="90">
        <f t="shared" si="7"/>
        <v>0</v>
      </c>
      <c r="AR38" s="91"/>
    </row>
    <row r="39" spans="1:44" ht="252" x14ac:dyDescent="0.25">
      <c r="A39" s="77">
        <v>36</v>
      </c>
      <c r="B39" s="78" t="s">
        <v>6</v>
      </c>
      <c r="C39" s="78" t="s">
        <v>9</v>
      </c>
      <c r="D39" s="78" t="s">
        <v>62</v>
      </c>
      <c r="E39" s="77"/>
      <c r="F39" s="79"/>
      <c r="G39" s="80"/>
      <c r="H39" s="81">
        <f t="shared" si="0"/>
        <v>0</v>
      </c>
      <c r="I39" s="82"/>
      <c r="J39" s="77"/>
      <c r="K39" s="100">
        <v>1</v>
      </c>
      <c r="L39" s="101">
        <v>0.9</v>
      </c>
      <c r="M39" s="85">
        <f t="shared" si="1"/>
        <v>0.9</v>
      </c>
      <c r="N39" s="78" t="s">
        <v>928</v>
      </c>
      <c r="O39" s="77"/>
      <c r="P39" s="79"/>
      <c r="Q39" s="80"/>
      <c r="R39" s="81">
        <f t="shared" si="2"/>
        <v>0</v>
      </c>
      <c r="S39" s="82"/>
      <c r="T39" s="77"/>
      <c r="U39" s="79"/>
      <c r="V39" s="80"/>
      <c r="W39" s="81">
        <f t="shared" si="3"/>
        <v>0</v>
      </c>
      <c r="X39" s="82"/>
      <c r="Y39" s="77"/>
      <c r="Z39" s="79"/>
      <c r="AA39" s="80"/>
      <c r="AB39" s="81">
        <f t="shared" si="4"/>
        <v>0</v>
      </c>
      <c r="AC39" s="82"/>
      <c r="AD39" s="77"/>
      <c r="AE39" s="79"/>
      <c r="AF39" s="80"/>
      <c r="AG39" s="81">
        <f t="shared" si="5"/>
        <v>0</v>
      </c>
      <c r="AH39" s="82"/>
      <c r="AI39" s="77"/>
      <c r="AJ39" s="100">
        <v>1</v>
      </c>
      <c r="AK39" s="101">
        <v>0.4</v>
      </c>
      <c r="AL39" s="85">
        <f t="shared" si="6"/>
        <v>0.4</v>
      </c>
      <c r="AM39" s="78" t="s">
        <v>675</v>
      </c>
      <c r="AO39" s="88"/>
      <c r="AP39" s="89"/>
      <c r="AQ39" s="90">
        <f t="shared" si="7"/>
        <v>0</v>
      </c>
      <c r="AR39" s="91"/>
    </row>
    <row r="40" spans="1:44" ht="94.5" x14ac:dyDescent="0.25">
      <c r="A40" s="77">
        <v>37</v>
      </c>
      <c r="B40" s="78" t="s">
        <v>6</v>
      </c>
      <c r="C40" s="78" t="s">
        <v>9</v>
      </c>
      <c r="D40" s="78" t="s">
        <v>63</v>
      </c>
      <c r="E40" s="77"/>
      <c r="F40" s="79"/>
      <c r="G40" s="80"/>
      <c r="H40" s="81">
        <f t="shared" si="0"/>
        <v>0</v>
      </c>
      <c r="I40" s="82"/>
      <c r="J40" s="77"/>
      <c r="K40" s="100">
        <v>1</v>
      </c>
      <c r="L40" s="101">
        <v>0.65</v>
      </c>
      <c r="M40" s="85">
        <f t="shared" si="1"/>
        <v>0.65</v>
      </c>
      <c r="N40" s="78" t="s">
        <v>999</v>
      </c>
      <c r="O40" s="77"/>
      <c r="P40" s="79"/>
      <c r="Q40" s="80"/>
      <c r="R40" s="81">
        <f t="shared" si="2"/>
        <v>0</v>
      </c>
      <c r="S40" s="82"/>
      <c r="T40" s="77"/>
      <c r="U40" s="79"/>
      <c r="V40" s="80"/>
      <c r="W40" s="81">
        <f t="shared" si="3"/>
        <v>0</v>
      </c>
      <c r="X40" s="82"/>
      <c r="Y40" s="77"/>
      <c r="Z40" s="79"/>
      <c r="AA40" s="80"/>
      <c r="AB40" s="81">
        <f t="shared" si="4"/>
        <v>0</v>
      </c>
      <c r="AC40" s="82"/>
      <c r="AD40" s="77"/>
      <c r="AE40" s="79"/>
      <c r="AF40" s="80"/>
      <c r="AG40" s="81">
        <f t="shared" si="5"/>
        <v>0</v>
      </c>
      <c r="AH40" s="82"/>
      <c r="AI40" s="77"/>
      <c r="AJ40" s="100">
        <v>1</v>
      </c>
      <c r="AK40" s="101">
        <v>0.99</v>
      </c>
      <c r="AL40" s="85">
        <f t="shared" si="6"/>
        <v>0.99</v>
      </c>
      <c r="AM40" s="78" t="s">
        <v>616</v>
      </c>
      <c r="AO40" s="88"/>
      <c r="AP40" s="89"/>
      <c r="AQ40" s="90">
        <f t="shared" si="7"/>
        <v>0</v>
      </c>
      <c r="AR40" s="91"/>
    </row>
    <row r="41" spans="1:44" ht="173.25" x14ac:dyDescent="0.25">
      <c r="A41" s="77">
        <v>38</v>
      </c>
      <c r="B41" s="78" t="s">
        <v>10</v>
      </c>
      <c r="C41" s="78" t="s">
        <v>11</v>
      </c>
      <c r="D41" s="78" t="s">
        <v>65</v>
      </c>
      <c r="E41" s="77"/>
      <c r="F41" s="79"/>
      <c r="G41" s="80"/>
      <c r="H41" s="81">
        <f t="shared" si="0"/>
        <v>0</v>
      </c>
      <c r="I41" s="82"/>
      <c r="J41" s="77"/>
      <c r="K41" s="100">
        <v>1</v>
      </c>
      <c r="L41" s="101">
        <v>0.87</v>
      </c>
      <c r="M41" s="85">
        <f t="shared" si="1"/>
        <v>0.87</v>
      </c>
      <c r="N41" s="78" t="s">
        <v>1540</v>
      </c>
      <c r="O41" s="77"/>
      <c r="P41" s="79"/>
      <c r="Q41" s="80"/>
      <c r="R41" s="81">
        <f t="shared" si="2"/>
        <v>0</v>
      </c>
      <c r="S41" s="82"/>
      <c r="T41" s="77"/>
      <c r="U41" s="79"/>
      <c r="V41" s="80"/>
      <c r="W41" s="81">
        <f t="shared" si="3"/>
        <v>0</v>
      </c>
      <c r="X41" s="82"/>
      <c r="Y41" s="77"/>
      <c r="Z41" s="79"/>
      <c r="AA41" s="80"/>
      <c r="AB41" s="81">
        <f t="shared" si="4"/>
        <v>0</v>
      </c>
      <c r="AC41" s="82"/>
      <c r="AD41" s="77"/>
      <c r="AE41" s="79"/>
      <c r="AF41" s="80"/>
      <c r="AG41" s="81">
        <f t="shared" si="5"/>
        <v>0</v>
      </c>
      <c r="AH41" s="82"/>
      <c r="AI41" s="77"/>
      <c r="AJ41" s="100">
        <v>1</v>
      </c>
      <c r="AK41" s="101">
        <v>0.7</v>
      </c>
      <c r="AL41" s="85">
        <f t="shared" si="6"/>
        <v>0.7</v>
      </c>
      <c r="AM41" s="78" t="s">
        <v>1541</v>
      </c>
      <c r="AO41" s="88"/>
      <c r="AP41" s="89"/>
      <c r="AQ41" s="90">
        <f t="shared" si="7"/>
        <v>0</v>
      </c>
      <c r="AR41" s="91"/>
    </row>
    <row r="42" spans="1:44" ht="105.75" customHeight="1" x14ac:dyDescent="0.25">
      <c r="A42" s="77">
        <v>39</v>
      </c>
      <c r="B42" s="78" t="s">
        <v>10</v>
      </c>
      <c r="C42" s="78" t="s">
        <v>11</v>
      </c>
      <c r="D42" s="78" t="s">
        <v>66</v>
      </c>
      <c r="E42" s="77"/>
      <c r="F42" s="79"/>
      <c r="G42" s="80"/>
      <c r="H42" s="81">
        <f t="shared" si="0"/>
        <v>0</v>
      </c>
      <c r="I42" s="82"/>
      <c r="J42" s="77"/>
      <c r="K42" s="100">
        <v>1</v>
      </c>
      <c r="L42" s="101">
        <v>1</v>
      </c>
      <c r="M42" s="85">
        <f t="shared" si="1"/>
        <v>1</v>
      </c>
      <c r="N42" s="78" t="s">
        <v>1067</v>
      </c>
      <c r="O42" s="77"/>
      <c r="P42" s="79"/>
      <c r="Q42" s="80"/>
      <c r="R42" s="81">
        <f t="shared" si="2"/>
        <v>0</v>
      </c>
      <c r="S42" s="82"/>
      <c r="T42" s="77"/>
      <c r="U42" s="79"/>
      <c r="V42" s="80"/>
      <c r="W42" s="81">
        <f t="shared" si="3"/>
        <v>0</v>
      </c>
      <c r="X42" s="82"/>
      <c r="Y42" s="77"/>
      <c r="Z42" s="79"/>
      <c r="AA42" s="80"/>
      <c r="AB42" s="81">
        <f t="shared" si="4"/>
        <v>0</v>
      </c>
      <c r="AC42" s="82"/>
      <c r="AD42" s="77"/>
      <c r="AE42" s="79"/>
      <c r="AF42" s="80"/>
      <c r="AG42" s="81">
        <f t="shared" si="5"/>
        <v>0</v>
      </c>
      <c r="AH42" s="82"/>
      <c r="AI42" s="77"/>
      <c r="AJ42" s="100">
        <v>1</v>
      </c>
      <c r="AK42" s="101">
        <v>1</v>
      </c>
      <c r="AL42" s="85">
        <f t="shared" si="6"/>
        <v>1</v>
      </c>
      <c r="AM42" s="78" t="s">
        <v>1539</v>
      </c>
      <c r="AO42" s="88"/>
      <c r="AP42" s="89"/>
      <c r="AQ42" s="90">
        <f t="shared" si="7"/>
        <v>0</v>
      </c>
      <c r="AR42" s="91"/>
    </row>
    <row r="43" spans="1:44" ht="45.75" customHeight="1" x14ac:dyDescent="0.25">
      <c r="A43" s="77">
        <v>40</v>
      </c>
      <c r="B43" s="78" t="s">
        <v>10</v>
      </c>
      <c r="C43" s="78" t="s">
        <v>11</v>
      </c>
      <c r="D43" s="78" t="s">
        <v>67</v>
      </c>
      <c r="E43" s="77"/>
      <c r="F43" s="79"/>
      <c r="G43" s="80"/>
      <c r="H43" s="81">
        <f t="shared" si="0"/>
        <v>0</v>
      </c>
      <c r="I43" s="82"/>
      <c r="J43" s="77"/>
      <c r="K43" s="100">
        <v>1</v>
      </c>
      <c r="L43" s="101">
        <v>1</v>
      </c>
      <c r="M43" s="85">
        <f t="shared" si="1"/>
        <v>1</v>
      </c>
      <c r="N43" s="78" t="s">
        <v>1080</v>
      </c>
      <c r="O43" s="77"/>
      <c r="P43" s="79"/>
      <c r="Q43" s="80"/>
      <c r="R43" s="81">
        <f t="shared" si="2"/>
        <v>0</v>
      </c>
      <c r="S43" s="82"/>
      <c r="T43" s="77"/>
      <c r="U43" s="79"/>
      <c r="V43" s="80"/>
      <c r="W43" s="81">
        <f t="shared" si="3"/>
        <v>0</v>
      </c>
      <c r="X43" s="82"/>
      <c r="Y43" s="77"/>
      <c r="Z43" s="79"/>
      <c r="AA43" s="80"/>
      <c r="AB43" s="81">
        <f t="shared" si="4"/>
        <v>0</v>
      </c>
      <c r="AC43" s="82"/>
      <c r="AD43" s="77"/>
      <c r="AE43" s="79"/>
      <c r="AF43" s="80"/>
      <c r="AG43" s="81">
        <f t="shared" si="5"/>
        <v>0</v>
      </c>
      <c r="AH43" s="82"/>
      <c r="AI43" s="77"/>
      <c r="AJ43" s="100">
        <v>1</v>
      </c>
      <c r="AK43" s="101">
        <v>0.5</v>
      </c>
      <c r="AL43" s="85">
        <f t="shared" si="6"/>
        <v>0.5</v>
      </c>
      <c r="AM43" s="78" t="s">
        <v>1542</v>
      </c>
      <c r="AO43" s="88"/>
      <c r="AP43" s="89"/>
      <c r="AQ43" s="90">
        <f t="shared" si="7"/>
        <v>0</v>
      </c>
      <c r="AR43" s="91"/>
    </row>
    <row r="44" spans="1:44" ht="126" x14ac:dyDescent="0.25">
      <c r="A44" s="77">
        <v>41</v>
      </c>
      <c r="B44" s="78" t="s">
        <v>10</v>
      </c>
      <c r="C44" s="78" t="s">
        <v>11</v>
      </c>
      <c r="D44" s="78" t="s">
        <v>68</v>
      </c>
      <c r="E44" s="77"/>
      <c r="F44" s="79"/>
      <c r="G44" s="80"/>
      <c r="H44" s="81">
        <f t="shared" si="0"/>
        <v>0</v>
      </c>
      <c r="I44" s="82"/>
      <c r="J44" s="77"/>
      <c r="K44" s="100">
        <v>1</v>
      </c>
      <c r="L44" s="101">
        <v>1</v>
      </c>
      <c r="M44" s="85">
        <f t="shared" si="1"/>
        <v>1</v>
      </c>
      <c r="N44" s="78" t="s">
        <v>1058</v>
      </c>
      <c r="O44" s="77"/>
      <c r="P44" s="79"/>
      <c r="Q44" s="80"/>
      <c r="R44" s="81">
        <f t="shared" si="2"/>
        <v>0</v>
      </c>
      <c r="S44" s="82"/>
      <c r="T44" s="77"/>
      <c r="U44" s="79"/>
      <c r="V44" s="80"/>
      <c r="W44" s="81">
        <f t="shared" si="3"/>
        <v>0</v>
      </c>
      <c r="X44" s="82"/>
      <c r="Y44" s="77"/>
      <c r="Z44" s="79"/>
      <c r="AA44" s="80"/>
      <c r="AB44" s="81">
        <f t="shared" si="4"/>
        <v>0</v>
      </c>
      <c r="AC44" s="82"/>
      <c r="AD44" s="77"/>
      <c r="AE44" s="79"/>
      <c r="AF44" s="80"/>
      <c r="AG44" s="81">
        <f t="shared" si="5"/>
        <v>0</v>
      </c>
      <c r="AH44" s="82"/>
      <c r="AI44" s="77"/>
      <c r="AJ44" s="100">
        <v>1</v>
      </c>
      <c r="AK44" s="101">
        <v>0.5</v>
      </c>
      <c r="AL44" s="85">
        <f t="shared" si="6"/>
        <v>0.5</v>
      </c>
      <c r="AM44" s="78" t="s">
        <v>1543</v>
      </c>
      <c r="AO44" s="88"/>
      <c r="AP44" s="89"/>
      <c r="AQ44" s="90">
        <f t="shared" si="7"/>
        <v>0</v>
      </c>
      <c r="AR44" s="91"/>
    </row>
    <row r="45" spans="1:44" ht="47.25" x14ac:dyDescent="0.25">
      <c r="A45" s="77">
        <v>42</v>
      </c>
      <c r="B45" s="78" t="s">
        <v>10</v>
      </c>
      <c r="C45" s="78" t="s">
        <v>11</v>
      </c>
      <c r="D45" s="78" t="s">
        <v>69</v>
      </c>
      <c r="E45" s="77"/>
      <c r="F45" s="79"/>
      <c r="G45" s="80"/>
      <c r="H45" s="81">
        <f t="shared" si="0"/>
        <v>0</v>
      </c>
      <c r="I45" s="82"/>
      <c r="J45" s="77"/>
      <c r="K45" s="100">
        <v>1</v>
      </c>
      <c r="L45" s="101">
        <v>1</v>
      </c>
      <c r="M45" s="85">
        <f t="shared" si="1"/>
        <v>1</v>
      </c>
      <c r="N45" s="78" t="s">
        <v>1060</v>
      </c>
      <c r="O45" s="77"/>
      <c r="P45" s="79"/>
      <c r="Q45" s="80"/>
      <c r="R45" s="81">
        <f t="shared" si="2"/>
        <v>0</v>
      </c>
      <c r="S45" s="82"/>
      <c r="T45" s="77"/>
      <c r="U45" s="79"/>
      <c r="V45" s="80"/>
      <c r="W45" s="81">
        <f t="shared" si="3"/>
        <v>0</v>
      </c>
      <c r="X45" s="82"/>
      <c r="Y45" s="77"/>
      <c r="Z45" s="79"/>
      <c r="AA45" s="80"/>
      <c r="AB45" s="81">
        <f t="shared" si="4"/>
        <v>0</v>
      </c>
      <c r="AC45" s="82"/>
      <c r="AD45" s="77"/>
      <c r="AE45" s="79"/>
      <c r="AF45" s="80"/>
      <c r="AG45" s="81">
        <f t="shared" si="5"/>
        <v>0</v>
      </c>
      <c r="AH45" s="82"/>
      <c r="AI45" s="77"/>
      <c r="AJ45" s="100">
        <v>1</v>
      </c>
      <c r="AK45" s="101">
        <v>0.7</v>
      </c>
      <c r="AL45" s="85">
        <f t="shared" si="6"/>
        <v>0.7</v>
      </c>
      <c r="AM45" s="78" t="s">
        <v>1409</v>
      </c>
      <c r="AO45" s="88"/>
      <c r="AP45" s="89"/>
      <c r="AQ45" s="90">
        <f t="shared" si="7"/>
        <v>0</v>
      </c>
      <c r="AR45" s="91"/>
    </row>
    <row r="46" spans="1:44" ht="189" x14ac:dyDescent="0.25">
      <c r="A46" s="77">
        <v>43</v>
      </c>
      <c r="B46" s="78" t="s">
        <v>10</v>
      </c>
      <c r="C46" s="78" t="s">
        <v>11</v>
      </c>
      <c r="D46" s="78" t="s">
        <v>70</v>
      </c>
      <c r="E46" s="77"/>
      <c r="F46" s="79"/>
      <c r="G46" s="80"/>
      <c r="H46" s="81">
        <f t="shared" si="0"/>
        <v>0</v>
      </c>
      <c r="I46" s="82"/>
      <c r="J46" s="77"/>
      <c r="K46" s="100">
        <v>1</v>
      </c>
      <c r="L46" s="101">
        <v>1</v>
      </c>
      <c r="M46" s="85">
        <f t="shared" si="1"/>
        <v>1</v>
      </c>
      <c r="N46" s="78" t="s">
        <v>1081</v>
      </c>
      <c r="O46" s="77"/>
      <c r="P46" s="79"/>
      <c r="Q46" s="80"/>
      <c r="R46" s="81">
        <f t="shared" si="2"/>
        <v>0</v>
      </c>
      <c r="S46" s="82"/>
      <c r="T46" s="77"/>
      <c r="U46" s="79"/>
      <c r="V46" s="80"/>
      <c r="W46" s="81">
        <f t="shared" si="3"/>
        <v>0</v>
      </c>
      <c r="X46" s="82"/>
      <c r="Y46" s="77"/>
      <c r="Z46" s="79"/>
      <c r="AA46" s="80"/>
      <c r="AB46" s="81">
        <f t="shared" si="4"/>
        <v>0</v>
      </c>
      <c r="AC46" s="82"/>
      <c r="AD46" s="77"/>
      <c r="AE46" s="79"/>
      <c r="AF46" s="80"/>
      <c r="AG46" s="81">
        <f t="shared" si="5"/>
        <v>0</v>
      </c>
      <c r="AH46" s="82"/>
      <c r="AI46" s="77"/>
      <c r="AJ46" s="100">
        <v>1</v>
      </c>
      <c r="AK46" s="101">
        <v>0.68</v>
      </c>
      <c r="AL46" s="85">
        <f t="shared" si="6"/>
        <v>0.68</v>
      </c>
      <c r="AM46" s="78" t="s">
        <v>1544</v>
      </c>
      <c r="AO46" s="88"/>
      <c r="AP46" s="89"/>
      <c r="AQ46" s="90">
        <f t="shared" si="7"/>
        <v>0</v>
      </c>
      <c r="AR46" s="91"/>
    </row>
    <row r="47" spans="1:44" ht="47.25" x14ac:dyDescent="0.25">
      <c r="A47" s="77">
        <v>44</v>
      </c>
      <c r="B47" s="78" t="s">
        <v>10</v>
      </c>
      <c r="C47" s="78" t="s">
        <v>11</v>
      </c>
      <c r="D47" s="78" t="s">
        <v>12</v>
      </c>
      <c r="E47" s="77"/>
      <c r="F47" s="79"/>
      <c r="G47" s="80"/>
      <c r="H47" s="81">
        <f t="shared" si="0"/>
        <v>0</v>
      </c>
      <c r="I47" s="82"/>
      <c r="J47" s="77"/>
      <c r="K47" s="100">
        <v>1</v>
      </c>
      <c r="L47" s="101">
        <v>1</v>
      </c>
      <c r="M47" s="85">
        <f t="shared" si="1"/>
        <v>1</v>
      </c>
      <c r="N47" s="78" t="s">
        <v>1062</v>
      </c>
      <c r="O47" s="77"/>
      <c r="P47" s="79"/>
      <c r="Q47" s="80"/>
      <c r="R47" s="81">
        <f t="shared" si="2"/>
        <v>0</v>
      </c>
      <c r="S47" s="82"/>
      <c r="T47" s="77"/>
      <c r="U47" s="79"/>
      <c r="V47" s="80"/>
      <c r="W47" s="81">
        <f t="shared" si="3"/>
        <v>0</v>
      </c>
      <c r="X47" s="82"/>
      <c r="Y47" s="77"/>
      <c r="Z47" s="79"/>
      <c r="AA47" s="80"/>
      <c r="AB47" s="81">
        <f t="shared" si="4"/>
        <v>0</v>
      </c>
      <c r="AC47" s="82"/>
      <c r="AD47" s="77"/>
      <c r="AE47" s="79"/>
      <c r="AF47" s="80"/>
      <c r="AG47" s="81">
        <f t="shared" si="5"/>
        <v>0</v>
      </c>
      <c r="AH47" s="82"/>
      <c r="AI47" s="77"/>
      <c r="AJ47" s="100">
        <v>1</v>
      </c>
      <c r="AK47" s="101">
        <v>0.5</v>
      </c>
      <c r="AL47" s="85">
        <f t="shared" si="6"/>
        <v>0.5</v>
      </c>
      <c r="AM47" s="78" t="s">
        <v>1414</v>
      </c>
      <c r="AO47" s="88"/>
      <c r="AP47" s="89"/>
      <c r="AQ47" s="90">
        <f t="shared" si="7"/>
        <v>0</v>
      </c>
      <c r="AR47" s="91"/>
    </row>
    <row r="48" spans="1:44" ht="110.25" x14ac:dyDescent="0.25">
      <c r="A48" s="77">
        <v>45</v>
      </c>
      <c r="B48" s="78" t="s">
        <v>10</v>
      </c>
      <c r="C48" s="78" t="s">
        <v>71</v>
      </c>
      <c r="D48" s="78" t="s">
        <v>72</v>
      </c>
      <c r="E48" s="77"/>
      <c r="F48" s="79"/>
      <c r="G48" s="80"/>
      <c r="H48" s="81">
        <f t="shared" si="0"/>
        <v>0</v>
      </c>
      <c r="I48" s="82"/>
      <c r="J48" s="77"/>
      <c r="K48" s="100">
        <v>1</v>
      </c>
      <c r="L48" s="101">
        <v>1</v>
      </c>
      <c r="M48" s="85">
        <f t="shared" si="1"/>
        <v>1</v>
      </c>
      <c r="N48" s="78" t="s">
        <v>1082</v>
      </c>
      <c r="O48" s="77"/>
      <c r="P48" s="79"/>
      <c r="Q48" s="80"/>
      <c r="R48" s="81">
        <f t="shared" si="2"/>
        <v>0</v>
      </c>
      <c r="S48" s="82"/>
      <c r="T48" s="77"/>
      <c r="U48" s="79"/>
      <c r="V48" s="80"/>
      <c r="W48" s="81">
        <f t="shared" si="3"/>
        <v>0</v>
      </c>
      <c r="X48" s="82"/>
      <c r="Y48" s="77"/>
      <c r="Z48" s="79"/>
      <c r="AA48" s="80"/>
      <c r="AB48" s="81">
        <f t="shared" si="4"/>
        <v>0</v>
      </c>
      <c r="AC48" s="82"/>
      <c r="AD48" s="77"/>
      <c r="AE48" s="79"/>
      <c r="AF48" s="80"/>
      <c r="AG48" s="81">
        <f t="shared" si="5"/>
        <v>0</v>
      </c>
      <c r="AH48" s="82"/>
      <c r="AI48" s="77"/>
      <c r="AJ48" s="100">
        <v>1</v>
      </c>
      <c r="AK48" s="101">
        <v>0.65</v>
      </c>
      <c r="AL48" s="85">
        <f t="shared" si="6"/>
        <v>0.65</v>
      </c>
      <c r="AM48" s="78" t="s">
        <v>1545</v>
      </c>
      <c r="AO48" s="88"/>
      <c r="AP48" s="89"/>
      <c r="AQ48" s="90">
        <f t="shared" si="7"/>
        <v>0</v>
      </c>
      <c r="AR48" s="91"/>
    </row>
    <row r="49" spans="1:44" ht="31.5" x14ac:dyDescent="0.25">
      <c r="A49" s="77">
        <v>46</v>
      </c>
      <c r="B49" s="78" t="s">
        <v>10</v>
      </c>
      <c r="C49" s="78" t="s">
        <v>11</v>
      </c>
      <c r="D49" s="78" t="s">
        <v>13</v>
      </c>
      <c r="E49" s="77"/>
      <c r="F49" s="79"/>
      <c r="G49" s="80"/>
      <c r="H49" s="81">
        <f t="shared" si="0"/>
        <v>0</v>
      </c>
      <c r="I49" s="82"/>
      <c r="J49" s="77"/>
      <c r="K49" s="100">
        <v>1</v>
      </c>
      <c r="L49" s="101">
        <v>1</v>
      </c>
      <c r="M49" s="85">
        <f t="shared" si="1"/>
        <v>1</v>
      </c>
      <c r="N49" s="78" t="s">
        <v>1060</v>
      </c>
      <c r="O49" s="77"/>
      <c r="P49" s="79"/>
      <c r="Q49" s="80"/>
      <c r="R49" s="81">
        <f t="shared" si="2"/>
        <v>0</v>
      </c>
      <c r="S49" s="82"/>
      <c r="T49" s="77"/>
      <c r="U49" s="79"/>
      <c r="V49" s="80"/>
      <c r="W49" s="81">
        <f t="shared" si="3"/>
        <v>0</v>
      </c>
      <c r="X49" s="82"/>
      <c r="Y49" s="77"/>
      <c r="Z49" s="79"/>
      <c r="AA49" s="80"/>
      <c r="AB49" s="81">
        <f t="shared" si="4"/>
        <v>0</v>
      </c>
      <c r="AC49" s="82"/>
      <c r="AD49" s="77"/>
      <c r="AE49" s="79"/>
      <c r="AF49" s="80"/>
      <c r="AG49" s="81">
        <f t="shared" si="5"/>
        <v>0</v>
      </c>
      <c r="AH49" s="82"/>
      <c r="AI49" s="77"/>
      <c r="AJ49" s="100">
        <v>1</v>
      </c>
      <c r="AK49" s="101">
        <v>1</v>
      </c>
      <c r="AL49" s="85">
        <f t="shared" si="6"/>
        <v>1</v>
      </c>
      <c r="AM49" s="78" t="s">
        <v>1066</v>
      </c>
      <c r="AO49" s="88"/>
      <c r="AP49" s="89"/>
      <c r="AQ49" s="90">
        <f t="shared" si="7"/>
        <v>0</v>
      </c>
      <c r="AR49" s="91"/>
    </row>
    <row r="50" spans="1:44" ht="63" x14ac:dyDescent="0.25">
      <c r="A50" s="77">
        <v>47</v>
      </c>
      <c r="B50" s="78" t="s">
        <v>14</v>
      </c>
      <c r="C50" s="78" t="s">
        <v>14</v>
      </c>
      <c r="D50" s="78" t="s">
        <v>15</v>
      </c>
      <c r="E50" s="77"/>
      <c r="F50" s="79"/>
      <c r="G50" s="80"/>
      <c r="H50" s="81">
        <f t="shared" si="0"/>
        <v>0</v>
      </c>
      <c r="I50" s="82"/>
      <c r="J50" s="77"/>
      <c r="K50" s="100">
        <v>1</v>
      </c>
      <c r="L50" s="101">
        <v>1</v>
      </c>
      <c r="M50" s="85">
        <f t="shared" si="1"/>
        <v>1</v>
      </c>
      <c r="N50" s="78" t="s">
        <v>1087</v>
      </c>
      <c r="O50" s="77"/>
      <c r="P50" s="79"/>
      <c r="Q50" s="80"/>
      <c r="R50" s="81">
        <f t="shared" si="2"/>
        <v>0</v>
      </c>
      <c r="S50" s="82"/>
      <c r="T50" s="77"/>
      <c r="U50" s="79"/>
      <c r="V50" s="80"/>
      <c r="W50" s="81">
        <f t="shared" si="3"/>
        <v>0</v>
      </c>
      <c r="X50" s="82"/>
      <c r="Y50" s="77"/>
      <c r="Z50" s="79"/>
      <c r="AA50" s="80"/>
      <c r="AB50" s="81">
        <f t="shared" si="4"/>
        <v>0</v>
      </c>
      <c r="AC50" s="82"/>
      <c r="AD50" s="77"/>
      <c r="AE50" s="79"/>
      <c r="AF50" s="80"/>
      <c r="AG50" s="81">
        <f t="shared" si="5"/>
        <v>0</v>
      </c>
      <c r="AH50" s="82"/>
      <c r="AI50" s="77"/>
      <c r="AJ50" s="100">
        <v>1</v>
      </c>
      <c r="AK50" s="101">
        <v>0.9</v>
      </c>
      <c r="AL50" s="85">
        <f t="shared" si="6"/>
        <v>0.9</v>
      </c>
      <c r="AM50" s="78" t="s">
        <v>1133</v>
      </c>
      <c r="AO50" s="88"/>
      <c r="AP50" s="89"/>
      <c r="AQ50" s="90">
        <f t="shared" si="7"/>
        <v>0</v>
      </c>
      <c r="AR50" s="91"/>
    </row>
    <row r="51" spans="1:44" ht="142.5" customHeight="1" x14ac:dyDescent="0.25">
      <c r="A51" s="77">
        <v>48</v>
      </c>
      <c r="B51" s="78" t="s">
        <v>14</v>
      </c>
      <c r="C51" s="78" t="s">
        <v>14</v>
      </c>
      <c r="D51" s="78" t="s">
        <v>73</v>
      </c>
      <c r="E51" s="77"/>
      <c r="F51" s="79"/>
      <c r="G51" s="80"/>
      <c r="H51" s="81">
        <f t="shared" si="0"/>
        <v>0</v>
      </c>
      <c r="I51" s="82"/>
      <c r="J51" s="77"/>
      <c r="K51" s="100">
        <v>1</v>
      </c>
      <c r="L51" s="101">
        <v>0.65</v>
      </c>
      <c r="M51" s="85">
        <f t="shared" si="1"/>
        <v>0.65</v>
      </c>
      <c r="N51" s="78" t="s">
        <v>1166</v>
      </c>
      <c r="O51" s="77"/>
      <c r="P51" s="79"/>
      <c r="Q51" s="80"/>
      <c r="R51" s="81">
        <f t="shared" si="2"/>
        <v>0</v>
      </c>
      <c r="S51" s="82"/>
      <c r="T51" s="77"/>
      <c r="U51" s="79"/>
      <c r="V51" s="80"/>
      <c r="W51" s="81">
        <f t="shared" si="3"/>
        <v>0</v>
      </c>
      <c r="X51" s="82"/>
      <c r="Y51" s="77"/>
      <c r="Z51" s="79"/>
      <c r="AA51" s="80"/>
      <c r="AB51" s="81">
        <f t="shared" si="4"/>
        <v>0</v>
      </c>
      <c r="AC51" s="82"/>
      <c r="AD51" s="77"/>
      <c r="AE51" s="79"/>
      <c r="AF51" s="80"/>
      <c r="AG51" s="81">
        <f t="shared" si="5"/>
        <v>0</v>
      </c>
      <c r="AH51" s="82"/>
      <c r="AI51" s="77"/>
      <c r="AJ51" s="100">
        <v>1</v>
      </c>
      <c r="AK51" s="101">
        <v>0.15</v>
      </c>
      <c r="AL51" s="85">
        <f t="shared" si="6"/>
        <v>0.15</v>
      </c>
      <c r="AM51" s="78" t="s">
        <v>1171</v>
      </c>
      <c r="AO51" s="88"/>
      <c r="AP51" s="89"/>
      <c r="AQ51" s="90">
        <f t="shared" si="7"/>
        <v>0</v>
      </c>
      <c r="AR51" s="91"/>
    </row>
    <row r="52" spans="1:44" ht="124.5" customHeight="1" x14ac:dyDescent="0.25">
      <c r="A52" s="77">
        <v>49</v>
      </c>
      <c r="B52" s="78" t="s">
        <v>14</v>
      </c>
      <c r="C52" s="78" t="s">
        <v>14</v>
      </c>
      <c r="D52" s="78" t="s">
        <v>74</v>
      </c>
      <c r="E52" s="77"/>
      <c r="F52" s="79"/>
      <c r="G52" s="80"/>
      <c r="H52" s="81">
        <f t="shared" si="0"/>
        <v>0</v>
      </c>
      <c r="I52" s="82"/>
      <c r="J52" s="77"/>
      <c r="K52" s="100">
        <v>1</v>
      </c>
      <c r="L52" s="101">
        <v>0.7</v>
      </c>
      <c r="M52" s="85">
        <f t="shared" si="1"/>
        <v>0.7</v>
      </c>
      <c r="N52" s="78" t="s">
        <v>1167</v>
      </c>
      <c r="O52" s="77"/>
      <c r="P52" s="79"/>
      <c r="Q52" s="80"/>
      <c r="R52" s="81">
        <f t="shared" si="2"/>
        <v>0</v>
      </c>
      <c r="S52" s="82"/>
      <c r="T52" s="77"/>
      <c r="U52" s="79"/>
      <c r="V52" s="80"/>
      <c r="W52" s="81">
        <f t="shared" si="3"/>
        <v>0</v>
      </c>
      <c r="X52" s="82"/>
      <c r="Y52" s="77"/>
      <c r="Z52" s="79"/>
      <c r="AA52" s="80"/>
      <c r="AB52" s="81">
        <f t="shared" si="4"/>
        <v>0</v>
      </c>
      <c r="AC52" s="82"/>
      <c r="AD52" s="77"/>
      <c r="AE52" s="79"/>
      <c r="AF52" s="80"/>
      <c r="AG52" s="81">
        <f t="shared" si="5"/>
        <v>0</v>
      </c>
      <c r="AH52" s="82"/>
      <c r="AI52" s="77"/>
      <c r="AJ52" s="100">
        <v>1</v>
      </c>
      <c r="AK52" s="101">
        <v>0.2</v>
      </c>
      <c r="AL52" s="85">
        <f t="shared" si="6"/>
        <v>0.2</v>
      </c>
      <c r="AM52" s="78" t="s">
        <v>1172</v>
      </c>
      <c r="AO52" s="88"/>
      <c r="AP52" s="89"/>
      <c r="AQ52" s="90">
        <f t="shared" si="7"/>
        <v>0</v>
      </c>
      <c r="AR52" s="91"/>
    </row>
    <row r="53" spans="1:44" ht="138" customHeight="1" x14ac:dyDescent="0.25">
      <c r="A53" s="77">
        <v>50</v>
      </c>
      <c r="B53" s="78" t="s">
        <v>14</v>
      </c>
      <c r="C53" s="78" t="s">
        <v>14</v>
      </c>
      <c r="D53" s="78" t="s">
        <v>75</v>
      </c>
      <c r="E53" s="77"/>
      <c r="F53" s="79"/>
      <c r="G53" s="80"/>
      <c r="H53" s="81">
        <f t="shared" si="0"/>
        <v>0</v>
      </c>
      <c r="I53" s="82"/>
      <c r="J53" s="77"/>
      <c r="K53" s="100">
        <v>1</v>
      </c>
      <c r="L53" s="101">
        <v>1</v>
      </c>
      <c r="M53" s="85">
        <f t="shared" si="1"/>
        <v>1</v>
      </c>
      <c r="N53" s="78" t="s">
        <v>1087</v>
      </c>
      <c r="O53" s="77"/>
      <c r="P53" s="79"/>
      <c r="Q53" s="80"/>
      <c r="R53" s="81">
        <f t="shared" si="2"/>
        <v>0</v>
      </c>
      <c r="S53" s="82"/>
      <c r="T53" s="77"/>
      <c r="U53" s="79"/>
      <c r="V53" s="80"/>
      <c r="W53" s="81">
        <f t="shared" si="3"/>
        <v>0</v>
      </c>
      <c r="X53" s="82"/>
      <c r="Y53" s="77"/>
      <c r="Z53" s="79"/>
      <c r="AA53" s="80"/>
      <c r="AB53" s="81">
        <f t="shared" si="4"/>
        <v>0</v>
      </c>
      <c r="AC53" s="82"/>
      <c r="AD53" s="77"/>
      <c r="AE53" s="79"/>
      <c r="AF53" s="80"/>
      <c r="AG53" s="81">
        <f t="shared" si="5"/>
        <v>0</v>
      </c>
      <c r="AH53" s="82"/>
      <c r="AI53" s="77"/>
      <c r="AJ53" s="100">
        <v>1</v>
      </c>
      <c r="AK53" s="101">
        <v>0.85</v>
      </c>
      <c r="AL53" s="85">
        <f t="shared" si="6"/>
        <v>0.85</v>
      </c>
      <c r="AM53" s="78" t="s">
        <v>1136</v>
      </c>
      <c r="AO53" s="88"/>
      <c r="AP53" s="89"/>
      <c r="AQ53" s="90">
        <f t="shared" si="7"/>
        <v>0</v>
      </c>
      <c r="AR53" s="91"/>
    </row>
    <row r="54" spans="1:44" ht="109.5" customHeight="1" x14ac:dyDescent="0.25">
      <c r="A54" s="77">
        <v>51</v>
      </c>
      <c r="B54" s="78" t="s">
        <v>14</v>
      </c>
      <c r="C54" s="78" t="s">
        <v>14</v>
      </c>
      <c r="D54" s="78" t="s">
        <v>76</v>
      </c>
      <c r="E54" s="77"/>
      <c r="F54" s="79"/>
      <c r="G54" s="80"/>
      <c r="H54" s="81">
        <f t="shared" si="0"/>
        <v>0</v>
      </c>
      <c r="I54" s="82"/>
      <c r="J54" s="77"/>
      <c r="K54" s="100">
        <v>1</v>
      </c>
      <c r="L54" s="101">
        <v>1</v>
      </c>
      <c r="M54" s="85">
        <f t="shared" si="1"/>
        <v>1</v>
      </c>
      <c r="N54" s="78" t="s">
        <v>1087</v>
      </c>
      <c r="O54" s="77"/>
      <c r="P54" s="79"/>
      <c r="Q54" s="80"/>
      <c r="R54" s="81">
        <f t="shared" si="2"/>
        <v>0</v>
      </c>
      <c r="S54" s="82"/>
      <c r="T54" s="77"/>
      <c r="U54" s="79"/>
      <c r="V54" s="80"/>
      <c r="W54" s="81">
        <f t="shared" si="3"/>
        <v>0</v>
      </c>
      <c r="X54" s="82"/>
      <c r="Y54" s="77"/>
      <c r="Z54" s="79"/>
      <c r="AA54" s="80"/>
      <c r="AB54" s="81">
        <f t="shared" si="4"/>
        <v>0</v>
      </c>
      <c r="AC54" s="82"/>
      <c r="AD54" s="77"/>
      <c r="AE54" s="79"/>
      <c r="AF54" s="80"/>
      <c r="AG54" s="81">
        <f t="shared" si="5"/>
        <v>0</v>
      </c>
      <c r="AH54" s="82"/>
      <c r="AI54" s="77"/>
      <c r="AJ54" s="100">
        <v>1</v>
      </c>
      <c r="AK54" s="101">
        <v>0.8</v>
      </c>
      <c r="AL54" s="85">
        <f t="shared" si="6"/>
        <v>0.8</v>
      </c>
      <c r="AM54" s="78" t="s">
        <v>1173</v>
      </c>
      <c r="AO54" s="88"/>
      <c r="AP54" s="89"/>
      <c r="AQ54" s="90">
        <f t="shared" si="7"/>
        <v>0</v>
      </c>
      <c r="AR54" s="91"/>
    </row>
    <row r="55" spans="1:44" ht="267.75" x14ac:dyDescent="0.25">
      <c r="A55" s="77">
        <v>52</v>
      </c>
      <c r="B55" s="78" t="s">
        <v>14</v>
      </c>
      <c r="C55" s="78" t="s">
        <v>14</v>
      </c>
      <c r="D55" s="78" t="s">
        <v>77</v>
      </c>
      <c r="E55" s="77"/>
      <c r="F55" s="79"/>
      <c r="G55" s="80"/>
      <c r="H55" s="81">
        <f t="shared" si="0"/>
        <v>0</v>
      </c>
      <c r="I55" s="82"/>
      <c r="J55" s="77"/>
      <c r="K55" s="100">
        <v>1</v>
      </c>
      <c r="L55" s="101">
        <v>1</v>
      </c>
      <c r="M55" s="85">
        <f t="shared" si="1"/>
        <v>1</v>
      </c>
      <c r="N55" s="78" t="s">
        <v>1087</v>
      </c>
      <c r="O55" s="77"/>
      <c r="P55" s="79"/>
      <c r="Q55" s="80"/>
      <c r="R55" s="81">
        <f t="shared" si="2"/>
        <v>0</v>
      </c>
      <c r="S55" s="82"/>
      <c r="T55" s="77"/>
      <c r="U55" s="79"/>
      <c r="V55" s="80"/>
      <c r="W55" s="81">
        <f t="shared" si="3"/>
        <v>0</v>
      </c>
      <c r="X55" s="82"/>
      <c r="Y55" s="77"/>
      <c r="Z55" s="79"/>
      <c r="AA55" s="80"/>
      <c r="AB55" s="81">
        <f t="shared" si="4"/>
        <v>0</v>
      </c>
      <c r="AC55" s="82"/>
      <c r="AD55" s="77"/>
      <c r="AE55" s="79"/>
      <c r="AF55" s="80"/>
      <c r="AG55" s="81">
        <f t="shared" si="5"/>
        <v>0</v>
      </c>
      <c r="AH55" s="82"/>
      <c r="AI55" s="77"/>
      <c r="AJ55" s="100">
        <v>1</v>
      </c>
      <c r="AK55" s="101">
        <v>0.1</v>
      </c>
      <c r="AL55" s="85">
        <f t="shared" si="6"/>
        <v>0.1</v>
      </c>
      <c r="AM55" s="78" t="s">
        <v>1162</v>
      </c>
      <c r="AO55" s="88"/>
      <c r="AP55" s="89"/>
      <c r="AQ55" s="90">
        <f t="shared" si="7"/>
        <v>0</v>
      </c>
      <c r="AR55" s="91"/>
    </row>
    <row r="56" spans="1:44" ht="79.5" customHeight="1" x14ac:dyDescent="0.25">
      <c r="A56" s="77">
        <v>53</v>
      </c>
      <c r="B56" s="78" t="s">
        <v>14</v>
      </c>
      <c r="C56" s="78" t="s">
        <v>14</v>
      </c>
      <c r="D56" s="78" t="s">
        <v>78</v>
      </c>
      <c r="E56" s="77"/>
      <c r="F56" s="79">
        <v>1</v>
      </c>
      <c r="G56" s="80"/>
      <c r="H56" s="81">
        <f t="shared" si="0"/>
        <v>0</v>
      </c>
      <c r="I56" s="82"/>
      <c r="J56" s="77"/>
      <c r="K56" s="100">
        <v>1</v>
      </c>
      <c r="L56" s="101">
        <v>1</v>
      </c>
      <c r="M56" s="85">
        <f t="shared" si="1"/>
        <v>1</v>
      </c>
      <c r="N56" s="78" t="s">
        <v>1087</v>
      </c>
      <c r="O56" s="77"/>
      <c r="P56" s="79"/>
      <c r="Q56" s="80"/>
      <c r="R56" s="81">
        <f t="shared" si="2"/>
        <v>0</v>
      </c>
      <c r="S56" s="77"/>
      <c r="T56" s="77"/>
      <c r="U56" s="79"/>
      <c r="V56" s="80"/>
      <c r="W56" s="81">
        <f t="shared" si="3"/>
        <v>0</v>
      </c>
      <c r="X56" s="77"/>
      <c r="Y56" s="77"/>
      <c r="Z56" s="79"/>
      <c r="AA56" s="80"/>
      <c r="AB56" s="81">
        <f t="shared" si="4"/>
        <v>0</v>
      </c>
      <c r="AC56" s="77"/>
      <c r="AD56" s="77"/>
      <c r="AE56" s="79"/>
      <c r="AF56" s="80"/>
      <c r="AG56" s="81">
        <f t="shared" si="5"/>
        <v>0</v>
      </c>
      <c r="AH56" s="77"/>
      <c r="AI56" s="77"/>
      <c r="AJ56" s="100">
        <v>1</v>
      </c>
      <c r="AK56" s="101">
        <v>1</v>
      </c>
      <c r="AL56" s="85">
        <f t="shared" si="6"/>
        <v>1</v>
      </c>
      <c r="AM56" s="78" t="s">
        <v>1087</v>
      </c>
      <c r="AO56" s="88"/>
      <c r="AP56" s="89"/>
      <c r="AQ56" s="90">
        <f t="shared" si="7"/>
        <v>0</v>
      </c>
      <c r="AR56" s="108"/>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AK4:AK15" xr:uid="{EFFA83B1-692B-4C1B-86CA-052EAFBE4C1F}">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F026A254-C491-446A-AD78-61A2A90E57C3}">
          <x14:formula1>
            <xm:f>'C:\Users\michele.cerqueira\AppData\Local\Microsoft\Windows\INetCache\Content.Outlook\CUTOBPMD\[ESTUDOS DE MERCADO - AVALIAÇÕES FINAIS.xlsx]Parâmetros'!#REF!</xm:f>
          </x14:formula1>
          <xm:sqref>K4:K15 AJ4:AJ15</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S56"/>
  <sheetViews>
    <sheetView zoomScale="70" zoomScaleNormal="70" workbookViewId="0">
      <pane xSplit="4" ySplit="3" topLeftCell="E7" activePane="bottomRight" state="frozen"/>
      <selection pane="topRight" activeCell="E1" sqref="E1"/>
      <selection pane="bottomLeft" activeCell="A4" sqref="A4"/>
      <selection pane="bottomRight" activeCell="N9" sqref="N9"/>
    </sheetView>
  </sheetViews>
  <sheetFormatPr defaultRowHeight="15" x14ac:dyDescent="0.25"/>
  <cols>
    <col min="1" max="1" width="6.28515625" style="76" customWidth="1"/>
    <col min="2" max="2" width="18.85546875" style="76" customWidth="1"/>
    <col min="3" max="3" width="19" style="76" customWidth="1"/>
    <col min="4" max="4" width="47" style="76" customWidth="1"/>
    <col min="5" max="5" width="4.7109375" style="76" customWidth="1"/>
    <col min="6" max="6" width="22.28515625" style="76" hidden="1" customWidth="1"/>
    <col min="7" max="7" width="14.5703125" style="76" hidden="1" customWidth="1"/>
    <col min="8" max="8" width="15.140625" style="76" hidden="1" customWidth="1"/>
    <col min="9" max="9" width="73.5703125" style="76" hidden="1" customWidth="1"/>
    <col min="10" max="10" width="0" style="76" hidden="1" customWidth="1"/>
    <col min="11" max="11" width="15.140625" style="109" customWidth="1"/>
    <col min="12" max="12" width="12.140625" style="109" customWidth="1"/>
    <col min="13" max="13" width="9.28515625" style="109" bestFit="1" customWidth="1"/>
    <col min="14" max="14" width="105.7109375" style="76" customWidth="1"/>
    <col min="15" max="15" width="2.7109375" style="76" customWidth="1"/>
    <col min="16" max="35" width="2.7109375" style="76" hidden="1" customWidth="1"/>
    <col min="36" max="36" width="15.42578125" style="109" customWidth="1"/>
    <col min="37" max="37" width="13.42578125" style="109" customWidth="1"/>
    <col min="38" max="38" width="9.28515625" style="109" bestFit="1" customWidth="1"/>
    <col min="39" max="39" width="110" style="76" customWidth="1"/>
    <col min="40" max="40" width="0" style="76" hidden="1" customWidth="1"/>
    <col min="41" max="41" width="14" style="76" hidden="1" customWidth="1"/>
    <col min="42" max="43" width="0" style="76" hidden="1" customWidth="1"/>
    <col min="44" max="44" width="57.5703125" style="76" hidden="1" customWidth="1"/>
    <col min="45" max="45" width="0" style="76" hidden="1" customWidth="1"/>
    <col min="46" max="46" width="7.85546875" style="76" customWidth="1"/>
    <col min="47" max="16384" width="9.140625" style="76"/>
  </cols>
  <sheetData>
    <row r="1" spans="1:45" x14ac:dyDescent="0.25">
      <c r="A1" s="73"/>
      <c r="B1" s="74"/>
      <c r="C1" s="74"/>
      <c r="D1" s="74"/>
      <c r="E1" s="74"/>
      <c r="F1" s="74"/>
      <c r="G1" s="74"/>
      <c r="H1" s="74"/>
      <c r="I1" s="74"/>
      <c r="J1" s="74"/>
      <c r="K1" s="75"/>
      <c r="L1" s="75"/>
      <c r="M1" s="75"/>
      <c r="N1" s="74"/>
      <c r="O1" s="74"/>
      <c r="P1" s="74"/>
      <c r="Q1" s="74"/>
      <c r="R1" s="74"/>
      <c r="S1" s="74"/>
      <c r="T1" s="74"/>
      <c r="U1" s="74"/>
      <c r="V1" s="74"/>
      <c r="W1" s="74"/>
      <c r="X1" s="74"/>
      <c r="Y1" s="74"/>
      <c r="Z1" s="74"/>
      <c r="AA1" s="74"/>
      <c r="AB1" s="74"/>
      <c r="AC1" s="74"/>
      <c r="AD1" s="74"/>
      <c r="AE1" s="74"/>
      <c r="AF1" s="74"/>
      <c r="AG1" s="74"/>
      <c r="AH1" s="74"/>
      <c r="AI1" s="74"/>
      <c r="AJ1" s="75"/>
      <c r="AK1" s="75"/>
      <c r="AL1" s="75"/>
      <c r="AM1" s="74"/>
      <c r="AN1" s="74"/>
      <c r="AO1" s="74"/>
      <c r="AP1" s="74"/>
      <c r="AQ1" s="74"/>
      <c r="AR1" s="74"/>
      <c r="AS1" s="74"/>
    </row>
    <row r="2" spans="1:45" ht="39" customHeight="1" x14ac:dyDescent="0.25">
      <c r="A2" s="73"/>
      <c r="B2" s="233" t="s">
        <v>16</v>
      </c>
      <c r="C2" s="233"/>
      <c r="D2" s="233"/>
      <c r="E2" s="74"/>
      <c r="F2" s="232" t="s">
        <v>121</v>
      </c>
      <c r="G2" s="232"/>
      <c r="H2" s="232"/>
      <c r="I2" s="232"/>
      <c r="J2" s="74"/>
      <c r="K2" s="234" t="s">
        <v>119</v>
      </c>
      <c r="L2" s="235"/>
      <c r="M2" s="235"/>
      <c r="N2" s="236"/>
      <c r="O2" s="74"/>
      <c r="P2" s="232" t="s">
        <v>120</v>
      </c>
      <c r="Q2" s="232"/>
      <c r="R2" s="232"/>
      <c r="S2" s="232"/>
      <c r="T2" s="74"/>
      <c r="U2" s="232" t="s">
        <v>122</v>
      </c>
      <c r="V2" s="232"/>
      <c r="W2" s="232"/>
      <c r="X2" s="232"/>
      <c r="Y2" s="74"/>
      <c r="Z2" s="232" t="s">
        <v>123</v>
      </c>
      <c r="AA2" s="232"/>
      <c r="AB2" s="232"/>
      <c r="AC2" s="232"/>
      <c r="AD2" s="74"/>
      <c r="AE2" s="232" t="s">
        <v>124</v>
      </c>
      <c r="AF2" s="232"/>
      <c r="AG2" s="232"/>
      <c r="AH2" s="232"/>
      <c r="AI2" s="74"/>
      <c r="AJ2" s="233" t="s">
        <v>125</v>
      </c>
      <c r="AK2" s="233"/>
      <c r="AL2" s="233"/>
      <c r="AM2" s="233"/>
      <c r="AN2" s="74"/>
      <c r="AO2" s="232" t="s">
        <v>126</v>
      </c>
      <c r="AP2" s="232"/>
      <c r="AQ2" s="232"/>
      <c r="AR2" s="232"/>
      <c r="AS2" s="74"/>
    </row>
    <row r="3" spans="1:45" ht="66" customHeight="1" x14ac:dyDescent="0.25">
      <c r="A3" s="73"/>
      <c r="B3" s="66" t="s">
        <v>0</v>
      </c>
      <c r="C3" s="66" t="s">
        <v>1</v>
      </c>
      <c r="D3" s="66" t="s">
        <v>2</v>
      </c>
      <c r="E3" s="74"/>
      <c r="F3" s="67" t="s">
        <v>17</v>
      </c>
      <c r="G3" s="67" t="s">
        <v>18</v>
      </c>
      <c r="H3" s="67" t="s">
        <v>21</v>
      </c>
      <c r="I3" s="67" t="s">
        <v>19</v>
      </c>
      <c r="J3" s="74"/>
      <c r="K3" s="70" t="s">
        <v>17</v>
      </c>
      <c r="L3" s="70" t="s">
        <v>18</v>
      </c>
      <c r="M3" s="70" t="s">
        <v>21</v>
      </c>
      <c r="N3" s="67" t="s">
        <v>19</v>
      </c>
      <c r="O3" s="74"/>
      <c r="P3" s="67" t="s">
        <v>17</v>
      </c>
      <c r="Q3" s="67" t="s">
        <v>18</v>
      </c>
      <c r="R3" s="67" t="s">
        <v>21</v>
      </c>
      <c r="S3" s="67" t="s">
        <v>19</v>
      </c>
      <c r="T3" s="74"/>
      <c r="U3" s="67" t="s">
        <v>17</v>
      </c>
      <c r="V3" s="67" t="s">
        <v>18</v>
      </c>
      <c r="W3" s="67" t="s">
        <v>21</v>
      </c>
      <c r="X3" s="67" t="s">
        <v>19</v>
      </c>
      <c r="Y3" s="74"/>
      <c r="Z3" s="67" t="s">
        <v>17</v>
      </c>
      <c r="AA3" s="67" t="s">
        <v>18</v>
      </c>
      <c r="AB3" s="67" t="s">
        <v>21</v>
      </c>
      <c r="AC3" s="67" t="s">
        <v>19</v>
      </c>
      <c r="AD3" s="74"/>
      <c r="AE3" s="67" t="s">
        <v>17</v>
      </c>
      <c r="AF3" s="67" t="s">
        <v>18</v>
      </c>
      <c r="AG3" s="67" t="s">
        <v>21</v>
      </c>
      <c r="AH3" s="67" t="s">
        <v>19</v>
      </c>
      <c r="AI3" s="74"/>
      <c r="AJ3" s="70" t="s">
        <v>17</v>
      </c>
      <c r="AK3" s="70" t="s">
        <v>18</v>
      </c>
      <c r="AL3" s="70" t="s">
        <v>21</v>
      </c>
      <c r="AM3" s="67" t="s">
        <v>19</v>
      </c>
      <c r="AN3" s="74"/>
      <c r="AO3" s="2" t="s">
        <v>17</v>
      </c>
      <c r="AP3" s="2" t="s">
        <v>18</v>
      </c>
      <c r="AQ3" s="2" t="s">
        <v>21</v>
      </c>
      <c r="AR3" s="2" t="s">
        <v>19</v>
      </c>
      <c r="AS3" s="74"/>
    </row>
    <row r="4" spans="1:45" ht="96" customHeight="1" x14ac:dyDescent="0.25">
      <c r="A4" s="77">
        <v>1</v>
      </c>
      <c r="B4" s="78" t="s">
        <v>3</v>
      </c>
      <c r="C4" s="78" t="s">
        <v>4</v>
      </c>
      <c r="D4" s="78" t="s">
        <v>32</v>
      </c>
      <c r="E4" s="77"/>
      <c r="F4" s="79">
        <v>1</v>
      </c>
      <c r="G4" s="80"/>
      <c r="H4" s="81">
        <f>F4*G4</f>
        <v>0</v>
      </c>
      <c r="I4" s="82"/>
      <c r="J4" s="77"/>
      <c r="K4" s="83">
        <v>1</v>
      </c>
      <c r="L4" s="84">
        <v>1</v>
      </c>
      <c r="M4" s="85">
        <f>K4*L4</f>
        <v>1</v>
      </c>
      <c r="N4" s="86"/>
      <c r="O4" s="77"/>
      <c r="P4" s="79"/>
      <c r="Q4" s="80"/>
      <c r="R4" s="81">
        <f>P4*Q4</f>
        <v>0</v>
      </c>
      <c r="S4" s="82"/>
      <c r="T4" s="77"/>
      <c r="U4" s="79"/>
      <c r="V4" s="80"/>
      <c r="W4" s="81">
        <f>U4*V4</f>
        <v>0</v>
      </c>
      <c r="X4" s="82"/>
      <c r="Y4" s="77"/>
      <c r="Z4" s="79"/>
      <c r="AA4" s="80"/>
      <c r="AB4" s="81">
        <f>Z4*AA4</f>
        <v>0</v>
      </c>
      <c r="AC4" s="82"/>
      <c r="AD4" s="77"/>
      <c r="AE4" s="79"/>
      <c r="AF4" s="80"/>
      <c r="AG4" s="81">
        <f>AE4*AF4</f>
        <v>0</v>
      </c>
      <c r="AH4" s="82"/>
      <c r="AI4" s="77"/>
      <c r="AJ4" s="83">
        <v>1</v>
      </c>
      <c r="AK4" s="84">
        <v>0.4</v>
      </c>
      <c r="AL4" s="85">
        <f>AJ4*AK4</f>
        <v>0.4</v>
      </c>
      <c r="AM4" s="87" t="s">
        <v>1443</v>
      </c>
      <c r="AN4" s="74"/>
      <c r="AO4" s="88"/>
      <c r="AP4" s="89"/>
      <c r="AQ4" s="90">
        <f>AO4*AP4</f>
        <v>0</v>
      </c>
      <c r="AR4" s="91"/>
      <c r="AS4" s="74"/>
    </row>
    <row r="5" spans="1:45" ht="78.75" x14ac:dyDescent="0.25">
      <c r="A5" s="77">
        <v>2</v>
      </c>
      <c r="B5" s="78" t="s">
        <v>3</v>
      </c>
      <c r="C5" s="78" t="s">
        <v>4</v>
      </c>
      <c r="D5" s="78" t="s">
        <v>33</v>
      </c>
      <c r="E5" s="77"/>
      <c r="F5" s="79">
        <v>1</v>
      </c>
      <c r="G5" s="80"/>
      <c r="H5" s="81">
        <f t="shared" ref="H5:H56" si="0">F5*G5</f>
        <v>0</v>
      </c>
      <c r="I5" s="82"/>
      <c r="J5" s="77"/>
      <c r="K5" s="92">
        <v>1</v>
      </c>
      <c r="L5" s="93">
        <v>0.95</v>
      </c>
      <c r="M5" s="85">
        <f t="shared" ref="M5:M56" si="1">K5*L5</f>
        <v>0.95</v>
      </c>
      <c r="N5" s="94" t="s">
        <v>1179</v>
      </c>
      <c r="O5" s="77"/>
      <c r="P5" s="79"/>
      <c r="Q5" s="80"/>
      <c r="R5" s="81">
        <f t="shared" ref="R5:R56" si="2">P5*Q5</f>
        <v>0</v>
      </c>
      <c r="S5" s="82"/>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92">
        <v>1</v>
      </c>
      <c r="AK5" s="93">
        <v>0.6</v>
      </c>
      <c r="AL5" s="85">
        <f t="shared" ref="AL5:AL56" si="6">AJ5*AK5</f>
        <v>0.6</v>
      </c>
      <c r="AM5" s="95" t="s">
        <v>1420</v>
      </c>
      <c r="AN5" s="74"/>
      <c r="AO5" s="88"/>
      <c r="AP5" s="89"/>
      <c r="AQ5" s="90">
        <f t="shared" ref="AQ5:AQ56" si="7">AO5*AP5</f>
        <v>0</v>
      </c>
      <c r="AR5" s="91"/>
      <c r="AS5" s="74"/>
    </row>
    <row r="6" spans="1:45" ht="78.75" x14ac:dyDescent="0.25">
      <c r="A6" s="77">
        <v>3</v>
      </c>
      <c r="B6" s="78" t="s">
        <v>3</v>
      </c>
      <c r="C6" s="78" t="s">
        <v>4</v>
      </c>
      <c r="D6" s="78" t="s">
        <v>128</v>
      </c>
      <c r="E6" s="77"/>
      <c r="F6" s="79"/>
      <c r="G6" s="80"/>
      <c r="H6" s="81">
        <f t="shared" si="0"/>
        <v>0</v>
      </c>
      <c r="I6" s="82"/>
      <c r="J6" s="77"/>
      <c r="K6" s="83">
        <v>1</v>
      </c>
      <c r="L6" s="84">
        <v>0.98</v>
      </c>
      <c r="M6" s="85">
        <f t="shared" si="1"/>
        <v>0.98</v>
      </c>
      <c r="N6" s="86" t="s">
        <v>1266</v>
      </c>
      <c r="O6" s="77"/>
      <c r="P6" s="79"/>
      <c r="Q6" s="80"/>
      <c r="R6" s="81">
        <f t="shared" si="2"/>
        <v>0</v>
      </c>
      <c r="S6" s="82"/>
      <c r="T6" s="77"/>
      <c r="U6" s="79"/>
      <c r="V6" s="80"/>
      <c r="W6" s="81">
        <f t="shared" si="3"/>
        <v>0</v>
      </c>
      <c r="X6" s="82"/>
      <c r="Y6" s="77"/>
      <c r="Z6" s="79"/>
      <c r="AA6" s="80"/>
      <c r="AB6" s="81">
        <f t="shared" si="4"/>
        <v>0</v>
      </c>
      <c r="AC6" s="82"/>
      <c r="AD6" s="77"/>
      <c r="AE6" s="79"/>
      <c r="AF6" s="80"/>
      <c r="AG6" s="81">
        <f t="shared" si="5"/>
        <v>0</v>
      </c>
      <c r="AH6" s="82"/>
      <c r="AI6" s="77"/>
      <c r="AJ6" s="83">
        <v>1</v>
      </c>
      <c r="AK6" s="84">
        <v>0.85</v>
      </c>
      <c r="AL6" s="85">
        <f t="shared" si="6"/>
        <v>0.85</v>
      </c>
      <c r="AM6" s="87" t="s">
        <v>1240</v>
      </c>
      <c r="AN6" s="74"/>
      <c r="AO6" s="88"/>
      <c r="AP6" s="89"/>
      <c r="AQ6" s="90">
        <f t="shared" si="7"/>
        <v>0</v>
      </c>
      <c r="AR6" s="91"/>
      <c r="AS6" s="74"/>
    </row>
    <row r="7" spans="1:45" ht="78.75" x14ac:dyDescent="0.25">
      <c r="A7" s="77">
        <v>4</v>
      </c>
      <c r="B7" s="78" t="s">
        <v>3</v>
      </c>
      <c r="C7" s="78" t="s">
        <v>4</v>
      </c>
      <c r="D7" s="78" t="s">
        <v>34</v>
      </c>
      <c r="E7" s="77"/>
      <c r="F7" s="79"/>
      <c r="G7" s="80"/>
      <c r="H7" s="81">
        <f t="shared" si="0"/>
        <v>0</v>
      </c>
      <c r="I7" s="82"/>
      <c r="J7" s="77"/>
      <c r="K7" s="92">
        <v>1</v>
      </c>
      <c r="L7" s="93">
        <v>0.94499999999999995</v>
      </c>
      <c r="M7" s="85">
        <f t="shared" si="1"/>
        <v>0.94499999999999995</v>
      </c>
      <c r="N7" s="94" t="s">
        <v>1421</v>
      </c>
      <c r="O7" s="77"/>
      <c r="P7" s="79"/>
      <c r="Q7" s="80"/>
      <c r="R7" s="81">
        <f t="shared" si="2"/>
        <v>0</v>
      </c>
      <c r="S7" s="82"/>
      <c r="T7" s="77"/>
      <c r="U7" s="79"/>
      <c r="V7" s="80"/>
      <c r="W7" s="81">
        <f t="shared" si="3"/>
        <v>0</v>
      </c>
      <c r="X7" s="82"/>
      <c r="Y7" s="77"/>
      <c r="Z7" s="79"/>
      <c r="AA7" s="80"/>
      <c r="AB7" s="81">
        <f t="shared" si="4"/>
        <v>0</v>
      </c>
      <c r="AC7" s="82"/>
      <c r="AD7" s="77"/>
      <c r="AE7" s="79"/>
      <c r="AF7" s="80"/>
      <c r="AG7" s="81">
        <f t="shared" si="5"/>
        <v>0</v>
      </c>
      <c r="AH7" s="82"/>
      <c r="AI7" s="77"/>
      <c r="AJ7" s="92">
        <v>1</v>
      </c>
      <c r="AK7" s="93">
        <v>0.85</v>
      </c>
      <c r="AL7" s="85">
        <f t="shared" si="6"/>
        <v>0.85</v>
      </c>
      <c r="AM7" s="95" t="s">
        <v>1423</v>
      </c>
      <c r="AN7" s="74"/>
      <c r="AO7" s="88"/>
      <c r="AP7" s="89"/>
      <c r="AQ7" s="90">
        <f t="shared" si="7"/>
        <v>0</v>
      </c>
      <c r="AR7" s="91"/>
      <c r="AS7" s="74"/>
    </row>
    <row r="8" spans="1:45" ht="182.25" customHeight="1" x14ac:dyDescent="0.25">
      <c r="A8" s="77">
        <v>5</v>
      </c>
      <c r="B8" s="78" t="s">
        <v>3</v>
      </c>
      <c r="C8" s="78" t="s">
        <v>4</v>
      </c>
      <c r="D8" s="78" t="s">
        <v>35</v>
      </c>
      <c r="E8" s="77"/>
      <c r="F8" s="79"/>
      <c r="G8" s="80"/>
      <c r="H8" s="81">
        <f t="shared" si="0"/>
        <v>0</v>
      </c>
      <c r="I8" s="82"/>
      <c r="J8" s="77"/>
      <c r="K8" s="83">
        <v>1</v>
      </c>
      <c r="L8" s="84">
        <v>0.7</v>
      </c>
      <c r="M8" s="85">
        <f t="shared" si="1"/>
        <v>0.7</v>
      </c>
      <c r="N8" s="86" t="s">
        <v>1180</v>
      </c>
      <c r="O8" s="77"/>
      <c r="P8" s="79"/>
      <c r="Q8" s="80"/>
      <c r="R8" s="81">
        <f t="shared" si="2"/>
        <v>0</v>
      </c>
      <c r="S8" s="78"/>
      <c r="T8" s="77"/>
      <c r="U8" s="79"/>
      <c r="V8" s="80"/>
      <c r="W8" s="81">
        <f t="shared" si="3"/>
        <v>0</v>
      </c>
      <c r="X8" s="78"/>
      <c r="Y8" s="77"/>
      <c r="Z8" s="79"/>
      <c r="AA8" s="80"/>
      <c r="AB8" s="81">
        <f t="shared" si="4"/>
        <v>0</v>
      </c>
      <c r="AC8" s="78"/>
      <c r="AD8" s="77"/>
      <c r="AE8" s="79"/>
      <c r="AF8" s="80"/>
      <c r="AG8" s="81">
        <f t="shared" si="5"/>
        <v>0</v>
      </c>
      <c r="AH8" s="78"/>
      <c r="AI8" s="77"/>
      <c r="AJ8" s="83">
        <v>1</v>
      </c>
      <c r="AK8" s="84">
        <v>0.95</v>
      </c>
      <c r="AL8" s="85">
        <f t="shared" si="6"/>
        <v>0.95</v>
      </c>
      <c r="AM8" s="87" t="s">
        <v>1241</v>
      </c>
      <c r="AN8" s="74"/>
      <c r="AO8" s="88"/>
      <c r="AP8" s="89"/>
      <c r="AQ8" s="90">
        <f t="shared" si="7"/>
        <v>0</v>
      </c>
      <c r="AR8" s="96"/>
      <c r="AS8" s="74"/>
    </row>
    <row r="9" spans="1:45" ht="126" x14ac:dyDescent="0.25">
      <c r="A9" s="77">
        <v>6</v>
      </c>
      <c r="B9" s="78" t="s">
        <v>3</v>
      </c>
      <c r="C9" s="78" t="s">
        <v>4</v>
      </c>
      <c r="D9" s="78" t="s">
        <v>129</v>
      </c>
      <c r="E9" s="77"/>
      <c r="F9" s="79"/>
      <c r="G9" s="80"/>
      <c r="H9" s="81">
        <f t="shared" si="0"/>
        <v>0</v>
      </c>
      <c r="I9" s="78"/>
      <c r="J9" s="77"/>
      <c r="K9" s="92">
        <v>1</v>
      </c>
      <c r="L9" s="93">
        <v>0.74</v>
      </c>
      <c r="M9" s="85">
        <f t="shared" si="1"/>
        <v>0.74</v>
      </c>
      <c r="N9" s="94" t="s">
        <v>1632</v>
      </c>
      <c r="O9" s="77"/>
      <c r="P9" s="79"/>
      <c r="Q9" s="80"/>
      <c r="R9" s="81">
        <f t="shared" si="2"/>
        <v>0</v>
      </c>
      <c r="S9" s="78"/>
      <c r="T9" s="77"/>
      <c r="U9" s="79"/>
      <c r="V9" s="80"/>
      <c r="W9" s="81">
        <f t="shared" si="3"/>
        <v>0</v>
      </c>
      <c r="X9" s="78"/>
      <c r="Y9" s="77"/>
      <c r="Z9" s="79"/>
      <c r="AA9" s="80"/>
      <c r="AB9" s="81">
        <f t="shared" si="4"/>
        <v>0</v>
      </c>
      <c r="AC9" s="78"/>
      <c r="AD9" s="77"/>
      <c r="AE9" s="79"/>
      <c r="AF9" s="80"/>
      <c r="AG9" s="81">
        <f t="shared" si="5"/>
        <v>0</v>
      </c>
      <c r="AH9" s="78"/>
      <c r="AI9" s="77"/>
      <c r="AJ9" s="92">
        <v>1</v>
      </c>
      <c r="AK9" s="93">
        <v>0.5</v>
      </c>
      <c r="AL9" s="85">
        <f t="shared" si="6"/>
        <v>0.5</v>
      </c>
      <c r="AM9" s="97" t="s">
        <v>1242</v>
      </c>
      <c r="AN9" s="74"/>
      <c r="AO9" s="88"/>
      <c r="AP9" s="89"/>
      <c r="AQ9" s="90">
        <f t="shared" si="7"/>
        <v>0</v>
      </c>
      <c r="AR9" s="96"/>
      <c r="AS9" s="74"/>
    </row>
    <row r="10" spans="1:45" ht="157.5" x14ac:dyDescent="0.25">
      <c r="A10" s="77">
        <v>7</v>
      </c>
      <c r="B10" s="78" t="s">
        <v>3</v>
      </c>
      <c r="C10" s="78" t="s">
        <v>4</v>
      </c>
      <c r="D10" s="78" t="s">
        <v>36</v>
      </c>
      <c r="E10" s="77"/>
      <c r="F10" s="79"/>
      <c r="G10" s="80"/>
      <c r="H10" s="81">
        <f t="shared" si="0"/>
        <v>0</v>
      </c>
      <c r="I10" s="82"/>
      <c r="J10" s="77"/>
      <c r="K10" s="83">
        <v>1</v>
      </c>
      <c r="L10" s="84">
        <v>0.75</v>
      </c>
      <c r="M10" s="85">
        <f t="shared" si="1"/>
        <v>0.75</v>
      </c>
      <c r="N10" s="86" t="s">
        <v>1181</v>
      </c>
      <c r="O10" s="77"/>
      <c r="P10" s="79"/>
      <c r="Q10" s="80"/>
      <c r="R10" s="81">
        <f t="shared" si="2"/>
        <v>0</v>
      </c>
      <c r="S10" s="82"/>
      <c r="T10" s="77"/>
      <c r="U10" s="79"/>
      <c r="V10" s="80"/>
      <c r="W10" s="81">
        <f t="shared" si="3"/>
        <v>0</v>
      </c>
      <c r="X10" s="82"/>
      <c r="Y10" s="77"/>
      <c r="Z10" s="79"/>
      <c r="AA10" s="80"/>
      <c r="AB10" s="81">
        <f t="shared" si="4"/>
        <v>0</v>
      </c>
      <c r="AC10" s="82"/>
      <c r="AD10" s="77"/>
      <c r="AE10" s="79"/>
      <c r="AF10" s="80"/>
      <c r="AG10" s="81">
        <f t="shared" si="5"/>
        <v>0</v>
      </c>
      <c r="AH10" s="82"/>
      <c r="AI10" s="77"/>
      <c r="AJ10" s="83">
        <v>1</v>
      </c>
      <c r="AK10" s="84">
        <v>0.4</v>
      </c>
      <c r="AL10" s="85">
        <f t="shared" si="6"/>
        <v>0.4</v>
      </c>
      <c r="AM10" s="98" t="s">
        <v>1243</v>
      </c>
      <c r="AN10" s="74"/>
      <c r="AO10" s="88"/>
      <c r="AP10" s="89"/>
      <c r="AQ10" s="90">
        <f t="shared" si="7"/>
        <v>0</v>
      </c>
      <c r="AR10" s="91"/>
      <c r="AS10" s="74"/>
    </row>
    <row r="11" spans="1:45" ht="63" x14ac:dyDescent="0.25">
      <c r="A11" s="77">
        <v>8</v>
      </c>
      <c r="B11" s="78" t="s">
        <v>3</v>
      </c>
      <c r="C11" s="78" t="s">
        <v>4</v>
      </c>
      <c r="D11" s="78" t="s">
        <v>64</v>
      </c>
      <c r="E11" s="77"/>
      <c r="F11" s="79"/>
      <c r="G11" s="80"/>
      <c r="H11" s="81">
        <f t="shared" si="0"/>
        <v>0</v>
      </c>
      <c r="I11" s="78"/>
      <c r="J11" s="77"/>
      <c r="K11" s="92">
        <v>1</v>
      </c>
      <c r="L11" s="93">
        <v>1</v>
      </c>
      <c r="M11" s="85">
        <f t="shared" si="1"/>
        <v>1</v>
      </c>
      <c r="N11" s="94"/>
      <c r="O11" s="77"/>
      <c r="P11" s="79"/>
      <c r="Q11" s="80"/>
      <c r="R11" s="81">
        <f t="shared" si="2"/>
        <v>0</v>
      </c>
      <c r="S11" s="82"/>
      <c r="T11" s="77"/>
      <c r="U11" s="79"/>
      <c r="V11" s="80"/>
      <c r="W11" s="81">
        <f t="shared" si="3"/>
        <v>0</v>
      </c>
      <c r="X11" s="82"/>
      <c r="Y11" s="77"/>
      <c r="Z11" s="79"/>
      <c r="AA11" s="80"/>
      <c r="AB11" s="81">
        <f t="shared" si="4"/>
        <v>0</v>
      </c>
      <c r="AC11" s="82"/>
      <c r="AD11" s="77"/>
      <c r="AE11" s="79"/>
      <c r="AF11" s="80"/>
      <c r="AG11" s="81">
        <f t="shared" si="5"/>
        <v>0</v>
      </c>
      <c r="AH11" s="82"/>
      <c r="AI11" s="77"/>
      <c r="AJ11" s="92">
        <v>1</v>
      </c>
      <c r="AK11" s="93">
        <v>0.5</v>
      </c>
      <c r="AL11" s="85">
        <f t="shared" si="6"/>
        <v>0.5</v>
      </c>
      <c r="AM11" s="97" t="s">
        <v>1244</v>
      </c>
      <c r="AN11" s="74"/>
      <c r="AO11" s="88"/>
      <c r="AP11" s="89"/>
      <c r="AQ11" s="90">
        <f t="shared" si="7"/>
        <v>0</v>
      </c>
      <c r="AR11" s="91"/>
      <c r="AS11" s="74"/>
    </row>
    <row r="12" spans="1:45" ht="78.75" x14ac:dyDescent="0.25">
      <c r="A12" s="77">
        <v>9</v>
      </c>
      <c r="B12" s="78" t="s">
        <v>3</v>
      </c>
      <c r="C12" s="78" t="s">
        <v>5</v>
      </c>
      <c r="D12" s="78" t="s">
        <v>37</v>
      </c>
      <c r="E12" s="77"/>
      <c r="F12" s="79"/>
      <c r="G12" s="80"/>
      <c r="H12" s="81">
        <f t="shared" si="0"/>
        <v>0</v>
      </c>
      <c r="I12" s="82"/>
      <c r="J12" s="77"/>
      <c r="K12" s="83">
        <v>1</v>
      </c>
      <c r="L12" s="99">
        <v>0.54</v>
      </c>
      <c r="M12" s="85">
        <f t="shared" si="1"/>
        <v>0.54</v>
      </c>
      <c r="N12" s="86" t="s">
        <v>1288</v>
      </c>
      <c r="O12" s="77"/>
      <c r="P12" s="79"/>
      <c r="Q12" s="80"/>
      <c r="R12" s="81">
        <f t="shared" si="2"/>
        <v>0</v>
      </c>
      <c r="S12" s="82"/>
      <c r="T12" s="77"/>
      <c r="U12" s="79"/>
      <c r="V12" s="80"/>
      <c r="W12" s="81">
        <f t="shared" si="3"/>
        <v>0</v>
      </c>
      <c r="X12" s="82"/>
      <c r="Y12" s="77"/>
      <c r="Z12" s="79"/>
      <c r="AA12" s="80"/>
      <c r="AB12" s="81">
        <f t="shared" si="4"/>
        <v>0</v>
      </c>
      <c r="AC12" s="82"/>
      <c r="AD12" s="77"/>
      <c r="AE12" s="79"/>
      <c r="AF12" s="80"/>
      <c r="AG12" s="81">
        <f t="shared" si="5"/>
        <v>0</v>
      </c>
      <c r="AH12" s="82"/>
      <c r="AI12" s="77"/>
      <c r="AJ12" s="83">
        <v>1</v>
      </c>
      <c r="AK12" s="84">
        <v>0.15</v>
      </c>
      <c r="AL12" s="85">
        <f t="shared" si="6"/>
        <v>0.15</v>
      </c>
      <c r="AM12" s="98" t="s">
        <v>1245</v>
      </c>
      <c r="AN12" s="74"/>
      <c r="AO12" s="88"/>
      <c r="AP12" s="89"/>
      <c r="AQ12" s="90">
        <f t="shared" si="7"/>
        <v>0</v>
      </c>
      <c r="AR12" s="91"/>
      <c r="AS12" s="74"/>
    </row>
    <row r="13" spans="1:45" ht="94.5" x14ac:dyDescent="0.25">
      <c r="A13" s="77">
        <v>10</v>
      </c>
      <c r="B13" s="78" t="s">
        <v>3</v>
      </c>
      <c r="C13" s="78" t="s">
        <v>5</v>
      </c>
      <c r="D13" s="78" t="s">
        <v>38</v>
      </c>
      <c r="E13" s="77"/>
      <c r="F13" s="79"/>
      <c r="G13" s="80"/>
      <c r="H13" s="81">
        <f t="shared" si="0"/>
        <v>0</v>
      </c>
      <c r="I13" s="82"/>
      <c r="J13" s="77"/>
      <c r="K13" s="92">
        <v>1</v>
      </c>
      <c r="L13" s="93">
        <v>0.54</v>
      </c>
      <c r="M13" s="85">
        <f t="shared" si="1"/>
        <v>0.54</v>
      </c>
      <c r="N13" s="94" t="s">
        <v>1534</v>
      </c>
      <c r="O13" s="77"/>
      <c r="P13" s="79"/>
      <c r="Q13" s="80"/>
      <c r="R13" s="81">
        <f t="shared" si="2"/>
        <v>0</v>
      </c>
      <c r="S13" s="82"/>
      <c r="T13" s="77"/>
      <c r="U13" s="79"/>
      <c r="V13" s="80"/>
      <c r="W13" s="81">
        <f t="shared" si="3"/>
        <v>0</v>
      </c>
      <c r="X13" s="82"/>
      <c r="Y13" s="77"/>
      <c r="Z13" s="79"/>
      <c r="AA13" s="80"/>
      <c r="AB13" s="81">
        <f t="shared" si="4"/>
        <v>0</v>
      </c>
      <c r="AC13" s="82"/>
      <c r="AD13" s="77"/>
      <c r="AE13" s="79"/>
      <c r="AF13" s="80"/>
      <c r="AG13" s="81">
        <f t="shared" si="5"/>
        <v>0</v>
      </c>
      <c r="AH13" s="82"/>
      <c r="AI13" s="77"/>
      <c r="AJ13" s="92">
        <v>1</v>
      </c>
      <c r="AK13" s="93">
        <v>0.15</v>
      </c>
      <c r="AL13" s="85">
        <f t="shared" si="6"/>
        <v>0.15</v>
      </c>
      <c r="AM13" s="97" t="s">
        <v>1246</v>
      </c>
      <c r="AN13" s="74"/>
      <c r="AO13" s="88"/>
      <c r="AP13" s="89"/>
      <c r="AQ13" s="90">
        <f t="shared" si="7"/>
        <v>0</v>
      </c>
      <c r="AR13" s="91"/>
      <c r="AS13" s="74"/>
    </row>
    <row r="14" spans="1:45" ht="94.5" x14ac:dyDescent="0.25">
      <c r="A14" s="77">
        <v>11</v>
      </c>
      <c r="B14" s="78" t="s">
        <v>3</v>
      </c>
      <c r="C14" s="78" t="s">
        <v>31</v>
      </c>
      <c r="D14" s="78" t="s">
        <v>39</v>
      </c>
      <c r="E14" s="77"/>
      <c r="F14" s="79"/>
      <c r="G14" s="80"/>
      <c r="H14" s="81">
        <f t="shared" si="0"/>
        <v>0</v>
      </c>
      <c r="I14" s="82"/>
      <c r="J14" s="77"/>
      <c r="K14" s="83">
        <v>1</v>
      </c>
      <c r="L14" s="84">
        <v>0.85</v>
      </c>
      <c r="M14" s="85">
        <f t="shared" si="1"/>
        <v>0.85</v>
      </c>
      <c r="N14" s="86" t="s">
        <v>1199</v>
      </c>
      <c r="O14" s="77"/>
      <c r="P14" s="79"/>
      <c r="Q14" s="80"/>
      <c r="R14" s="81">
        <f t="shared" si="2"/>
        <v>0</v>
      </c>
      <c r="S14" s="82"/>
      <c r="T14" s="77"/>
      <c r="U14" s="79"/>
      <c r="V14" s="80"/>
      <c r="W14" s="81">
        <f t="shared" si="3"/>
        <v>0</v>
      </c>
      <c r="X14" s="82"/>
      <c r="Y14" s="77"/>
      <c r="Z14" s="79"/>
      <c r="AA14" s="80"/>
      <c r="AB14" s="81">
        <f t="shared" si="4"/>
        <v>0</v>
      </c>
      <c r="AC14" s="82"/>
      <c r="AD14" s="77"/>
      <c r="AE14" s="79"/>
      <c r="AF14" s="80"/>
      <c r="AG14" s="81">
        <f t="shared" si="5"/>
        <v>0</v>
      </c>
      <c r="AH14" s="82"/>
      <c r="AI14" s="77"/>
      <c r="AJ14" s="83">
        <v>1</v>
      </c>
      <c r="AK14" s="84">
        <v>0.3</v>
      </c>
      <c r="AL14" s="85">
        <f t="shared" si="6"/>
        <v>0.3</v>
      </c>
      <c r="AM14" s="98" t="s">
        <v>1265</v>
      </c>
      <c r="AN14" s="74"/>
      <c r="AO14" s="88"/>
      <c r="AP14" s="89"/>
      <c r="AQ14" s="90">
        <f t="shared" si="7"/>
        <v>0</v>
      </c>
      <c r="AR14" s="91"/>
      <c r="AS14" s="74"/>
    </row>
    <row r="15" spans="1:45" ht="110.25" x14ac:dyDescent="0.25">
      <c r="A15" s="77">
        <v>12</v>
      </c>
      <c r="B15" s="78" t="s">
        <v>3</v>
      </c>
      <c r="C15" s="78" t="s">
        <v>31</v>
      </c>
      <c r="D15" s="78" t="s">
        <v>40</v>
      </c>
      <c r="E15" s="77"/>
      <c r="F15" s="79"/>
      <c r="G15" s="80"/>
      <c r="H15" s="81">
        <f t="shared" si="0"/>
        <v>0</v>
      </c>
      <c r="I15" s="82"/>
      <c r="J15" s="77"/>
      <c r="K15" s="92">
        <v>1</v>
      </c>
      <c r="L15" s="93">
        <v>1</v>
      </c>
      <c r="M15" s="85">
        <f t="shared" si="1"/>
        <v>1</v>
      </c>
      <c r="N15" s="94"/>
      <c r="O15" s="77"/>
      <c r="P15" s="79"/>
      <c r="Q15" s="80"/>
      <c r="R15" s="81">
        <f t="shared" si="2"/>
        <v>0</v>
      </c>
      <c r="S15" s="82"/>
      <c r="T15" s="77"/>
      <c r="U15" s="79"/>
      <c r="V15" s="80"/>
      <c r="W15" s="81">
        <f t="shared" si="3"/>
        <v>0</v>
      </c>
      <c r="X15" s="82"/>
      <c r="Y15" s="77"/>
      <c r="Z15" s="79"/>
      <c r="AA15" s="80"/>
      <c r="AB15" s="81">
        <f t="shared" si="4"/>
        <v>0</v>
      </c>
      <c r="AC15" s="82"/>
      <c r="AD15" s="77"/>
      <c r="AE15" s="79"/>
      <c r="AF15" s="80"/>
      <c r="AG15" s="81">
        <f t="shared" si="5"/>
        <v>0</v>
      </c>
      <c r="AH15" s="82"/>
      <c r="AI15" s="77"/>
      <c r="AJ15" s="92">
        <v>1</v>
      </c>
      <c r="AK15" s="93">
        <v>0.3</v>
      </c>
      <c r="AL15" s="85">
        <f t="shared" si="6"/>
        <v>0.3</v>
      </c>
      <c r="AM15" s="97" t="s">
        <v>1248</v>
      </c>
      <c r="AN15" s="74"/>
      <c r="AO15" s="88"/>
      <c r="AP15" s="89"/>
      <c r="AQ15" s="90">
        <f t="shared" si="7"/>
        <v>0</v>
      </c>
      <c r="AR15" s="91"/>
      <c r="AS15" s="74"/>
    </row>
    <row r="16" spans="1:45" ht="189" x14ac:dyDescent="0.25">
      <c r="A16" s="77">
        <v>13</v>
      </c>
      <c r="B16" s="78" t="s">
        <v>6</v>
      </c>
      <c r="C16" s="78" t="s">
        <v>7</v>
      </c>
      <c r="D16" s="78" t="s">
        <v>41</v>
      </c>
      <c r="E16" s="77"/>
      <c r="F16" s="79"/>
      <c r="G16" s="80"/>
      <c r="H16" s="81">
        <f t="shared" si="0"/>
        <v>0</v>
      </c>
      <c r="I16" s="82"/>
      <c r="J16" s="77"/>
      <c r="K16" s="100">
        <v>1</v>
      </c>
      <c r="L16" s="101">
        <v>1</v>
      </c>
      <c r="M16" s="85">
        <f t="shared" si="1"/>
        <v>1</v>
      </c>
      <c r="N16" s="78" t="s">
        <v>1013</v>
      </c>
      <c r="O16" s="77"/>
      <c r="P16" s="79"/>
      <c r="Q16" s="80"/>
      <c r="R16" s="81">
        <f t="shared" si="2"/>
        <v>0</v>
      </c>
      <c r="S16" s="82"/>
      <c r="T16" s="77"/>
      <c r="U16" s="79"/>
      <c r="V16" s="80"/>
      <c r="W16" s="81">
        <f t="shared" si="3"/>
        <v>0</v>
      </c>
      <c r="X16" s="82"/>
      <c r="Y16" s="77"/>
      <c r="Z16" s="79"/>
      <c r="AA16" s="80"/>
      <c r="AB16" s="81">
        <f t="shared" si="4"/>
        <v>0</v>
      </c>
      <c r="AC16" s="82"/>
      <c r="AD16" s="77"/>
      <c r="AE16" s="79"/>
      <c r="AF16" s="80"/>
      <c r="AG16" s="81">
        <f t="shared" si="5"/>
        <v>0</v>
      </c>
      <c r="AH16" s="82"/>
      <c r="AI16" s="77"/>
      <c r="AJ16" s="100">
        <v>1</v>
      </c>
      <c r="AK16" s="101">
        <v>0.6</v>
      </c>
      <c r="AL16" s="85">
        <f t="shared" si="6"/>
        <v>0.6</v>
      </c>
      <c r="AM16" s="78" t="s">
        <v>1026</v>
      </c>
      <c r="AN16" s="74"/>
      <c r="AO16" s="88"/>
      <c r="AP16" s="89"/>
      <c r="AQ16" s="90">
        <f t="shared" si="7"/>
        <v>0</v>
      </c>
      <c r="AR16" s="91"/>
      <c r="AS16" s="74"/>
    </row>
    <row r="17" spans="1:45" ht="126" x14ac:dyDescent="0.25">
      <c r="A17" s="77">
        <v>14</v>
      </c>
      <c r="B17" s="78" t="s">
        <v>6</v>
      </c>
      <c r="C17" s="78" t="s">
        <v>7</v>
      </c>
      <c r="D17" s="78" t="s">
        <v>130</v>
      </c>
      <c r="E17" s="77"/>
      <c r="F17" s="79"/>
      <c r="G17" s="80"/>
      <c r="H17" s="81">
        <f t="shared" si="0"/>
        <v>0</v>
      </c>
      <c r="I17" s="82"/>
      <c r="J17" s="77"/>
      <c r="K17" s="100">
        <v>1</v>
      </c>
      <c r="L17" s="101">
        <v>1</v>
      </c>
      <c r="M17" s="85">
        <f t="shared" si="1"/>
        <v>1</v>
      </c>
      <c r="N17" s="78" t="s">
        <v>1014</v>
      </c>
      <c r="O17" s="77"/>
      <c r="P17" s="79"/>
      <c r="Q17" s="80"/>
      <c r="R17" s="81">
        <f t="shared" si="2"/>
        <v>0</v>
      </c>
      <c r="S17" s="82"/>
      <c r="T17" s="77"/>
      <c r="U17" s="79"/>
      <c r="V17" s="80"/>
      <c r="W17" s="81">
        <f t="shared" si="3"/>
        <v>0</v>
      </c>
      <c r="X17" s="82"/>
      <c r="Y17" s="77"/>
      <c r="Z17" s="79"/>
      <c r="AA17" s="80"/>
      <c r="AB17" s="81">
        <f t="shared" si="4"/>
        <v>0</v>
      </c>
      <c r="AC17" s="82"/>
      <c r="AD17" s="77"/>
      <c r="AE17" s="79"/>
      <c r="AF17" s="80"/>
      <c r="AG17" s="81">
        <f t="shared" si="5"/>
        <v>0</v>
      </c>
      <c r="AH17" s="82"/>
      <c r="AI17" s="77"/>
      <c r="AJ17" s="100">
        <v>1</v>
      </c>
      <c r="AK17" s="101">
        <v>0.15</v>
      </c>
      <c r="AL17" s="85">
        <f t="shared" si="6"/>
        <v>0.15</v>
      </c>
      <c r="AM17" s="78" t="s">
        <v>1027</v>
      </c>
      <c r="AN17" s="74"/>
      <c r="AO17" s="88"/>
      <c r="AP17" s="89"/>
      <c r="AQ17" s="90">
        <f t="shared" si="7"/>
        <v>0</v>
      </c>
      <c r="AR17" s="91"/>
      <c r="AS17" s="74"/>
    </row>
    <row r="18" spans="1:45" ht="94.5" x14ac:dyDescent="0.25">
      <c r="A18" s="77">
        <v>15</v>
      </c>
      <c r="B18" s="78" t="s">
        <v>6</v>
      </c>
      <c r="C18" s="78" t="s">
        <v>7</v>
      </c>
      <c r="D18" s="78" t="s">
        <v>131</v>
      </c>
      <c r="E18" s="77"/>
      <c r="F18" s="79"/>
      <c r="G18" s="80"/>
      <c r="H18" s="81">
        <f t="shared" si="0"/>
        <v>0</v>
      </c>
      <c r="I18" s="82"/>
      <c r="J18" s="77"/>
      <c r="K18" s="100">
        <v>1</v>
      </c>
      <c r="L18" s="101">
        <v>0.99</v>
      </c>
      <c r="M18" s="85">
        <f t="shared" si="1"/>
        <v>0.99</v>
      </c>
      <c r="N18" s="78" t="s">
        <v>1015</v>
      </c>
      <c r="O18" s="77"/>
      <c r="P18" s="79"/>
      <c r="Q18" s="80"/>
      <c r="R18" s="81">
        <f t="shared" si="2"/>
        <v>0</v>
      </c>
      <c r="S18" s="82"/>
      <c r="T18" s="77"/>
      <c r="U18" s="79"/>
      <c r="V18" s="80"/>
      <c r="W18" s="81">
        <f t="shared" si="3"/>
        <v>0</v>
      </c>
      <c r="X18" s="82"/>
      <c r="Y18" s="77"/>
      <c r="Z18" s="79"/>
      <c r="AA18" s="80"/>
      <c r="AB18" s="81">
        <f t="shared" si="4"/>
        <v>0</v>
      </c>
      <c r="AC18" s="82"/>
      <c r="AD18" s="77"/>
      <c r="AE18" s="79"/>
      <c r="AF18" s="80"/>
      <c r="AG18" s="81">
        <f t="shared" si="5"/>
        <v>0</v>
      </c>
      <c r="AH18" s="82"/>
      <c r="AI18" s="77"/>
      <c r="AJ18" s="100">
        <v>1</v>
      </c>
      <c r="AK18" s="101">
        <v>0.95</v>
      </c>
      <c r="AL18" s="85">
        <f t="shared" si="6"/>
        <v>0.95</v>
      </c>
      <c r="AM18" s="78" t="s">
        <v>1028</v>
      </c>
      <c r="AN18" s="74"/>
      <c r="AO18" s="88"/>
      <c r="AP18" s="89"/>
      <c r="AQ18" s="90">
        <f t="shared" si="7"/>
        <v>0</v>
      </c>
      <c r="AR18" s="91"/>
      <c r="AS18" s="74"/>
    </row>
    <row r="19" spans="1:45" ht="94.5" x14ac:dyDescent="0.25">
      <c r="A19" s="77">
        <v>16</v>
      </c>
      <c r="B19" s="78" t="s">
        <v>6</v>
      </c>
      <c r="C19" s="78" t="s">
        <v>7</v>
      </c>
      <c r="D19" s="78" t="s">
        <v>42</v>
      </c>
      <c r="E19" s="77"/>
      <c r="F19" s="79"/>
      <c r="G19" s="80"/>
      <c r="H19" s="81">
        <f t="shared" si="0"/>
        <v>0</v>
      </c>
      <c r="I19" s="82"/>
      <c r="J19" s="77"/>
      <c r="K19" s="100">
        <v>1</v>
      </c>
      <c r="L19" s="101">
        <v>1</v>
      </c>
      <c r="M19" s="85">
        <f t="shared" si="1"/>
        <v>1</v>
      </c>
      <c r="N19" s="78" t="s">
        <v>1016</v>
      </c>
      <c r="O19" s="77"/>
      <c r="P19" s="79"/>
      <c r="Q19" s="80"/>
      <c r="R19" s="81">
        <f t="shared" si="2"/>
        <v>0</v>
      </c>
      <c r="S19" s="82"/>
      <c r="T19" s="77"/>
      <c r="U19" s="79"/>
      <c r="V19" s="80"/>
      <c r="W19" s="81">
        <f t="shared" si="3"/>
        <v>0</v>
      </c>
      <c r="X19" s="82"/>
      <c r="Y19" s="77"/>
      <c r="Z19" s="79"/>
      <c r="AA19" s="80"/>
      <c r="AB19" s="81">
        <f t="shared" si="4"/>
        <v>0</v>
      </c>
      <c r="AC19" s="82"/>
      <c r="AD19" s="77"/>
      <c r="AE19" s="79"/>
      <c r="AF19" s="80"/>
      <c r="AG19" s="81">
        <f t="shared" si="5"/>
        <v>0</v>
      </c>
      <c r="AH19" s="82"/>
      <c r="AI19" s="77"/>
      <c r="AJ19" s="100">
        <v>1</v>
      </c>
      <c r="AK19" s="101">
        <v>0.96</v>
      </c>
      <c r="AL19" s="85">
        <f t="shared" si="6"/>
        <v>0.96</v>
      </c>
      <c r="AM19" s="78" t="s">
        <v>1029</v>
      </c>
      <c r="AN19" s="74"/>
      <c r="AO19" s="88"/>
      <c r="AP19" s="89"/>
      <c r="AQ19" s="90">
        <f t="shared" si="7"/>
        <v>0</v>
      </c>
      <c r="AR19" s="91"/>
      <c r="AS19" s="74"/>
    </row>
    <row r="20" spans="1:45" ht="299.25" x14ac:dyDescent="0.25">
      <c r="A20" s="77">
        <v>17</v>
      </c>
      <c r="B20" s="78" t="s">
        <v>6</v>
      </c>
      <c r="C20" s="78" t="s">
        <v>7</v>
      </c>
      <c r="D20" s="78" t="s">
        <v>43</v>
      </c>
      <c r="E20" s="77"/>
      <c r="F20" s="79"/>
      <c r="G20" s="80"/>
      <c r="H20" s="81">
        <f t="shared" si="0"/>
        <v>0</v>
      </c>
      <c r="I20" s="82"/>
      <c r="J20" s="77"/>
      <c r="K20" s="100">
        <v>1</v>
      </c>
      <c r="L20" s="101">
        <v>0.7</v>
      </c>
      <c r="M20" s="85">
        <f t="shared" si="1"/>
        <v>0.7</v>
      </c>
      <c r="N20" s="78" t="s">
        <v>1017</v>
      </c>
      <c r="O20" s="77"/>
      <c r="P20" s="79"/>
      <c r="Q20" s="80"/>
      <c r="R20" s="81">
        <f t="shared" si="2"/>
        <v>0</v>
      </c>
      <c r="S20" s="82"/>
      <c r="T20" s="77"/>
      <c r="U20" s="79"/>
      <c r="V20" s="80"/>
      <c r="W20" s="81">
        <f t="shared" si="3"/>
        <v>0</v>
      </c>
      <c r="X20" s="82"/>
      <c r="Y20" s="77"/>
      <c r="Z20" s="79"/>
      <c r="AA20" s="80"/>
      <c r="AB20" s="81">
        <f t="shared" si="4"/>
        <v>0</v>
      </c>
      <c r="AC20" s="82"/>
      <c r="AD20" s="77"/>
      <c r="AE20" s="79"/>
      <c r="AF20" s="80"/>
      <c r="AG20" s="81">
        <f t="shared" si="5"/>
        <v>0</v>
      </c>
      <c r="AH20" s="82"/>
      <c r="AI20" s="77"/>
      <c r="AJ20" s="100">
        <v>1</v>
      </c>
      <c r="AK20" s="101">
        <v>0.45</v>
      </c>
      <c r="AL20" s="85">
        <v>0.45</v>
      </c>
      <c r="AM20" s="78" t="s">
        <v>1005</v>
      </c>
      <c r="AN20" s="74"/>
      <c r="AO20" s="88"/>
      <c r="AP20" s="89"/>
      <c r="AQ20" s="90">
        <f t="shared" si="7"/>
        <v>0</v>
      </c>
      <c r="AR20" s="91"/>
      <c r="AS20" s="74"/>
    </row>
    <row r="21" spans="1:45" ht="126" x14ac:dyDescent="0.25">
      <c r="A21" s="77">
        <v>18</v>
      </c>
      <c r="B21" s="78" t="s">
        <v>6</v>
      </c>
      <c r="C21" s="78" t="s">
        <v>7</v>
      </c>
      <c r="D21" s="78" t="s">
        <v>44</v>
      </c>
      <c r="E21" s="77"/>
      <c r="F21" s="79"/>
      <c r="G21" s="80"/>
      <c r="H21" s="81">
        <f t="shared" si="0"/>
        <v>0</v>
      </c>
      <c r="I21" s="82"/>
      <c r="J21" s="77"/>
      <c r="K21" s="100">
        <v>1</v>
      </c>
      <c r="L21" s="101">
        <v>0.75</v>
      </c>
      <c r="M21" s="85">
        <f t="shared" si="1"/>
        <v>0.75</v>
      </c>
      <c r="N21" s="102" t="s">
        <v>1018</v>
      </c>
      <c r="O21" s="77"/>
      <c r="P21" s="79"/>
      <c r="Q21" s="80"/>
      <c r="R21" s="81">
        <f t="shared" si="2"/>
        <v>0</v>
      </c>
      <c r="S21" s="82"/>
      <c r="T21" s="77"/>
      <c r="U21" s="79"/>
      <c r="V21" s="80"/>
      <c r="W21" s="81">
        <f t="shared" si="3"/>
        <v>0</v>
      </c>
      <c r="X21" s="82"/>
      <c r="Y21" s="77"/>
      <c r="Z21" s="79"/>
      <c r="AA21" s="80"/>
      <c r="AB21" s="81">
        <f t="shared" si="4"/>
        <v>0</v>
      </c>
      <c r="AC21" s="82"/>
      <c r="AD21" s="77"/>
      <c r="AE21" s="79"/>
      <c r="AF21" s="80"/>
      <c r="AG21" s="81">
        <f t="shared" si="5"/>
        <v>0</v>
      </c>
      <c r="AH21" s="82"/>
      <c r="AI21" s="77"/>
      <c r="AJ21" s="100">
        <v>1</v>
      </c>
      <c r="AK21" s="101">
        <v>0.2</v>
      </c>
      <c r="AL21" s="85">
        <f t="shared" ref="AL21:AL23" si="8">AJ21*AK21</f>
        <v>0.2</v>
      </c>
      <c r="AM21" s="78" t="s">
        <v>1030</v>
      </c>
      <c r="AN21" s="74"/>
      <c r="AO21" s="88"/>
      <c r="AP21" s="89"/>
      <c r="AQ21" s="90">
        <f t="shared" si="7"/>
        <v>0</v>
      </c>
      <c r="AR21" s="91"/>
      <c r="AS21" s="74"/>
    </row>
    <row r="22" spans="1:45" ht="110.25" x14ac:dyDescent="0.25">
      <c r="A22" s="77">
        <v>19</v>
      </c>
      <c r="B22" s="78" t="s">
        <v>6</v>
      </c>
      <c r="C22" s="78" t="s">
        <v>7</v>
      </c>
      <c r="D22" s="78" t="s">
        <v>45</v>
      </c>
      <c r="E22" s="77"/>
      <c r="F22" s="79"/>
      <c r="G22" s="80"/>
      <c r="H22" s="81">
        <f t="shared" si="0"/>
        <v>0</v>
      </c>
      <c r="I22" s="82"/>
      <c r="J22" s="77"/>
      <c r="K22" s="100">
        <v>1</v>
      </c>
      <c r="L22" s="101">
        <v>0.65</v>
      </c>
      <c r="M22" s="85">
        <f t="shared" si="1"/>
        <v>0.65</v>
      </c>
      <c r="N22" s="78" t="s">
        <v>1019</v>
      </c>
      <c r="O22" s="77"/>
      <c r="P22" s="79"/>
      <c r="Q22" s="80"/>
      <c r="R22" s="81">
        <f t="shared" si="2"/>
        <v>0</v>
      </c>
      <c r="S22" s="82"/>
      <c r="T22" s="77"/>
      <c r="U22" s="79"/>
      <c r="V22" s="80"/>
      <c r="W22" s="81">
        <f t="shared" si="3"/>
        <v>0</v>
      </c>
      <c r="X22" s="82"/>
      <c r="Y22" s="77"/>
      <c r="Z22" s="79"/>
      <c r="AA22" s="80"/>
      <c r="AB22" s="81">
        <f t="shared" si="4"/>
        <v>0</v>
      </c>
      <c r="AC22" s="82"/>
      <c r="AD22" s="77"/>
      <c r="AE22" s="79"/>
      <c r="AF22" s="80"/>
      <c r="AG22" s="81">
        <f t="shared" si="5"/>
        <v>0</v>
      </c>
      <c r="AH22" s="82"/>
      <c r="AI22" s="77"/>
      <c r="AJ22" s="100">
        <v>1</v>
      </c>
      <c r="AK22" s="101">
        <v>0.65</v>
      </c>
      <c r="AL22" s="85">
        <f t="shared" si="8"/>
        <v>0.65</v>
      </c>
      <c r="AM22" s="78" t="s">
        <v>1031</v>
      </c>
      <c r="AN22" s="74"/>
      <c r="AO22" s="88"/>
      <c r="AP22" s="89"/>
      <c r="AQ22" s="90">
        <f t="shared" si="7"/>
        <v>0</v>
      </c>
      <c r="AR22" s="91"/>
      <c r="AS22" s="74"/>
    </row>
    <row r="23" spans="1:45" ht="110.25" x14ac:dyDescent="0.25">
      <c r="A23" s="77">
        <v>20</v>
      </c>
      <c r="B23" s="78" t="s">
        <v>6</v>
      </c>
      <c r="C23" s="78" t="s">
        <v>7</v>
      </c>
      <c r="D23" s="78" t="s">
        <v>46</v>
      </c>
      <c r="E23" s="77"/>
      <c r="F23" s="79"/>
      <c r="G23" s="80"/>
      <c r="H23" s="81">
        <f t="shared" si="0"/>
        <v>0</v>
      </c>
      <c r="I23" s="82"/>
      <c r="J23" s="77"/>
      <c r="K23" s="100">
        <v>1</v>
      </c>
      <c r="L23" s="101">
        <v>0.9</v>
      </c>
      <c r="M23" s="85">
        <f t="shared" si="1"/>
        <v>0.9</v>
      </c>
      <c r="N23" s="78" t="s">
        <v>1020</v>
      </c>
      <c r="O23" s="77"/>
      <c r="P23" s="79"/>
      <c r="Q23" s="80"/>
      <c r="R23" s="81">
        <f t="shared" si="2"/>
        <v>0</v>
      </c>
      <c r="S23" s="82"/>
      <c r="T23" s="77"/>
      <c r="U23" s="79"/>
      <c r="V23" s="80"/>
      <c r="W23" s="81">
        <f t="shared" si="3"/>
        <v>0</v>
      </c>
      <c r="X23" s="82"/>
      <c r="Y23" s="77"/>
      <c r="Z23" s="79"/>
      <c r="AA23" s="80"/>
      <c r="AB23" s="81">
        <f t="shared" si="4"/>
        <v>0</v>
      </c>
      <c r="AC23" s="82"/>
      <c r="AD23" s="77"/>
      <c r="AE23" s="79"/>
      <c r="AF23" s="80"/>
      <c r="AG23" s="81">
        <f t="shared" si="5"/>
        <v>0</v>
      </c>
      <c r="AH23" s="82"/>
      <c r="AI23" s="77"/>
      <c r="AJ23" s="100">
        <v>1</v>
      </c>
      <c r="AK23" s="101">
        <v>0.6</v>
      </c>
      <c r="AL23" s="85">
        <f t="shared" si="8"/>
        <v>0.6</v>
      </c>
      <c r="AM23" s="78" t="s">
        <v>1032</v>
      </c>
      <c r="AN23" s="74"/>
      <c r="AO23" s="88"/>
      <c r="AP23" s="89"/>
      <c r="AQ23" s="90">
        <f t="shared" si="7"/>
        <v>0</v>
      </c>
      <c r="AR23" s="91"/>
      <c r="AS23" s="74"/>
    </row>
    <row r="24" spans="1:45" ht="94.5" x14ac:dyDescent="0.25">
      <c r="A24" s="77">
        <v>21</v>
      </c>
      <c r="B24" s="78" t="s">
        <v>6</v>
      </c>
      <c r="C24" s="78" t="s">
        <v>7</v>
      </c>
      <c r="D24" s="78" t="s">
        <v>47</v>
      </c>
      <c r="E24" s="77"/>
      <c r="F24" s="79"/>
      <c r="G24" s="80"/>
      <c r="H24" s="81">
        <f t="shared" si="0"/>
        <v>0</v>
      </c>
      <c r="I24" s="82"/>
      <c r="J24" s="77" t="s">
        <v>30</v>
      </c>
      <c r="K24" s="100">
        <v>1</v>
      </c>
      <c r="L24" s="101">
        <v>0.98</v>
      </c>
      <c r="M24" s="85">
        <f t="shared" si="1"/>
        <v>0.98</v>
      </c>
      <c r="N24" s="78" t="s">
        <v>358</v>
      </c>
      <c r="O24" s="77"/>
      <c r="P24" s="79"/>
      <c r="Q24" s="80"/>
      <c r="R24" s="81">
        <f t="shared" si="2"/>
        <v>0</v>
      </c>
      <c r="S24" s="82"/>
      <c r="T24" s="77"/>
      <c r="U24" s="79"/>
      <c r="V24" s="80"/>
      <c r="W24" s="81">
        <f t="shared" si="3"/>
        <v>0</v>
      </c>
      <c r="X24" s="82"/>
      <c r="Y24" s="77"/>
      <c r="Z24" s="79"/>
      <c r="AA24" s="80"/>
      <c r="AB24" s="81">
        <f t="shared" si="4"/>
        <v>0</v>
      </c>
      <c r="AC24" s="82"/>
      <c r="AD24" s="77"/>
      <c r="AE24" s="79"/>
      <c r="AF24" s="80"/>
      <c r="AG24" s="81">
        <f t="shared" si="5"/>
        <v>0</v>
      </c>
      <c r="AH24" s="82"/>
      <c r="AI24" s="77"/>
      <c r="AJ24" s="100">
        <v>1</v>
      </c>
      <c r="AK24" s="101">
        <v>0.98</v>
      </c>
      <c r="AL24" s="85">
        <v>0.98</v>
      </c>
      <c r="AM24" s="78" t="s">
        <v>307</v>
      </c>
      <c r="AN24" s="74"/>
      <c r="AO24" s="88"/>
      <c r="AP24" s="89"/>
      <c r="AQ24" s="90">
        <f t="shared" si="7"/>
        <v>0</v>
      </c>
      <c r="AR24" s="91"/>
      <c r="AS24" s="74"/>
    </row>
    <row r="25" spans="1:45" ht="157.5" x14ac:dyDescent="0.25">
      <c r="A25" s="77">
        <v>22</v>
      </c>
      <c r="B25" s="78" t="s">
        <v>6</v>
      </c>
      <c r="C25" s="78" t="s">
        <v>8</v>
      </c>
      <c r="D25" s="78" t="s">
        <v>48</v>
      </c>
      <c r="E25" s="77"/>
      <c r="F25" s="79"/>
      <c r="G25" s="80"/>
      <c r="H25" s="81">
        <f t="shared" si="0"/>
        <v>0</v>
      </c>
      <c r="I25" s="82"/>
      <c r="J25" s="77"/>
      <c r="K25" s="100">
        <v>1</v>
      </c>
      <c r="L25" s="101">
        <v>1</v>
      </c>
      <c r="M25" s="85">
        <f t="shared" si="1"/>
        <v>1</v>
      </c>
      <c r="N25" s="78" t="s">
        <v>567</v>
      </c>
      <c r="O25" s="77"/>
      <c r="P25" s="79"/>
      <c r="Q25" s="80"/>
      <c r="R25" s="81">
        <f t="shared" si="2"/>
        <v>0</v>
      </c>
      <c r="S25" s="82"/>
      <c r="T25" s="77"/>
      <c r="U25" s="79"/>
      <c r="V25" s="80"/>
      <c r="W25" s="81">
        <f t="shared" si="3"/>
        <v>0</v>
      </c>
      <c r="X25" s="82"/>
      <c r="Y25" s="77"/>
      <c r="Z25" s="79"/>
      <c r="AA25" s="80"/>
      <c r="AB25" s="81">
        <f t="shared" si="4"/>
        <v>0</v>
      </c>
      <c r="AC25" s="82"/>
      <c r="AD25" s="77"/>
      <c r="AE25" s="79"/>
      <c r="AF25" s="80"/>
      <c r="AG25" s="81">
        <f t="shared" si="5"/>
        <v>0</v>
      </c>
      <c r="AH25" s="82"/>
      <c r="AI25" s="77"/>
      <c r="AJ25" s="100">
        <v>1</v>
      </c>
      <c r="AK25" s="101">
        <v>0.6</v>
      </c>
      <c r="AL25" s="85">
        <f t="shared" ref="AL25:AL27" si="9">AJ25*AK25</f>
        <v>0.6</v>
      </c>
      <c r="AM25" s="78" t="s">
        <v>1033</v>
      </c>
      <c r="AN25" s="73"/>
      <c r="AO25" s="103"/>
      <c r="AP25" s="104"/>
      <c r="AQ25" s="105">
        <f t="shared" si="7"/>
        <v>0</v>
      </c>
      <c r="AR25" s="106"/>
      <c r="AS25" s="73"/>
    </row>
    <row r="26" spans="1:45" ht="94.5" x14ac:dyDescent="0.25">
      <c r="A26" s="77">
        <v>23</v>
      </c>
      <c r="B26" s="78" t="s">
        <v>6</v>
      </c>
      <c r="C26" s="78" t="s">
        <v>8</v>
      </c>
      <c r="D26" s="78" t="s">
        <v>49</v>
      </c>
      <c r="E26" s="77"/>
      <c r="F26" s="79"/>
      <c r="G26" s="80"/>
      <c r="H26" s="81">
        <f t="shared" si="0"/>
        <v>0</v>
      </c>
      <c r="I26" s="82"/>
      <c r="J26" s="77"/>
      <c r="K26" s="100">
        <v>1</v>
      </c>
      <c r="L26" s="101">
        <v>1</v>
      </c>
      <c r="M26" s="85">
        <f t="shared" si="1"/>
        <v>1</v>
      </c>
      <c r="N26" s="78" t="s">
        <v>1021</v>
      </c>
      <c r="O26" s="77"/>
      <c r="P26" s="79"/>
      <c r="Q26" s="80"/>
      <c r="R26" s="81">
        <f t="shared" si="2"/>
        <v>0</v>
      </c>
      <c r="S26" s="82"/>
      <c r="T26" s="77"/>
      <c r="U26" s="79"/>
      <c r="V26" s="80"/>
      <c r="W26" s="81">
        <f t="shared" si="3"/>
        <v>0</v>
      </c>
      <c r="X26" s="82"/>
      <c r="Y26" s="77"/>
      <c r="Z26" s="79"/>
      <c r="AA26" s="80"/>
      <c r="AB26" s="81">
        <f t="shared" si="4"/>
        <v>0</v>
      </c>
      <c r="AC26" s="82"/>
      <c r="AD26" s="77"/>
      <c r="AE26" s="79"/>
      <c r="AF26" s="80"/>
      <c r="AG26" s="81">
        <f t="shared" si="5"/>
        <v>0</v>
      </c>
      <c r="AH26" s="82"/>
      <c r="AI26" s="77"/>
      <c r="AJ26" s="100">
        <v>1</v>
      </c>
      <c r="AK26" s="101">
        <v>0.7</v>
      </c>
      <c r="AL26" s="85">
        <f t="shared" si="9"/>
        <v>0.7</v>
      </c>
      <c r="AM26" s="78" t="s">
        <v>671</v>
      </c>
      <c r="AN26" s="74"/>
      <c r="AO26" s="88"/>
      <c r="AP26" s="89"/>
      <c r="AQ26" s="90">
        <f t="shared" si="7"/>
        <v>0</v>
      </c>
      <c r="AR26" s="91"/>
      <c r="AS26" s="74"/>
    </row>
    <row r="27" spans="1:45" ht="110.25" x14ac:dyDescent="0.25">
      <c r="A27" s="77">
        <v>24</v>
      </c>
      <c r="B27" s="78" t="s">
        <v>6</v>
      </c>
      <c r="C27" s="78" t="s">
        <v>8</v>
      </c>
      <c r="D27" s="78" t="s">
        <v>50</v>
      </c>
      <c r="E27" s="77"/>
      <c r="F27" s="79"/>
      <c r="G27" s="80"/>
      <c r="H27" s="81">
        <f t="shared" si="0"/>
        <v>0</v>
      </c>
      <c r="I27" s="82"/>
      <c r="J27" s="77"/>
      <c r="K27" s="100">
        <v>1</v>
      </c>
      <c r="L27" s="101">
        <v>0.99</v>
      </c>
      <c r="M27" s="85">
        <f t="shared" si="1"/>
        <v>0.99</v>
      </c>
      <c r="N27" s="78" t="s">
        <v>994</v>
      </c>
      <c r="O27" s="77"/>
      <c r="P27" s="79"/>
      <c r="Q27" s="80"/>
      <c r="R27" s="81">
        <f t="shared" si="2"/>
        <v>0</v>
      </c>
      <c r="S27" s="82"/>
      <c r="T27" s="77"/>
      <c r="U27" s="79"/>
      <c r="V27" s="80"/>
      <c r="W27" s="81">
        <f t="shared" si="3"/>
        <v>0</v>
      </c>
      <c r="X27" s="82"/>
      <c r="Y27" s="77"/>
      <c r="Z27" s="79"/>
      <c r="AA27" s="80"/>
      <c r="AB27" s="81">
        <f t="shared" si="4"/>
        <v>0</v>
      </c>
      <c r="AC27" s="82"/>
      <c r="AD27" s="77"/>
      <c r="AE27" s="79"/>
      <c r="AF27" s="80"/>
      <c r="AG27" s="81">
        <f t="shared" si="5"/>
        <v>0</v>
      </c>
      <c r="AH27" s="82"/>
      <c r="AI27" s="77"/>
      <c r="AJ27" s="100">
        <v>1</v>
      </c>
      <c r="AK27" s="101">
        <v>0.45</v>
      </c>
      <c r="AL27" s="85">
        <f t="shared" si="9"/>
        <v>0.45</v>
      </c>
      <c r="AM27" s="78" t="s">
        <v>1034</v>
      </c>
      <c r="AN27" s="74"/>
      <c r="AO27" s="88"/>
      <c r="AP27" s="89"/>
      <c r="AQ27" s="90">
        <f t="shared" si="7"/>
        <v>0</v>
      </c>
      <c r="AR27" s="91"/>
      <c r="AS27" s="74"/>
    </row>
    <row r="28" spans="1:45" ht="299.25" x14ac:dyDescent="0.25">
      <c r="A28" s="77">
        <v>25</v>
      </c>
      <c r="B28" s="78" t="s">
        <v>6</v>
      </c>
      <c r="C28" s="78" t="s">
        <v>8</v>
      </c>
      <c r="D28" s="78" t="s">
        <v>51</v>
      </c>
      <c r="E28" s="77"/>
      <c r="F28" s="79"/>
      <c r="G28" s="80"/>
      <c r="H28" s="81">
        <f t="shared" si="0"/>
        <v>0</v>
      </c>
      <c r="I28" s="82"/>
      <c r="J28" s="77"/>
      <c r="K28" s="100">
        <v>1</v>
      </c>
      <c r="L28" s="101">
        <v>0.85</v>
      </c>
      <c r="M28" s="85">
        <f t="shared" si="1"/>
        <v>0.85</v>
      </c>
      <c r="N28" s="78" t="s">
        <v>1553</v>
      </c>
      <c r="O28" s="77"/>
      <c r="P28" s="79"/>
      <c r="Q28" s="80"/>
      <c r="R28" s="81">
        <f t="shared" si="2"/>
        <v>0</v>
      </c>
      <c r="S28" s="82"/>
      <c r="T28" s="77"/>
      <c r="U28" s="79"/>
      <c r="V28" s="80"/>
      <c r="W28" s="81">
        <f t="shared" si="3"/>
        <v>0</v>
      </c>
      <c r="X28" s="82"/>
      <c r="Y28" s="77"/>
      <c r="Z28" s="79"/>
      <c r="AA28" s="80"/>
      <c r="AB28" s="81">
        <f t="shared" si="4"/>
        <v>0</v>
      </c>
      <c r="AC28" s="82"/>
      <c r="AD28" s="77"/>
      <c r="AE28" s="79"/>
      <c r="AF28" s="80"/>
      <c r="AG28" s="81">
        <f t="shared" si="5"/>
        <v>0</v>
      </c>
      <c r="AH28" s="82"/>
      <c r="AI28" s="77"/>
      <c r="AJ28" s="100">
        <v>1</v>
      </c>
      <c r="AK28" s="101">
        <v>0.1</v>
      </c>
      <c r="AL28" s="85">
        <f t="shared" si="6"/>
        <v>0.1</v>
      </c>
      <c r="AM28" s="78" t="s">
        <v>604</v>
      </c>
      <c r="AN28" s="74"/>
      <c r="AO28" s="88"/>
      <c r="AP28" s="89"/>
      <c r="AQ28" s="90">
        <f t="shared" si="7"/>
        <v>0</v>
      </c>
      <c r="AR28" s="91"/>
      <c r="AS28" s="74"/>
    </row>
    <row r="29" spans="1:45" ht="110.25" x14ac:dyDescent="0.25">
      <c r="A29" s="77">
        <v>26</v>
      </c>
      <c r="B29" s="78" t="s">
        <v>6</v>
      </c>
      <c r="C29" s="78" t="s">
        <v>8</v>
      </c>
      <c r="D29" s="78" t="s">
        <v>52</v>
      </c>
      <c r="E29" s="77"/>
      <c r="F29" s="79"/>
      <c r="G29" s="80"/>
      <c r="H29" s="81">
        <f t="shared" si="0"/>
        <v>0</v>
      </c>
      <c r="I29" s="82"/>
      <c r="J29" s="77"/>
      <c r="K29" s="100">
        <v>1</v>
      </c>
      <c r="L29" s="101">
        <v>1</v>
      </c>
      <c r="M29" s="85">
        <f t="shared" si="1"/>
        <v>1</v>
      </c>
      <c r="N29" s="78" t="s">
        <v>1022</v>
      </c>
      <c r="O29" s="77"/>
      <c r="P29" s="79"/>
      <c r="Q29" s="80"/>
      <c r="R29" s="81">
        <f t="shared" si="2"/>
        <v>0</v>
      </c>
      <c r="S29" s="78"/>
      <c r="T29" s="77"/>
      <c r="U29" s="79"/>
      <c r="V29" s="80"/>
      <c r="W29" s="81">
        <f t="shared" si="3"/>
        <v>0</v>
      </c>
      <c r="X29" s="78"/>
      <c r="Y29" s="77"/>
      <c r="Z29" s="79"/>
      <c r="AA29" s="80"/>
      <c r="AB29" s="81">
        <f t="shared" si="4"/>
        <v>0</v>
      </c>
      <c r="AC29" s="78"/>
      <c r="AD29" s="77"/>
      <c r="AE29" s="79"/>
      <c r="AF29" s="80"/>
      <c r="AG29" s="81">
        <f t="shared" si="5"/>
        <v>0</v>
      </c>
      <c r="AH29" s="78"/>
      <c r="AI29" s="77"/>
      <c r="AJ29" s="100">
        <v>1</v>
      </c>
      <c r="AK29" s="101">
        <v>0.1</v>
      </c>
      <c r="AL29" s="85">
        <f t="shared" si="6"/>
        <v>0.1</v>
      </c>
      <c r="AM29" s="78" t="s">
        <v>605</v>
      </c>
      <c r="AN29" s="74"/>
      <c r="AO29" s="88"/>
      <c r="AP29" s="89"/>
      <c r="AQ29" s="90">
        <f t="shared" si="7"/>
        <v>0</v>
      </c>
      <c r="AR29" s="96"/>
      <c r="AS29" s="74"/>
    </row>
    <row r="30" spans="1:45" ht="173.25" x14ac:dyDescent="0.25">
      <c r="A30" s="77">
        <v>27</v>
      </c>
      <c r="B30" s="78" t="s">
        <v>6</v>
      </c>
      <c r="C30" s="78" t="s">
        <v>8</v>
      </c>
      <c r="D30" s="78" t="s">
        <v>53</v>
      </c>
      <c r="E30" s="77"/>
      <c r="F30" s="79"/>
      <c r="G30" s="80"/>
      <c r="H30" s="81">
        <f t="shared" si="0"/>
        <v>0</v>
      </c>
      <c r="I30" s="82"/>
      <c r="J30" s="77"/>
      <c r="K30" s="100">
        <v>1</v>
      </c>
      <c r="L30" s="107">
        <v>1</v>
      </c>
      <c r="M30" s="85">
        <f t="shared" si="1"/>
        <v>1</v>
      </c>
      <c r="N30" s="78"/>
      <c r="O30" s="77"/>
      <c r="P30" s="79"/>
      <c r="Q30" s="80"/>
      <c r="R30" s="81">
        <f t="shared" si="2"/>
        <v>0</v>
      </c>
      <c r="S30" s="82"/>
      <c r="T30" s="77"/>
      <c r="U30" s="79"/>
      <c r="V30" s="80"/>
      <c r="W30" s="81">
        <f t="shared" si="3"/>
        <v>0</v>
      </c>
      <c r="X30" s="82"/>
      <c r="Y30" s="77"/>
      <c r="Z30" s="79"/>
      <c r="AA30" s="80"/>
      <c r="AB30" s="81">
        <f t="shared" si="4"/>
        <v>0</v>
      </c>
      <c r="AC30" s="82"/>
      <c r="AD30" s="77"/>
      <c r="AE30" s="79"/>
      <c r="AF30" s="80"/>
      <c r="AG30" s="81">
        <f t="shared" si="5"/>
        <v>0</v>
      </c>
      <c r="AH30" s="82"/>
      <c r="AI30" s="77"/>
      <c r="AJ30" s="100">
        <v>1</v>
      </c>
      <c r="AK30" s="107">
        <v>0.85</v>
      </c>
      <c r="AL30" s="107">
        <v>0.85</v>
      </c>
      <c r="AM30" s="78" t="s">
        <v>606</v>
      </c>
      <c r="AN30" s="74"/>
      <c r="AO30" s="88"/>
      <c r="AP30" s="89"/>
      <c r="AQ30" s="90">
        <f t="shared" si="7"/>
        <v>0</v>
      </c>
      <c r="AR30" s="91"/>
      <c r="AS30" s="74"/>
    </row>
    <row r="31" spans="1:45" ht="110.25" x14ac:dyDescent="0.25">
      <c r="A31" s="77">
        <v>28</v>
      </c>
      <c r="B31" s="78" t="s">
        <v>6</v>
      </c>
      <c r="C31" s="78" t="s">
        <v>8</v>
      </c>
      <c r="D31" s="78" t="s">
        <v>54</v>
      </c>
      <c r="E31" s="77"/>
      <c r="F31" s="79"/>
      <c r="G31" s="80"/>
      <c r="H31" s="81">
        <f t="shared" si="0"/>
        <v>0</v>
      </c>
      <c r="I31" s="82"/>
      <c r="J31" s="77"/>
      <c r="K31" s="100">
        <v>1</v>
      </c>
      <c r="L31" s="101">
        <v>1</v>
      </c>
      <c r="M31" s="85">
        <f t="shared" si="1"/>
        <v>1</v>
      </c>
      <c r="N31" s="78" t="s">
        <v>211</v>
      </c>
      <c r="O31" s="77"/>
      <c r="P31" s="79"/>
      <c r="Q31" s="80"/>
      <c r="R31" s="81">
        <f t="shared" si="2"/>
        <v>0</v>
      </c>
      <c r="S31" s="82"/>
      <c r="T31" s="77"/>
      <c r="U31" s="79"/>
      <c r="V31" s="80"/>
      <c r="W31" s="81">
        <f t="shared" si="3"/>
        <v>0</v>
      </c>
      <c r="X31" s="82"/>
      <c r="Y31" s="77"/>
      <c r="Z31" s="79"/>
      <c r="AA31" s="80"/>
      <c r="AB31" s="81">
        <f t="shared" si="4"/>
        <v>0</v>
      </c>
      <c r="AC31" s="82"/>
      <c r="AD31" s="77"/>
      <c r="AE31" s="79"/>
      <c r="AF31" s="80"/>
      <c r="AG31" s="81">
        <f t="shared" si="5"/>
        <v>0</v>
      </c>
      <c r="AH31" s="82"/>
      <c r="AI31" s="77"/>
      <c r="AJ31" s="100">
        <v>1</v>
      </c>
      <c r="AK31" s="101">
        <v>1</v>
      </c>
      <c r="AL31" s="85">
        <f t="shared" ref="AL31" si="10">AJ31*AK31</f>
        <v>1</v>
      </c>
      <c r="AM31" s="78" t="s">
        <v>1035</v>
      </c>
      <c r="AN31" s="74"/>
      <c r="AO31" s="88"/>
      <c r="AP31" s="89"/>
      <c r="AQ31" s="90">
        <f t="shared" si="7"/>
        <v>0</v>
      </c>
      <c r="AR31" s="91"/>
      <c r="AS31" s="74"/>
    </row>
    <row r="32" spans="1:45" ht="110.25" x14ac:dyDescent="0.25">
      <c r="A32" s="77">
        <v>29</v>
      </c>
      <c r="B32" s="78" t="s">
        <v>6</v>
      </c>
      <c r="C32" s="78" t="s">
        <v>8</v>
      </c>
      <c r="D32" s="78" t="s">
        <v>55</v>
      </c>
      <c r="E32" s="77"/>
      <c r="F32" s="79"/>
      <c r="G32" s="80"/>
      <c r="H32" s="81">
        <f t="shared" si="0"/>
        <v>0</v>
      </c>
      <c r="I32" s="82"/>
      <c r="J32" s="77"/>
      <c r="K32" s="100">
        <v>1</v>
      </c>
      <c r="L32" s="101">
        <v>1</v>
      </c>
      <c r="M32" s="85">
        <f t="shared" si="1"/>
        <v>1</v>
      </c>
      <c r="N32" s="78" t="s">
        <v>406</v>
      </c>
      <c r="O32" s="77"/>
      <c r="P32" s="79"/>
      <c r="Q32" s="80"/>
      <c r="R32" s="81">
        <f t="shared" si="2"/>
        <v>0</v>
      </c>
      <c r="S32" s="82"/>
      <c r="T32" s="77"/>
      <c r="U32" s="79"/>
      <c r="V32" s="80"/>
      <c r="W32" s="81">
        <f t="shared" si="3"/>
        <v>0</v>
      </c>
      <c r="X32" s="82"/>
      <c r="Y32" s="77"/>
      <c r="Z32" s="79"/>
      <c r="AA32" s="80"/>
      <c r="AB32" s="81">
        <f t="shared" si="4"/>
        <v>0</v>
      </c>
      <c r="AC32" s="82"/>
      <c r="AD32" s="77"/>
      <c r="AE32" s="79"/>
      <c r="AF32" s="80"/>
      <c r="AG32" s="81">
        <f t="shared" si="5"/>
        <v>0</v>
      </c>
      <c r="AH32" s="82"/>
      <c r="AI32" s="77"/>
      <c r="AJ32" s="100">
        <v>1</v>
      </c>
      <c r="AK32" s="101">
        <v>1</v>
      </c>
      <c r="AL32" s="85">
        <f t="shared" si="6"/>
        <v>1</v>
      </c>
      <c r="AM32" s="78" t="s">
        <v>1036</v>
      </c>
      <c r="AN32" s="74"/>
      <c r="AO32" s="88"/>
      <c r="AP32" s="89"/>
      <c r="AQ32" s="90">
        <f t="shared" si="7"/>
        <v>0</v>
      </c>
      <c r="AR32" s="91"/>
      <c r="AS32" s="74"/>
    </row>
    <row r="33" spans="1:45" ht="94.5" x14ac:dyDescent="0.25">
      <c r="A33" s="77">
        <v>30</v>
      </c>
      <c r="B33" s="78" t="s">
        <v>6</v>
      </c>
      <c r="C33" s="78" t="s">
        <v>8</v>
      </c>
      <c r="D33" s="78" t="s">
        <v>56</v>
      </c>
      <c r="E33" s="77"/>
      <c r="F33" s="79"/>
      <c r="G33" s="80"/>
      <c r="H33" s="81">
        <f t="shared" si="0"/>
        <v>0</v>
      </c>
      <c r="I33" s="82"/>
      <c r="J33" s="77"/>
      <c r="K33" s="100">
        <v>1</v>
      </c>
      <c r="L33" s="101">
        <v>1</v>
      </c>
      <c r="M33" s="85">
        <f t="shared" si="1"/>
        <v>1</v>
      </c>
      <c r="N33" s="78" t="s">
        <v>1023</v>
      </c>
      <c r="O33" s="77"/>
      <c r="P33" s="79"/>
      <c r="Q33" s="80"/>
      <c r="R33" s="81">
        <f t="shared" si="2"/>
        <v>0</v>
      </c>
      <c r="S33" s="82"/>
      <c r="T33" s="77"/>
      <c r="U33" s="79"/>
      <c r="V33" s="80"/>
      <c r="W33" s="81">
        <f t="shared" si="3"/>
        <v>0</v>
      </c>
      <c r="X33" s="82"/>
      <c r="Y33" s="77"/>
      <c r="Z33" s="79"/>
      <c r="AA33" s="80"/>
      <c r="AB33" s="81">
        <f t="shared" si="4"/>
        <v>0</v>
      </c>
      <c r="AC33" s="82"/>
      <c r="AD33" s="77"/>
      <c r="AE33" s="79"/>
      <c r="AF33" s="80"/>
      <c r="AG33" s="81">
        <f t="shared" si="5"/>
        <v>0</v>
      </c>
      <c r="AH33" s="82"/>
      <c r="AI33" s="77"/>
      <c r="AJ33" s="100">
        <v>1</v>
      </c>
      <c r="AK33" s="101">
        <v>0.3</v>
      </c>
      <c r="AL33" s="85">
        <f t="shared" si="6"/>
        <v>0.3</v>
      </c>
      <c r="AM33" s="78" t="s">
        <v>609</v>
      </c>
      <c r="AN33" s="74"/>
      <c r="AO33" s="88"/>
      <c r="AP33" s="89"/>
      <c r="AQ33" s="90">
        <f t="shared" si="7"/>
        <v>0</v>
      </c>
      <c r="AR33" s="91"/>
      <c r="AS33" s="74"/>
    </row>
    <row r="34" spans="1:45" ht="157.5" x14ac:dyDescent="0.25">
      <c r="A34" s="77">
        <v>31</v>
      </c>
      <c r="B34" s="78" t="s">
        <v>6</v>
      </c>
      <c r="C34" s="78" t="s">
        <v>9</v>
      </c>
      <c r="D34" s="102" t="s">
        <v>57</v>
      </c>
      <c r="E34" s="77"/>
      <c r="F34" s="79"/>
      <c r="G34" s="80"/>
      <c r="H34" s="81">
        <f t="shared" si="0"/>
        <v>0</v>
      </c>
      <c r="I34" s="82"/>
      <c r="J34" s="77"/>
      <c r="K34" s="100">
        <v>1</v>
      </c>
      <c r="L34" s="101">
        <v>0.62</v>
      </c>
      <c r="M34" s="85">
        <f t="shared" si="1"/>
        <v>0.62</v>
      </c>
      <c r="N34" s="78" t="s">
        <v>1024</v>
      </c>
      <c r="O34" s="77"/>
      <c r="P34" s="79"/>
      <c r="Q34" s="80"/>
      <c r="R34" s="81">
        <f t="shared" si="2"/>
        <v>0</v>
      </c>
      <c r="S34" s="82"/>
      <c r="T34" s="77"/>
      <c r="U34" s="79"/>
      <c r="V34" s="80"/>
      <c r="W34" s="81">
        <f t="shared" si="3"/>
        <v>0</v>
      </c>
      <c r="X34" s="82"/>
      <c r="Y34" s="77"/>
      <c r="Z34" s="79"/>
      <c r="AA34" s="80"/>
      <c r="AB34" s="81">
        <f t="shared" si="4"/>
        <v>0</v>
      </c>
      <c r="AC34" s="82"/>
      <c r="AD34" s="77"/>
      <c r="AE34" s="79"/>
      <c r="AF34" s="80"/>
      <c r="AG34" s="81">
        <f t="shared" si="5"/>
        <v>0</v>
      </c>
      <c r="AH34" s="82"/>
      <c r="AI34" s="77"/>
      <c r="AJ34" s="100">
        <v>1</v>
      </c>
      <c r="AK34" s="101">
        <v>0.3</v>
      </c>
      <c r="AL34" s="85">
        <v>0.3</v>
      </c>
      <c r="AM34" s="78" t="s">
        <v>610</v>
      </c>
      <c r="AN34" s="74"/>
      <c r="AO34" s="88"/>
      <c r="AP34" s="89"/>
      <c r="AQ34" s="90">
        <f t="shared" si="7"/>
        <v>0</v>
      </c>
      <c r="AR34" s="91"/>
      <c r="AS34" s="74"/>
    </row>
    <row r="35" spans="1:45" ht="110.25" x14ac:dyDescent="0.25">
      <c r="A35" s="77">
        <v>32</v>
      </c>
      <c r="B35" s="78" t="s">
        <v>6</v>
      </c>
      <c r="C35" s="78" t="s">
        <v>9</v>
      </c>
      <c r="D35" s="102" t="s">
        <v>58</v>
      </c>
      <c r="E35" s="77"/>
      <c r="F35" s="79"/>
      <c r="G35" s="80"/>
      <c r="H35" s="81">
        <f t="shared" si="0"/>
        <v>0</v>
      </c>
      <c r="I35" s="78"/>
      <c r="J35" s="77"/>
      <c r="K35" s="100">
        <v>1</v>
      </c>
      <c r="L35" s="101">
        <v>0.9</v>
      </c>
      <c r="M35" s="85">
        <f t="shared" si="1"/>
        <v>0.9</v>
      </c>
      <c r="N35" s="78" t="s">
        <v>152</v>
      </c>
      <c r="O35" s="77"/>
      <c r="P35" s="79"/>
      <c r="Q35" s="80"/>
      <c r="R35" s="81">
        <f t="shared" si="2"/>
        <v>0</v>
      </c>
      <c r="S35" s="82"/>
      <c r="T35" s="77"/>
      <c r="U35" s="79"/>
      <c r="V35" s="80"/>
      <c r="W35" s="81">
        <f t="shared" si="3"/>
        <v>0</v>
      </c>
      <c r="X35" s="82"/>
      <c r="Y35" s="77"/>
      <c r="Z35" s="79"/>
      <c r="AA35" s="80"/>
      <c r="AB35" s="81">
        <f t="shared" si="4"/>
        <v>0</v>
      </c>
      <c r="AC35" s="82"/>
      <c r="AD35" s="77"/>
      <c r="AE35" s="79"/>
      <c r="AF35" s="80"/>
      <c r="AG35" s="81">
        <f t="shared" si="5"/>
        <v>0</v>
      </c>
      <c r="AH35" s="82"/>
      <c r="AI35" s="77"/>
      <c r="AJ35" s="100">
        <v>1</v>
      </c>
      <c r="AK35" s="101">
        <v>0.1</v>
      </c>
      <c r="AL35" s="85">
        <v>0.1</v>
      </c>
      <c r="AM35" s="78" t="s">
        <v>965</v>
      </c>
      <c r="AN35" s="74"/>
      <c r="AO35" s="88"/>
      <c r="AP35" s="89"/>
      <c r="AQ35" s="90">
        <f t="shared" si="7"/>
        <v>0</v>
      </c>
      <c r="AR35" s="91"/>
      <c r="AS35" s="74"/>
    </row>
    <row r="36" spans="1:45" ht="141.75" x14ac:dyDescent="0.25">
      <c r="A36" s="77">
        <v>33</v>
      </c>
      <c r="B36" s="78" t="s">
        <v>6</v>
      </c>
      <c r="C36" s="78" t="s">
        <v>9</v>
      </c>
      <c r="D36" s="78" t="s">
        <v>59</v>
      </c>
      <c r="E36" s="77"/>
      <c r="F36" s="79"/>
      <c r="G36" s="80"/>
      <c r="H36" s="81">
        <f t="shared" si="0"/>
        <v>0</v>
      </c>
      <c r="I36" s="82"/>
      <c r="J36" s="77"/>
      <c r="K36" s="100">
        <v>1</v>
      </c>
      <c r="L36" s="101">
        <v>1</v>
      </c>
      <c r="M36" s="85">
        <f t="shared" si="1"/>
        <v>1</v>
      </c>
      <c r="N36" s="78"/>
      <c r="O36" s="77"/>
      <c r="P36" s="79"/>
      <c r="Q36" s="80"/>
      <c r="R36" s="81">
        <f t="shared" si="2"/>
        <v>0</v>
      </c>
      <c r="S36" s="82"/>
      <c r="T36" s="77"/>
      <c r="U36" s="79"/>
      <c r="V36" s="80"/>
      <c r="W36" s="81">
        <f t="shared" si="3"/>
        <v>0</v>
      </c>
      <c r="X36" s="82"/>
      <c r="Y36" s="77"/>
      <c r="Z36" s="79"/>
      <c r="AA36" s="80"/>
      <c r="AB36" s="81">
        <f t="shared" si="4"/>
        <v>0</v>
      </c>
      <c r="AC36" s="82"/>
      <c r="AD36" s="77"/>
      <c r="AE36" s="79"/>
      <c r="AF36" s="80"/>
      <c r="AG36" s="81">
        <f t="shared" si="5"/>
        <v>0</v>
      </c>
      <c r="AH36" s="82"/>
      <c r="AI36" s="77"/>
      <c r="AJ36" s="100">
        <v>1</v>
      </c>
      <c r="AK36" s="101">
        <v>0.5</v>
      </c>
      <c r="AL36" s="85">
        <v>0.5</v>
      </c>
      <c r="AM36" s="78" t="s">
        <v>612</v>
      </c>
      <c r="AN36" s="74"/>
      <c r="AO36" s="88"/>
      <c r="AP36" s="89"/>
      <c r="AQ36" s="90">
        <f t="shared" si="7"/>
        <v>0</v>
      </c>
      <c r="AR36" s="91"/>
      <c r="AS36" s="74"/>
    </row>
    <row r="37" spans="1:45" ht="126" x14ac:dyDescent="0.25">
      <c r="A37" s="77">
        <v>34</v>
      </c>
      <c r="B37" s="78" t="s">
        <v>6</v>
      </c>
      <c r="C37" s="78" t="s">
        <v>9</v>
      </c>
      <c r="D37" s="78" t="s">
        <v>60</v>
      </c>
      <c r="E37" s="77"/>
      <c r="F37" s="79"/>
      <c r="G37" s="80"/>
      <c r="H37" s="81">
        <f t="shared" si="0"/>
        <v>0</v>
      </c>
      <c r="I37" s="82"/>
      <c r="J37" s="77"/>
      <c r="K37" s="100">
        <v>1</v>
      </c>
      <c r="L37" s="101">
        <v>1</v>
      </c>
      <c r="M37" s="85">
        <f t="shared" si="1"/>
        <v>1</v>
      </c>
      <c r="N37" s="78" t="s">
        <v>701</v>
      </c>
      <c r="O37" s="77"/>
      <c r="P37" s="79"/>
      <c r="Q37" s="80"/>
      <c r="R37" s="81">
        <f t="shared" si="2"/>
        <v>0</v>
      </c>
      <c r="S37" s="82"/>
      <c r="T37" s="77"/>
      <c r="U37" s="79"/>
      <c r="V37" s="80"/>
      <c r="W37" s="81">
        <f t="shared" si="3"/>
        <v>0</v>
      </c>
      <c r="X37" s="82"/>
      <c r="Y37" s="77"/>
      <c r="Z37" s="79"/>
      <c r="AA37" s="80"/>
      <c r="AB37" s="81">
        <f t="shared" si="4"/>
        <v>0</v>
      </c>
      <c r="AC37" s="82"/>
      <c r="AD37" s="77"/>
      <c r="AE37" s="79"/>
      <c r="AF37" s="80"/>
      <c r="AG37" s="81">
        <f t="shared" si="5"/>
        <v>0</v>
      </c>
      <c r="AH37" s="82"/>
      <c r="AI37" s="77"/>
      <c r="AJ37" s="100">
        <v>1</v>
      </c>
      <c r="AK37" s="101">
        <v>1</v>
      </c>
      <c r="AL37" s="85">
        <f t="shared" si="6"/>
        <v>1</v>
      </c>
      <c r="AM37" s="78" t="s">
        <v>1011</v>
      </c>
      <c r="AN37" s="74"/>
      <c r="AO37" s="88"/>
      <c r="AP37" s="89"/>
      <c r="AQ37" s="90">
        <f t="shared" si="7"/>
        <v>0</v>
      </c>
      <c r="AR37" s="91"/>
      <c r="AS37" s="74"/>
    </row>
    <row r="38" spans="1:45" ht="126" x14ac:dyDescent="0.25">
      <c r="A38" s="77">
        <v>35</v>
      </c>
      <c r="B38" s="78" t="s">
        <v>6</v>
      </c>
      <c r="C38" s="78" t="s">
        <v>9</v>
      </c>
      <c r="D38" s="78" t="s">
        <v>61</v>
      </c>
      <c r="E38" s="77"/>
      <c r="F38" s="79"/>
      <c r="G38" s="80"/>
      <c r="H38" s="81">
        <f t="shared" si="0"/>
        <v>0</v>
      </c>
      <c r="I38" s="82"/>
      <c r="J38" s="77"/>
      <c r="K38" s="100">
        <v>1</v>
      </c>
      <c r="L38" s="101">
        <v>0.9</v>
      </c>
      <c r="M38" s="85">
        <f t="shared" si="1"/>
        <v>0.9</v>
      </c>
      <c r="N38" s="78" t="s">
        <v>647</v>
      </c>
      <c r="O38" s="77"/>
      <c r="P38" s="79"/>
      <c r="Q38" s="80"/>
      <c r="R38" s="81">
        <f t="shared" si="2"/>
        <v>0</v>
      </c>
      <c r="S38" s="82"/>
      <c r="T38" s="77"/>
      <c r="U38" s="79"/>
      <c r="V38" s="80"/>
      <c r="W38" s="81">
        <f t="shared" si="3"/>
        <v>0</v>
      </c>
      <c r="X38" s="82"/>
      <c r="Y38" s="77"/>
      <c r="Z38" s="79"/>
      <c r="AA38" s="80"/>
      <c r="AB38" s="81">
        <f t="shared" si="4"/>
        <v>0</v>
      </c>
      <c r="AC38" s="82"/>
      <c r="AD38" s="77"/>
      <c r="AE38" s="79"/>
      <c r="AF38" s="80"/>
      <c r="AG38" s="81">
        <f t="shared" si="5"/>
        <v>0</v>
      </c>
      <c r="AH38" s="82"/>
      <c r="AI38" s="77"/>
      <c r="AJ38" s="100">
        <v>1</v>
      </c>
      <c r="AK38" s="101">
        <v>0.1</v>
      </c>
      <c r="AL38" s="85">
        <f t="shared" si="6"/>
        <v>0.1</v>
      </c>
      <c r="AM38" s="78" t="s">
        <v>760</v>
      </c>
      <c r="AN38" s="74"/>
      <c r="AO38" s="88"/>
      <c r="AP38" s="89"/>
      <c r="AQ38" s="90">
        <f t="shared" si="7"/>
        <v>0</v>
      </c>
      <c r="AR38" s="91"/>
      <c r="AS38" s="74"/>
    </row>
    <row r="39" spans="1:45" ht="252" x14ac:dyDescent="0.25">
      <c r="A39" s="77">
        <v>36</v>
      </c>
      <c r="B39" s="78" t="s">
        <v>6</v>
      </c>
      <c r="C39" s="78" t="s">
        <v>9</v>
      </c>
      <c r="D39" s="78" t="s">
        <v>62</v>
      </c>
      <c r="E39" s="77"/>
      <c r="F39" s="79"/>
      <c r="G39" s="80"/>
      <c r="H39" s="81">
        <f t="shared" si="0"/>
        <v>0</v>
      </c>
      <c r="I39" s="82"/>
      <c r="J39" s="77"/>
      <c r="K39" s="100">
        <v>1</v>
      </c>
      <c r="L39" s="101">
        <v>0.9</v>
      </c>
      <c r="M39" s="85">
        <f t="shared" si="1"/>
        <v>0.9</v>
      </c>
      <c r="N39" s="78" t="s">
        <v>928</v>
      </c>
      <c r="O39" s="77"/>
      <c r="P39" s="79"/>
      <c r="Q39" s="80"/>
      <c r="R39" s="81">
        <f t="shared" si="2"/>
        <v>0</v>
      </c>
      <c r="S39" s="82"/>
      <c r="T39" s="77"/>
      <c r="U39" s="79"/>
      <c r="V39" s="80"/>
      <c r="W39" s="81">
        <f t="shared" si="3"/>
        <v>0</v>
      </c>
      <c r="X39" s="82"/>
      <c r="Y39" s="77"/>
      <c r="Z39" s="79"/>
      <c r="AA39" s="80"/>
      <c r="AB39" s="81">
        <f t="shared" si="4"/>
        <v>0</v>
      </c>
      <c r="AC39" s="82"/>
      <c r="AD39" s="77"/>
      <c r="AE39" s="79"/>
      <c r="AF39" s="80"/>
      <c r="AG39" s="81">
        <f t="shared" si="5"/>
        <v>0</v>
      </c>
      <c r="AH39" s="82"/>
      <c r="AI39" s="77"/>
      <c r="AJ39" s="100">
        <v>1</v>
      </c>
      <c r="AK39" s="101">
        <v>0.4</v>
      </c>
      <c r="AL39" s="85">
        <f t="shared" si="6"/>
        <v>0.4</v>
      </c>
      <c r="AM39" s="78" t="s">
        <v>675</v>
      </c>
      <c r="AN39" s="74"/>
      <c r="AO39" s="88"/>
      <c r="AP39" s="89"/>
      <c r="AQ39" s="90">
        <f t="shared" si="7"/>
        <v>0</v>
      </c>
      <c r="AR39" s="91"/>
      <c r="AS39" s="74"/>
    </row>
    <row r="40" spans="1:45" ht="94.5" x14ac:dyDescent="0.25">
      <c r="A40" s="77">
        <v>37</v>
      </c>
      <c r="B40" s="78" t="s">
        <v>6</v>
      </c>
      <c r="C40" s="78" t="s">
        <v>9</v>
      </c>
      <c r="D40" s="78" t="s">
        <v>63</v>
      </c>
      <c r="E40" s="77"/>
      <c r="F40" s="79"/>
      <c r="G40" s="80"/>
      <c r="H40" s="81">
        <f t="shared" si="0"/>
        <v>0</v>
      </c>
      <c r="I40" s="82"/>
      <c r="J40" s="77"/>
      <c r="K40" s="100">
        <v>1</v>
      </c>
      <c r="L40" s="101">
        <v>0.65</v>
      </c>
      <c r="M40" s="85">
        <f t="shared" si="1"/>
        <v>0.65</v>
      </c>
      <c r="N40" s="78" t="s">
        <v>1025</v>
      </c>
      <c r="O40" s="77"/>
      <c r="P40" s="79"/>
      <c r="Q40" s="80"/>
      <c r="R40" s="81">
        <f t="shared" si="2"/>
        <v>0</v>
      </c>
      <c r="S40" s="82"/>
      <c r="T40" s="77"/>
      <c r="U40" s="79"/>
      <c r="V40" s="80"/>
      <c r="W40" s="81">
        <f t="shared" si="3"/>
        <v>0</v>
      </c>
      <c r="X40" s="82"/>
      <c r="Y40" s="77"/>
      <c r="Z40" s="79"/>
      <c r="AA40" s="80"/>
      <c r="AB40" s="81">
        <f t="shared" si="4"/>
        <v>0</v>
      </c>
      <c r="AC40" s="82"/>
      <c r="AD40" s="77"/>
      <c r="AE40" s="79"/>
      <c r="AF40" s="80"/>
      <c r="AG40" s="81">
        <f t="shared" si="5"/>
        <v>0</v>
      </c>
      <c r="AH40" s="82"/>
      <c r="AI40" s="77"/>
      <c r="AJ40" s="100">
        <v>1</v>
      </c>
      <c r="AK40" s="101">
        <v>0.99</v>
      </c>
      <c r="AL40" s="85">
        <f t="shared" si="6"/>
        <v>0.99</v>
      </c>
      <c r="AM40" s="78" t="s">
        <v>616</v>
      </c>
      <c r="AN40" s="74"/>
      <c r="AO40" s="88"/>
      <c r="AP40" s="89"/>
      <c r="AQ40" s="90">
        <f t="shared" si="7"/>
        <v>0</v>
      </c>
      <c r="AR40" s="91"/>
      <c r="AS40" s="74"/>
    </row>
    <row r="41" spans="1:45" ht="189" x14ac:dyDescent="0.25">
      <c r="A41" s="77">
        <v>38</v>
      </c>
      <c r="B41" s="78" t="s">
        <v>10</v>
      </c>
      <c r="C41" s="78" t="s">
        <v>11</v>
      </c>
      <c r="D41" s="78" t="s">
        <v>65</v>
      </c>
      <c r="E41" s="77"/>
      <c r="F41" s="79"/>
      <c r="G41" s="80"/>
      <c r="H41" s="81">
        <f t="shared" si="0"/>
        <v>0</v>
      </c>
      <c r="I41" s="82"/>
      <c r="J41" s="77"/>
      <c r="K41" s="100">
        <v>1</v>
      </c>
      <c r="L41" s="101">
        <v>0.95</v>
      </c>
      <c r="M41" s="85">
        <f t="shared" si="1"/>
        <v>0.95</v>
      </c>
      <c r="N41" s="78" t="s">
        <v>1548</v>
      </c>
      <c r="O41" s="77"/>
      <c r="P41" s="79"/>
      <c r="Q41" s="80"/>
      <c r="R41" s="81">
        <f t="shared" si="2"/>
        <v>0</v>
      </c>
      <c r="S41" s="82"/>
      <c r="T41" s="77"/>
      <c r="U41" s="79"/>
      <c r="V41" s="80"/>
      <c r="W41" s="81">
        <f t="shared" si="3"/>
        <v>0</v>
      </c>
      <c r="X41" s="82"/>
      <c r="Y41" s="77"/>
      <c r="Z41" s="79"/>
      <c r="AA41" s="80"/>
      <c r="AB41" s="81">
        <f t="shared" si="4"/>
        <v>0</v>
      </c>
      <c r="AC41" s="82"/>
      <c r="AD41" s="77"/>
      <c r="AE41" s="79"/>
      <c r="AF41" s="80"/>
      <c r="AG41" s="81">
        <f t="shared" si="5"/>
        <v>0</v>
      </c>
      <c r="AH41" s="82"/>
      <c r="AI41" s="77"/>
      <c r="AJ41" s="100">
        <v>1</v>
      </c>
      <c r="AK41" s="101">
        <v>0.67</v>
      </c>
      <c r="AL41" s="85">
        <f t="shared" si="6"/>
        <v>0.67</v>
      </c>
      <c r="AM41" s="78" t="s">
        <v>1549</v>
      </c>
      <c r="AN41" s="74"/>
      <c r="AO41" s="88"/>
      <c r="AP41" s="89"/>
      <c r="AQ41" s="90">
        <f t="shared" si="7"/>
        <v>0</v>
      </c>
      <c r="AR41" s="91"/>
      <c r="AS41" s="74"/>
    </row>
    <row r="42" spans="1:45" ht="78.75" x14ac:dyDescent="0.25">
      <c r="A42" s="77">
        <v>39</v>
      </c>
      <c r="B42" s="78" t="s">
        <v>10</v>
      </c>
      <c r="C42" s="78" t="s">
        <v>11</v>
      </c>
      <c r="D42" s="78" t="s">
        <v>66</v>
      </c>
      <c r="E42" s="77"/>
      <c r="F42" s="79"/>
      <c r="G42" s="80"/>
      <c r="H42" s="81">
        <f t="shared" si="0"/>
        <v>0</v>
      </c>
      <c r="I42" s="82"/>
      <c r="J42" s="77"/>
      <c r="K42" s="100">
        <v>1</v>
      </c>
      <c r="L42" s="101">
        <v>1</v>
      </c>
      <c r="M42" s="85">
        <f t="shared" si="1"/>
        <v>1</v>
      </c>
      <c r="N42" s="78" t="s">
        <v>1067</v>
      </c>
      <c r="O42" s="77"/>
      <c r="P42" s="79"/>
      <c r="Q42" s="80"/>
      <c r="R42" s="81">
        <f t="shared" si="2"/>
        <v>0</v>
      </c>
      <c r="S42" s="82"/>
      <c r="T42" s="77"/>
      <c r="U42" s="79"/>
      <c r="V42" s="80"/>
      <c r="W42" s="81">
        <f t="shared" si="3"/>
        <v>0</v>
      </c>
      <c r="X42" s="82"/>
      <c r="Y42" s="77"/>
      <c r="Z42" s="79"/>
      <c r="AA42" s="80"/>
      <c r="AB42" s="81">
        <f t="shared" si="4"/>
        <v>0</v>
      </c>
      <c r="AC42" s="82"/>
      <c r="AD42" s="77"/>
      <c r="AE42" s="79"/>
      <c r="AF42" s="80"/>
      <c r="AG42" s="81">
        <f t="shared" si="5"/>
        <v>0</v>
      </c>
      <c r="AH42" s="82"/>
      <c r="AI42" s="77"/>
      <c r="AJ42" s="100">
        <v>1</v>
      </c>
      <c r="AK42" s="101">
        <v>1</v>
      </c>
      <c r="AL42" s="85">
        <f t="shared" si="6"/>
        <v>1</v>
      </c>
      <c r="AM42" s="78" t="s">
        <v>1539</v>
      </c>
      <c r="AN42" s="74"/>
      <c r="AO42" s="88"/>
      <c r="AP42" s="89"/>
      <c r="AQ42" s="90">
        <f t="shared" si="7"/>
        <v>0</v>
      </c>
      <c r="AR42" s="91"/>
      <c r="AS42" s="74"/>
    </row>
    <row r="43" spans="1:45" ht="31.5" x14ac:dyDescent="0.25">
      <c r="A43" s="77">
        <v>40</v>
      </c>
      <c r="B43" s="78" t="s">
        <v>10</v>
      </c>
      <c r="C43" s="78" t="s">
        <v>11</v>
      </c>
      <c r="D43" s="78" t="s">
        <v>67</v>
      </c>
      <c r="E43" s="77"/>
      <c r="F43" s="79"/>
      <c r="G43" s="80"/>
      <c r="H43" s="81">
        <f t="shared" si="0"/>
        <v>0</v>
      </c>
      <c r="I43" s="82"/>
      <c r="J43" s="77"/>
      <c r="K43" s="100">
        <v>1</v>
      </c>
      <c r="L43" s="101">
        <v>1</v>
      </c>
      <c r="M43" s="85">
        <f t="shared" si="1"/>
        <v>1</v>
      </c>
      <c r="N43" s="78" t="s">
        <v>1080</v>
      </c>
      <c r="O43" s="77"/>
      <c r="P43" s="79"/>
      <c r="Q43" s="80"/>
      <c r="R43" s="81">
        <f t="shared" si="2"/>
        <v>0</v>
      </c>
      <c r="S43" s="82"/>
      <c r="T43" s="77"/>
      <c r="U43" s="79"/>
      <c r="V43" s="80"/>
      <c r="W43" s="81">
        <f t="shared" si="3"/>
        <v>0</v>
      </c>
      <c r="X43" s="82"/>
      <c r="Y43" s="77"/>
      <c r="Z43" s="79"/>
      <c r="AA43" s="80"/>
      <c r="AB43" s="81">
        <f t="shared" si="4"/>
        <v>0</v>
      </c>
      <c r="AC43" s="82"/>
      <c r="AD43" s="77"/>
      <c r="AE43" s="79"/>
      <c r="AF43" s="80"/>
      <c r="AG43" s="81">
        <f t="shared" si="5"/>
        <v>0</v>
      </c>
      <c r="AH43" s="82"/>
      <c r="AI43" s="77"/>
      <c r="AJ43" s="100">
        <v>1</v>
      </c>
      <c r="AK43" s="101">
        <v>0.5</v>
      </c>
      <c r="AL43" s="85">
        <f t="shared" si="6"/>
        <v>0.5</v>
      </c>
      <c r="AM43" s="78" t="s">
        <v>1520</v>
      </c>
      <c r="AN43" s="74"/>
      <c r="AO43" s="88"/>
      <c r="AP43" s="89"/>
      <c r="AQ43" s="90">
        <f t="shared" si="7"/>
        <v>0</v>
      </c>
      <c r="AR43" s="91"/>
      <c r="AS43" s="74"/>
    </row>
    <row r="44" spans="1:45" ht="126" x14ac:dyDescent="0.25">
      <c r="A44" s="77">
        <v>41</v>
      </c>
      <c r="B44" s="78" t="s">
        <v>10</v>
      </c>
      <c r="C44" s="78" t="s">
        <v>11</v>
      </c>
      <c r="D44" s="78" t="s">
        <v>68</v>
      </c>
      <c r="E44" s="77"/>
      <c r="F44" s="79"/>
      <c r="G44" s="80"/>
      <c r="H44" s="81">
        <f t="shared" si="0"/>
        <v>0</v>
      </c>
      <c r="I44" s="82"/>
      <c r="J44" s="77"/>
      <c r="K44" s="100">
        <v>1</v>
      </c>
      <c r="L44" s="101">
        <v>1</v>
      </c>
      <c r="M44" s="85">
        <f t="shared" si="1"/>
        <v>1</v>
      </c>
      <c r="N44" s="78" t="s">
        <v>1058</v>
      </c>
      <c r="O44" s="77"/>
      <c r="P44" s="79"/>
      <c r="Q44" s="80"/>
      <c r="R44" s="81">
        <f t="shared" si="2"/>
        <v>0</v>
      </c>
      <c r="S44" s="82"/>
      <c r="T44" s="77"/>
      <c r="U44" s="79"/>
      <c r="V44" s="80"/>
      <c r="W44" s="81">
        <f t="shared" si="3"/>
        <v>0</v>
      </c>
      <c r="X44" s="82"/>
      <c r="Y44" s="77"/>
      <c r="Z44" s="79"/>
      <c r="AA44" s="80"/>
      <c r="AB44" s="81">
        <f t="shared" si="4"/>
        <v>0</v>
      </c>
      <c r="AC44" s="82"/>
      <c r="AD44" s="77"/>
      <c r="AE44" s="79"/>
      <c r="AF44" s="80"/>
      <c r="AG44" s="81">
        <f t="shared" si="5"/>
        <v>0</v>
      </c>
      <c r="AH44" s="82"/>
      <c r="AI44" s="77"/>
      <c r="AJ44" s="100">
        <v>1</v>
      </c>
      <c r="AK44" s="101">
        <v>0.5</v>
      </c>
      <c r="AL44" s="85">
        <f t="shared" si="6"/>
        <v>0.5</v>
      </c>
      <c r="AM44" s="78" t="s">
        <v>1550</v>
      </c>
      <c r="AN44" s="74"/>
      <c r="AO44" s="88"/>
      <c r="AP44" s="89"/>
      <c r="AQ44" s="90">
        <f t="shared" si="7"/>
        <v>0</v>
      </c>
      <c r="AR44" s="91"/>
      <c r="AS44" s="74"/>
    </row>
    <row r="45" spans="1:45" ht="47.25" x14ac:dyDescent="0.25">
      <c r="A45" s="77">
        <v>42</v>
      </c>
      <c r="B45" s="78" t="s">
        <v>10</v>
      </c>
      <c r="C45" s="78" t="s">
        <v>11</v>
      </c>
      <c r="D45" s="78" t="s">
        <v>69</v>
      </c>
      <c r="E45" s="77"/>
      <c r="F45" s="79"/>
      <c r="G45" s="80"/>
      <c r="H45" s="81">
        <f t="shared" si="0"/>
        <v>0</v>
      </c>
      <c r="I45" s="82"/>
      <c r="J45" s="77"/>
      <c r="K45" s="100">
        <v>1</v>
      </c>
      <c r="L45" s="101">
        <v>1</v>
      </c>
      <c r="M45" s="85">
        <f t="shared" si="1"/>
        <v>1</v>
      </c>
      <c r="N45" s="78" t="s">
        <v>1060</v>
      </c>
      <c r="O45" s="77"/>
      <c r="P45" s="79"/>
      <c r="Q45" s="80"/>
      <c r="R45" s="81">
        <f t="shared" si="2"/>
        <v>0</v>
      </c>
      <c r="S45" s="82"/>
      <c r="T45" s="77"/>
      <c r="U45" s="79"/>
      <c r="V45" s="80"/>
      <c r="W45" s="81">
        <f t="shared" si="3"/>
        <v>0</v>
      </c>
      <c r="X45" s="82"/>
      <c r="Y45" s="77"/>
      <c r="Z45" s="79"/>
      <c r="AA45" s="80"/>
      <c r="AB45" s="81">
        <f t="shared" si="4"/>
        <v>0</v>
      </c>
      <c r="AC45" s="82"/>
      <c r="AD45" s="77"/>
      <c r="AE45" s="79"/>
      <c r="AF45" s="80"/>
      <c r="AG45" s="81">
        <f t="shared" si="5"/>
        <v>0</v>
      </c>
      <c r="AH45" s="82"/>
      <c r="AI45" s="77"/>
      <c r="AJ45" s="100">
        <v>1</v>
      </c>
      <c r="AK45" s="101">
        <v>0.7</v>
      </c>
      <c r="AL45" s="85">
        <f t="shared" si="6"/>
        <v>0.7</v>
      </c>
      <c r="AM45" s="78" t="s">
        <v>1409</v>
      </c>
      <c r="AN45" s="74"/>
      <c r="AO45" s="88"/>
      <c r="AP45" s="89"/>
      <c r="AQ45" s="90">
        <f t="shared" si="7"/>
        <v>0</v>
      </c>
      <c r="AR45" s="91"/>
      <c r="AS45" s="74"/>
    </row>
    <row r="46" spans="1:45" ht="126" x14ac:dyDescent="0.25">
      <c r="A46" s="77">
        <v>43</v>
      </c>
      <c r="B46" s="78" t="s">
        <v>10</v>
      </c>
      <c r="C46" s="78" t="s">
        <v>11</v>
      </c>
      <c r="D46" s="78" t="s">
        <v>70</v>
      </c>
      <c r="E46" s="77"/>
      <c r="F46" s="79"/>
      <c r="G46" s="80"/>
      <c r="H46" s="81">
        <f t="shared" si="0"/>
        <v>0</v>
      </c>
      <c r="I46" s="82"/>
      <c r="J46" s="77"/>
      <c r="K46" s="100">
        <v>1</v>
      </c>
      <c r="L46" s="101">
        <v>1</v>
      </c>
      <c r="M46" s="85">
        <f t="shared" si="1"/>
        <v>1</v>
      </c>
      <c r="N46" s="78" t="s">
        <v>1081</v>
      </c>
      <c r="O46" s="77"/>
      <c r="P46" s="79"/>
      <c r="Q46" s="80"/>
      <c r="R46" s="81">
        <f t="shared" si="2"/>
        <v>0</v>
      </c>
      <c r="S46" s="82"/>
      <c r="T46" s="77"/>
      <c r="U46" s="79"/>
      <c r="V46" s="80"/>
      <c r="W46" s="81">
        <f t="shared" si="3"/>
        <v>0</v>
      </c>
      <c r="X46" s="82"/>
      <c r="Y46" s="77"/>
      <c r="Z46" s="79"/>
      <c r="AA46" s="80"/>
      <c r="AB46" s="81">
        <f t="shared" si="4"/>
        <v>0</v>
      </c>
      <c r="AC46" s="82"/>
      <c r="AD46" s="77"/>
      <c r="AE46" s="79"/>
      <c r="AF46" s="80"/>
      <c r="AG46" s="81">
        <f t="shared" si="5"/>
        <v>0</v>
      </c>
      <c r="AH46" s="82"/>
      <c r="AI46" s="77"/>
      <c r="AJ46" s="100">
        <v>1</v>
      </c>
      <c r="AK46" s="101">
        <v>0.77</v>
      </c>
      <c r="AL46" s="85">
        <f t="shared" si="6"/>
        <v>0.77</v>
      </c>
      <c r="AM46" s="78" t="s">
        <v>1551</v>
      </c>
      <c r="AN46" s="74"/>
      <c r="AO46" s="88"/>
      <c r="AP46" s="89"/>
      <c r="AQ46" s="90">
        <f t="shared" si="7"/>
        <v>0</v>
      </c>
      <c r="AR46" s="91"/>
      <c r="AS46" s="74"/>
    </row>
    <row r="47" spans="1:45" ht="63" x14ac:dyDescent="0.25">
      <c r="A47" s="77">
        <v>44</v>
      </c>
      <c r="B47" s="78" t="s">
        <v>10</v>
      </c>
      <c r="C47" s="78" t="s">
        <v>11</v>
      </c>
      <c r="D47" s="78" t="s">
        <v>12</v>
      </c>
      <c r="E47" s="77"/>
      <c r="F47" s="79"/>
      <c r="G47" s="80"/>
      <c r="H47" s="81">
        <f t="shared" si="0"/>
        <v>0</v>
      </c>
      <c r="I47" s="82"/>
      <c r="J47" s="77"/>
      <c r="K47" s="100">
        <v>1</v>
      </c>
      <c r="L47" s="101">
        <v>1</v>
      </c>
      <c r="M47" s="85">
        <f t="shared" si="1"/>
        <v>1</v>
      </c>
      <c r="N47" s="78" t="s">
        <v>1062</v>
      </c>
      <c r="O47" s="77"/>
      <c r="P47" s="79"/>
      <c r="Q47" s="80"/>
      <c r="R47" s="81">
        <f t="shared" si="2"/>
        <v>0</v>
      </c>
      <c r="S47" s="82"/>
      <c r="T47" s="77"/>
      <c r="U47" s="79"/>
      <c r="V47" s="80"/>
      <c r="W47" s="81">
        <f t="shared" si="3"/>
        <v>0</v>
      </c>
      <c r="X47" s="82"/>
      <c r="Y47" s="77"/>
      <c r="Z47" s="79"/>
      <c r="AA47" s="80"/>
      <c r="AB47" s="81">
        <f t="shared" si="4"/>
        <v>0</v>
      </c>
      <c r="AC47" s="82"/>
      <c r="AD47" s="77"/>
      <c r="AE47" s="79"/>
      <c r="AF47" s="80"/>
      <c r="AG47" s="81">
        <f t="shared" si="5"/>
        <v>0</v>
      </c>
      <c r="AH47" s="82"/>
      <c r="AI47" s="77"/>
      <c r="AJ47" s="100">
        <v>1</v>
      </c>
      <c r="AK47" s="101">
        <v>0.5</v>
      </c>
      <c r="AL47" s="85">
        <f t="shared" si="6"/>
        <v>0.5</v>
      </c>
      <c r="AM47" s="78" t="s">
        <v>1414</v>
      </c>
      <c r="AN47" s="74"/>
      <c r="AO47" s="88"/>
      <c r="AP47" s="89"/>
      <c r="AQ47" s="90">
        <f t="shared" si="7"/>
        <v>0</v>
      </c>
      <c r="AR47" s="91"/>
      <c r="AS47" s="74"/>
    </row>
    <row r="48" spans="1:45" ht="78.75" x14ac:dyDescent="0.25">
      <c r="A48" s="77">
        <v>45</v>
      </c>
      <c r="B48" s="78" t="s">
        <v>10</v>
      </c>
      <c r="C48" s="78" t="s">
        <v>71</v>
      </c>
      <c r="D48" s="78" t="s">
        <v>72</v>
      </c>
      <c r="E48" s="77"/>
      <c r="F48" s="79"/>
      <c r="G48" s="80"/>
      <c r="H48" s="81">
        <f t="shared" si="0"/>
        <v>0</v>
      </c>
      <c r="I48" s="82"/>
      <c r="J48" s="77"/>
      <c r="K48" s="100">
        <v>1</v>
      </c>
      <c r="L48" s="101">
        <v>1</v>
      </c>
      <c r="M48" s="85">
        <f t="shared" si="1"/>
        <v>1</v>
      </c>
      <c r="N48" s="78" t="s">
        <v>1082</v>
      </c>
      <c r="O48" s="77"/>
      <c r="P48" s="79"/>
      <c r="Q48" s="80"/>
      <c r="R48" s="81">
        <f t="shared" si="2"/>
        <v>0</v>
      </c>
      <c r="S48" s="82"/>
      <c r="T48" s="77"/>
      <c r="U48" s="79"/>
      <c r="V48" s="80"/>
      <c r="W48" s="81">
        <f t="shared" si="3"/>
        <v>0</v>
      </c>
      <c r="X48" s="82"/>
      <c r="Y48" s="77"/>
      <c r="Z48" s="79"/>
      <c r="AA48" s="80"/>
      <c r="AB48" s="81">
        <f t="shared" si="4"/>
        <v>0</v>
      </c>
      <c r="AC48" s="82"/>
      <c r="AD48" s="77"/>
      <c r="AE48" s="79"/>
      <c r="AF48" s="80"/>
      <c r="AG48" s="81">
        <f t="shared" si="5"/>
        <v>0</v>
      </c>
      <c r="AH48" s="82"/>
      <c r="AI48" s="77"/>
      <c r="AJ48" s="100">
        <v>1</v>
      </c>
      <c r="AK48" s="101">
        <v>0.8</v>
      </c>
      <c r="AL48" s="85">
        <f t="shared" si="6"/>
        <v>0.8</v>
      </c>
      <c r="AM48" s="78" t="s">
        <v>1552</v>
      </c>
      <c r="AN48" s="74"/>
      <c r="AO48" s="88"/>
      <c r="AP48" s="89"/>
      <c r="AQ48" s="90">
        <f t="shared" si="7"/>
        <v>0</v>
      </c>
      <c r="AR48" s="91"/>
      <c r="AS48" s="74"/>
    </row>
    <row r="49" spans="1:45" ht="47.25" x14ac:dyDescent="0.25">
      <c r="A49" s="77">
        <v>46</v>
      </c>
      <c r="B49" s="78" t="s">
        <v>10</v>
      </c>
      <c r="C49" s="78" t="s">
        <v>11</v>
      </c>
      <c r="D49" s="78" t="s">
        <v>13</v>
      </c>
      <c r="E49" s="77"/>
      <c r="F49" s="79"/>
      <c r="G49" s="80"/>
      <c r="H49" s="81">
        <f t="shared" si="0"/>
        <v>0</v>
      </c>
      <c r="I49" s="82"/>
      <c r="J49" s="77"/>
      <c r="K49" s="100">
        <v>1</v>
      </c>
      <c r="L49" s="101">
        <v>1</v>
      </c>
      <c r="M49" s="85">
        <f t="shared" si="1"/>
        <v>1</v>
      </c>
      <c r="N49" s="78" t="s">
        <v>1060</v>
      </c>
      <c r="O49" s="77"/>
      <c r="P49" s="79"/>
      <c r="Q49" s="80"/>
      <c r="R49" s="81">
        <f t="shared" si="2"/>
        <v>0</v>
      </c>
      <c r="S49" s="82"/>
      <c r="T49" s="77"/>
      <c r="U49" s="79"/>
      <c r="V49" s="80"/>
      <c r="W49" s="81">
        <f t="shared" si="3"/>
        <v>0</v>
      </c>
      <c r="X49" s="82"/>
      <c r="Y49" s="77"/>
      <c r="Z49" s="79"/>
      <c r="AA49" s="80"/>
      <c r="AB49" s="81">
        <f t="shared" si="4"/>
        <v>0</v>
      </c>
      <c r="AC49" s="82"/>
      <c r="AD49" s="77"/>
      <c r="AE49" s="79"/>
      <c r="AF49" s="80"/>
      <c r="AG49" s="81">
        <f t="shared" si="5"/>
        <v>0</v>
      </c>
      <c r="AH49" s="82"/>
      <c r="AI49" s="77"/>
      <c r="AJ49" s="100">
        <v>1</v>
      </c>
      <c r="AK49" s="101">
        <v>1</v>
      </c>
      <c r="AL49" s="85">
        <f t="shared" si="6"/>
        <v>1</v>
      </c>
      <c r="AM49" s="78" t="s">
        <v>1072</v>
      </c>
      <c r="AN49" s="74"/>
      <c r="AO49" s="88"/>
      <c r="AP49" s="89"/>
      <c r="AQ49" s="90">
        <f t="shared" si="7"/>
        <v>0</v>
      </c>
      <c r="AR49" s="91"/>
      <c r="AS49" s="74"/>
    </row>
    <row r="50" spans="1:45" ht="94.5" x14ac:dyDescent="0.25">
      <c r="A50" s="77">
        <v>47</v>
      </c>
      <c r="B50" s="78" t="s">
        <v>14</v>
      </c>
      <c r="C50" s="78" t="s">
        <v>14</v>
      </c>
      <c r="D50" s="78" t="s">
        <v>15</v>
      </c>
      <c r="E50" s="77"/>
      <c r="F50" s="79"/>
      <c r="G50" s="80"/>
      <c r="H50" s="81">
        <f t="shared" si="0"/>
        <v>0</v>
      </c>
      <c r="I50" s="82"/>
      <c r="J50" s="77"/>
      <c r="K50" s="100">
        <v>1</v>
      </c>
      <c r="L50" s="101">
        <v>1</v>
      </c>
      <c r="M50" s="85">
        <f t="shared" si="1"/>
        <v>1</v>
      </c>
      <c r="N50" s="78" t="s">
        <v>1087</v>
      </c>
      <c r="O50" s="77"/>
      <c r="P50" s="79"/>
      <c r="Q50" s="80"/>
      <c r="R50" s="81">
        <f t="shared" si="2"/>
        <v>0</v>
      </c>
      <c r="S50" s="82"/>
      <c r="T50" s="77"/>
      <c r="U50" s="79"/>
      <c r="V50" s="80"/>
      <c r="W50" s="81">
        <f t="shared" si="3"/>
        <v>0</v>
      </c>
      <c r="X50" s="82"/>
      <c r="Y50" s="77"/>
      <c r="Z50" s="79"/>
      <c r="AA50" s="80"/>
      <c r="AB50" s="81">
        <f t="shared" si="4"/>
        <v>0</v>
      </c>
      <c r="AC50" s="82"/>
      <c r="AD50" s="77"/>
      <c r="AE50" s="79"/>
      <c r="AF50" s="80"/>
      <c r="AG50" s="81">
        <f t="shared" si="5"/>
        <v>0</v>
      </c>
      <c r="AH50" s="82"/>
      <c r="AI50" s="77"/>
      <c r="AJ50" s="100">
        <v>1</v>
      </c>
      <c r="AK50" s="101">
        <v>0.9</v>
      </c>
      <c r="AL50" s="85">
        <f t="shared" si="6"/>
        <v>0.9</v>
      </c>
      <c r="AM50" s="78" t="s">
        <v>1133</v>
      </c>
      <c r="AN50" s="74"/>
      <c r="AO50" s="88"/>
      <c r="AP50" s="89"/>
      <c r="AQ50" s="90">
        <f t="shared" si="7"/>
        <v>0</v>
      </c>
      <c r="AR50" s="91"/>
      <c r="AS50" s="74"/>
    </row>
    <row r="51" spans="1:45" ht="330.75" x14ac:dyDescent="0.25">
      <c r="A51" s="77">
        <v>48</v>
      </c>
      <c r="B51" s="78" t="s">
        <v>14</v>
      </c>
      <c r="C51" s="78" t="s">
        <v>14</v>
      </c>
      <c r="D51" s="78" t="s">
        <v>73</v>
      </c>
      <c r="E51" s="77"/>
      <c r="F51" s="79"/>
      <c r="G51" s="80"/>
      <c r="H51" s="81">
        <f t="shared" si="0"/>
        <v>0</v>
      </c>
      <c r="I51" s="82"/>
      <c r="J51" s="77"/>
      <c r="K51" s="100">
        <v>1</v>
      </c>
      <c r="L51" s="101">
        <v>0.65</v>
      </c>
      <c r="M51" s="85">
        <f t="shared" si="1"/>
        <v>0.65</v>
      </c>
      <c r="N51" s="78" t="s">
        <v>1098</v>
      </c>
      <c r="O51" s="77"/>
      <c r="P51" s="79"/>
      <c r="Q51" s="80"/>
      <c r="R51" s="81">
        <f t="shared" si="2"/>
        <v>0</v>
      </c>
      <c r="S51" s="82"/>
      <c r="T51" s="77"/>
      <c r="U51" s="79"/>
      <c r="V51" s="80"/>
      <c r="W51" s="81">
        <f t="shared" si="3"/>
        <v>0</v>
      </c>
      <c r="X51" s="82"/>
      <c r="Y51" s="77"/>
      <c r="Z51" s="79"/>
      <c r="AA51" s="80"/>
      <c r="AB51" s="81">
        <f t="shared" si="4"/>
        <v>0</v>
      </c>
      <c r="AC51" s="82"/>
      <c r="AD51" s="77"/>
      <c r="AE51" s="79"/>
      <c r="AF51" s="80"/>
      <c r="AG51" s="81">
        <f t="shared" si="5"/>
        <v>0</v>
      </c>
      <c r="AH51" s="82"/>
      <c r="AI51" s="77"/>
      <c r="AJ51" s="100">
        <v>1</v>
      </c>
      <c r="AK51" s="101">
        <v>0.15</v>
      </c>
      <c r="AL51" s="85">
        <f t="shared" si="6"/>
        <v>0.15</v>
      </c>
      <c r="AM51" s="78" t="s">
        <v>1174</v>
      </c>
      <c r="AN51" s="74"/>
      <c r="AO51" s="88"/>
      <c r="AP51" s="89"/>
      <c r="AQ51" s="90">
        <f t="shared" si="7"/>
        <v>0</v>
      </c>
      <c r="AR51" s="91"/>
      <c r="AS51" s="74"/>
    </row>
    <row r="52" spans="1:45" ht="362.25" x14ac:dyDescent="0.25">
      <c r="A52" s="77">
        <v>49</v>
      </c>
      <c r="B52" s="78" t="s">
        <v>14</v>
      </c>
      <c r="C52" s="78" t="s">
        <v>14</v>
      </c>
      <c r="D52" s="78" t="s">
        <v>74</v>
      </c>
      <c r="E52" s="77"/>
      <c r="F52" s="79"/>
      <c r="G52" s="80"/>
      <c r="H52" s="81">
        <f t="shared" si="0"/>
        <v>0</v>
      </c>
      <c r="I52" s="82"/>
      <c r="J52" s="77"/>
      <c r="K52" s="100">
        <v>1</v>
      </c>
      <c r="L52" s="101">
        <v>0.7</v>
      </c>
      <c r="M52" s="85">
        <f t="shared" si="1"/>
        <v>0.7</v>
      </c>
      <c r="N52" s="78" t="s">
        <v>1167</v>
      </c>
      <c r="O52" s="77"/>
      <c r="P52" s="79"/>
      <c r="Q52" s="80"/>
      <c r="R52" s="81">
        <f t="shared" si="2"/>
        <v>0</v>
      </c>
      <c r="S52" s="82"/>
      <c r="T52" s="77"/>
      <c r="U52" s="79"/>
      <c r="V52" s="80"/>
      <c r="W52" s="81">
        <f t="shared" si="3"/>
        <v>0</v>
      </c>
      <c r="X52" s="82"/>
      <c r="Y52" s="77"/>
      <c r="Z52" s="79"/>
      <c r="AA52" s="80"/>
      <c r="AB52" s="81">
        <f t="shared" si="4"/>
        <v>0</v>
      </c>
      <c r="AC52" s="82"/>
      <c r="AD52" s="77"/>
      <c r="AE52" s="79"/>
      <c r="AF52" s="80"/>
      <c r="AG52" s="81">
        <f t="shared" si="5"/>
        <v>0</v>
      </c>
      <c r="AH52" s="82"/>
      <c r="AI52" s="77"/>
      <c r="AJ52" s="100">
        <v>1</v>
      </c>
      <c r="AK52" s="101">
        <v>0.2</v>
      </c>
      <c r="AL52" s="85">
        <f t="shared" si="6"/>
        <v>0.2</v>
      </c>
      <c r="AM52" s="78" t="s">
        <v>1175</v>
      </c>
      <c r="AN52" s="74"/>
      <c r="AO52" s="88"/>
      <c r="AP52" s="89"/>
      <c r="AQ52" s="90">
        <f t="shared" si="7"/>
        <v>0</v>
      </c>
      <c r="AR52" s="91"/>
      <c r="AS52" s="74"/>
    </row>
    <row r="53" spans="1:45" ht="94.5" x14ac:dyDescent="0.25">
      <c r="A53" s="77">
        <v>50</v>
      </c>
      <c r="B53" s="78" t="s">
        <v>14</v>
      </c>
      <c r="C53" s="78" t="s">
        <v>14</v>
      </c>
      <c r="D53" s="78" t="s">
        <v>75</v>
      </c>
      <c r="E53" s="77"/>
      <c r="F53" s="79"/>
      <c r="G53" s="80"/>
      <c r="H53" s="81">
        <f t="shared" si="0"/>
        <v>0</v>
      </c>
      <c r="I53" s="82"/>
      <c r="J53" s="77"/>
      <c r="K53" s="100">
        <v>1</v>
      </c>
      <c r="L53" s="101">
        <v>1</v>
      </c>
      <c r="M53" s="85">
        <f t="shared" si="1"/>
        <v>1</v>
      </c>
      <c r="N53" s="78" t="s">
        <v>1087</v>
      </c>
      <c r="O53" s="77"/>
      <c r="P53" s="79"/>
      <c r="Q53" s="80"/>
      <c r="R53" s="81">
        <f t="shared" si="2"/>
        <v>0</v>
      </c>
      <c r="S53" s="82"/>
      <c r="T53" s="77"/>
      <c r="U53" s="79"/>
      <c r="V53" s="80"/>
      <c r="W53" s="81">
        <f t="shared" si="3"/>
        <v>0</v>
      </c>
      <c r="X53" s="82"/>
      <c r="Y53" s="77"/>
      <c r="Z53" s="79"/>
      <c r="AA53" s="80"/>
      <c r="AB53" s="81">
        <f t="shared" si="4"/>
        <v>0</v>
      </c>
      <c r="AC53" s="82"/>
      <c r="AD53" s="77"/>
      <c r="AE53" s="79"/>
      <c r="AF53" s="80"/>
      <c r="AG53" s="81">
        <f t="shared" si="5"/>
        <v>0</v>
      </c>
      <c r="AH53" s="82"/>
      <c r="AI53" s="77"/>
      <c r="AJ53" s="100">
        <v>1</v>
      </c>
      <c r="AK53" s="101">
        <v>0.85</v>
      </c>
      <c r="AL53" s="85">
        <f t="shared" si="6"/>
        <v>0.85</v>
      </c>
      <c r="AM53" s="78" t="s">
        <v>1136</v>
      </c>
      <c r="AN53" s="74"/>
      <c r="AO53" s="88"/>
      <c r="AP53" s="89"/>
      <c r="AQ53" s="90">
        <f t="shared" si="7"/>
        <v>0</v>
      </c>
      <c r="AR53" s="91"/>
      <c r="AS53" s="74"/>
    </row>
    <row r="54" spans="1:45" ht="78.75" x14ac:dyDescent="0.25">
      <c r="A54" s="77">
        <v>51</v>
      </c>
      <c r="B54" s="78" t="s">
        <v>14</v>
      </c>
      <c r="C54" s="78" t="s">
        <v>14</v>
      </c>
      <c r="D54" s="78" t="s">
        <v>76</v>
      </c>
      <c r="E54" s="77"/>
      <c r="F54" s="79"/>
      <c r="G54" s="80"/>
      <c r="H54" s="81">
        <f t="shared" si="0"/>
        <v>0</v>
      </c>
      <c r="I54" s="82"/>
      <c r="J54" s="77"/>
      <c r="K54" s="100">
        <v>1</v>
      </c>
      <c r="L54" s="101">
        <v>1</v>
      </c>
      <c r="M54" s="85">
        <f t="shared" si="1"/>
        <v>1</v>
      </c>
      <c r="N54" s="78" t="s">
        <v>1087</v>
      </c>
      <c r="O54" s="77"/>
      <c r="P54" s="79"/>
      <c r="Q54" s="80"/>
      <c r="R54" s="81">
        <f t="shared" si="2"/>
        <v>0</v>
      </c>
      <c r="S54" s="82"/>
      <c r="T54" s="77"/>
      <c r="U54" s="79"/>
      <c r="V54" s="80"/>
      <c r="W54" s="81">
        <f t="shared" si="3"/>
        <v>0</v>
      </c>
      <c r="X54" s="82"/>
      <c r="Y54" s="77"/>
      <c r="Z54" s="79"/>
      <c r="AA54" s="80"/>
      <c r="AB54" s="81">
        <f t="shared" si="4"/>
        <v>0</v>
      </c>
      <c r="AC54" s="82"/>
      <c r="AD54" s="77"/>
      <c r="AE54" s="79"/>
      <c r="AF54" s="80"/>
      <c r="AG54" s="81">
        <f t="shared" si="5"/>
        <v>0</v>
      </c>
      <c r="AH54" s="82"/>
      <c r="AI54" s="77"/>
      <c r="AJ54" s="100">
        <v>1</v>
      </c>
      <c r="AK54" s="101">
        <v>0.8</v>
      </c>
      <c r="AL54" s="85">
        <f t="shared" si="6"/>
        <v>0.8</v>
      </c>
      <c r="AM54" s="78" t="s">
        <v>1176</v>
      </c>
      <c r="AN54" s="74"/>
      <c r="AO54" s="88"/>
      <c r="AP54" s="89"/>
      <c r="AQ54" s="90">
        <f t="shared" si="7"/>
        <v>0</v>
      </c>
      <c r="AR54" s="91"/>
      <c r="AS54" s="74"/>
    </row>
    <row r="55" spans="1:45" ht="267.75" x14ac:dyDescent="0.25">
      <c r="A55" s="77">
        <v>52</v>
      </c>
      <c r="B55" s="78" t="s">
        <v>14</v>
      </c>
      <c r="C55" s="78" t="s">
        <v>14</v>
      </c>
      <c r="D55" s="78" t="s">
        <v>77</v>
      </c>
      <c r="E55" s="77"/>
      <c r="F55" s="79"/>
      <c r="G55" s="80"/>
      <c r="H55" s="81">
        <f t="shared" si="0"/>
        <v>0</v>
      </c>
      <c r="I55" s="82"/>
      <c r="J55" s="77"/>
      <c r="K55" s="100">
        <v>1</v>
      </c>
      <c r="L55" s="101">
        <v>1</v>
      </c>
      <c r="M55" s="85">
        <f t="shared" si="1"/>
        <v>1</v>
      </c>
      <c r="N55" s="78" t="s">
        <v>1087</v>
      </c>
      <c r="O55" s="77"/>
      <c r="P55" s="79"/>
      <c r="Q55" s="80"/>
      <c r="R55" s="81">
        <f t="shared" si="2"/>
        <v>0</v>
      </c>
      <c r="S55" s="82"/>
      <c r="T55" s="77"/>
      <c r="U55" s="79"/>
      <c r="V55" s="80"/>
      <c r="W55" s="81">
        <f t="shared" si="3"/>
        <v>0</v>
      </c>
      <c r="X55" s="82"/>
      <c r="Y55" s="77"/>
      <c r="Z55" s="79"/>
      <c r="AA55" s="80"/>
      <c r="AB55" s="81">
        <f t="shared" si="4"/>
        <v>0</v>
      </c>
      <c r="AC55" s="82"/>
      <c r="AD55" s="77"/>
      <c r="AE55" s="79"/>
      <c r="AF55" s="80"/>
      <c r="AG55" s="81">
        <f t="shared" si="5"/>
        <v>0</v>
      </c>
      <c r="AH55" s="82"/>
      <c r="AI55" s="77"/>
      <c r="AJ55" s="100">
        <v>1</v>
      </c>
      <c r="AK55" s="101">
        <v>0.1</v>
      </c>
      <c r="AL55" s="85">
        <f t="shared" si="6"/>
        <v>0.1</v>
      </c>
      <c r="AM55" s="78" t="s">
        <v>1162</v>
      </c>
      <c r="AN55" s="74"/>
      <c r="AO55" s="88"/>
      <c r="AP55" s="89"/>
      <c r="AQ55" s="90">
        <f t="shared" si="7"/>
        <v>0</v>
      </c>
      <c r="AR55" s="91"/>
      <c r="AS55" s="74"/>
    </row>
    <row r="56" spans="1:45" ht="63" x14ac:dyDescent="0.25">
      <c r="A56" s="77">
        <v>53</v>
      </c>
      <c r="B56" s="78" t="s">
        <v>14</v>
      </c>
      <c r="C56" s="78" t="s">
        <v>14</v>
      </c>
      <c r="D56" s="78" t="s">
        <v>78</v>
      </c>
      <c r="E56" s="77"/>
      <c r="F56" s="79">
        <v>1</v>
      </c>
      <c r="G56" s="80"/>
      <c r="H56" s="81">
        <f t="shared" si="0"/>
        <v>0</v>
      </c>
      <c r="I56" s="82"/>
      <c r="J56" s="77"/>
      <c r="K56" s="100">
        <v>1</v>
      </c>
      <c r="L56" s="101">
        <v>1</v>
      </c>
      <c r="M56" s="85">
        <f t="shared" si="1"/>
        <v>1</v>
      </c>
      <c r="N56" s="78" t="s">
        <v>1087</v>
      </c>
      <c r="O56" s="77"/>
      <c r="P56" s="79"/>
      <c r="Q56" s="80"/>
      <c r="R56" s="81">
        <f t="shared" si="2"/>
        <v>0</v>
      </c>
      <c r="S56" s="77"/>
      <c r="T56" s="77"/>
      <c r="U56" s="79"/>
      <c r="V56" s="80"/>
      <c r="W56" s="81">
        <f t="shared" si="3"/>
        <v>0</v>
      </c>
      <c r="X56" s="77"/>
      <c r="Y56" s="77"/>
      <c r="Z56" s="79"/>
      <c r="AA56" s="80"/>
      <c r="AB56" s="81">
        <f t="shared" si="4"/>
        <v>0</v>
      </c>
      <c r="AC56" s="77"/>
      <c r="AD56" s="77"/>
      <c r="AE56" s="79"/>
      <c r="AF56" s="80"/>
      <c r="AG56" s="81">
        <f t="shared" si="5"/>
        <v>0</v>
      </c>
      <c r="AH56" s="77"/>
      <c r="AI56" s="77"/>
      <c r="AJ56" s="100">
        <v>1</v>
      </c>
      <c r="AK56" s="101">
        <v>1</v>
      </c>
      <c r="AL56" s="85">
        <f t="shared" si="6"/>
        <v>1</v>
      </c>
      <c r="AM56" s="78" t="s">
        <v>1087</v>
      </c>
      <c r="AN56" s="74"/>
      <c r="AO56" s="88"/>
      <c r="AP56" s="89"/>
      <c r="AQ56" s="90">
        <f t="shared" si="7"/>
        <v>0</v>
      </c>
      <c r="AR56" s="108"/>
      <c r="AS56" s="74"/>
    </row>
  </sheetData>
  <mergeCells count="9">
    <mergeCell ref="AE2:AH2"/>
    <mergeCell ref="AJ2:AM2"/>
    <mergeCell ref="AO2:AR2"/>
    <mergeCell ref="B2:D2"/>
    <mergeCell ref="F2:I2"/>
    <mergeCell ref="K2:N2"/>
    <mergeCell ref="P2:S2"/>
    <mergeCell ref="U2:X2"/>
    <mergeCell ref="Z2:AC2"/>
  </mergeCells>
  <dataValidations count="1">
    <dataValidation type="decimal" allowBlank="1" showDropDown="1" showInputMessage="1" showErrorMessage="1" prompt="Enter a number between 0% and 100%" sqref="L4:L15 AK4:AK15" xr:uid="{E5FDA8DC-E8A9-4BA9-A52F-050EBB6E6323}">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BDC4E239-ECC6-4CAC-974E-E42638A0FE64}">
          <x14:formula1>
            <xm:f>'C:\Users\michele.cerqueira\AppData\Local\Microsoft\Windows\INetCache\Content.Outlook\CUTOBPMD\[ESTUDOS DE MERCADO - AVALIAÇÕES FINAIS.xlsx]Parâmetros'!#REF!</xm:f>
          </x14:formula1>
          <xm:sqref>K4:K15 AJ4:AJ15</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S56"/>
  <sheetViews>
    <sheetView zoomScale="70" zoomScaleNormal="70" workbookViewId="0">
      <pane xSplit="4" ySplit="3" topLeftCell="E9" activePane="bottomRight" state="frozen"/>
      <selection pane="topRight" activeCell="E1" sqref="E1"/>
      <selection pane="bottomLeft" activeCell="A4" sqref="A4"/>
      <selection pane="bottomRight" activeCell="A9" sqref="A9"/>
    </sheetView>
  </sheetViews>
  <sheetFormatPr defaultRowHeight="15" x14ac:dyDescent="0.25"/>
  <cols>
    <col min="1" max="1" width="6.5703125" style="76" customWidth="1"/>
    <col min="2" max="2" width="20.85546875" style="76" customWidth="1"/>
    <col min="3" max="3" width="19.28515625" style="76" customWidth="1"/>
    <col min="4" max="4" width="47.85546875" style="76" customWidth="1"/>
    <col min="5" max="5" width="3.28515625" style="76" customWidth="1"/>
    <col min="6" max="6" width="14.42578125" style="76" hidden="1" customWidth="1"/>
    <col min="7" max="8" width="0" style="76" hidden="1" customWidth="1"/>
    <col min="9" max="9" width="45.85546875" style="76" hidden="1" customWidth="1"/>
    <col min="10" max="10" width="0" style="76" hidden="1" customWidth="1"/>
    <col min="11" max="11" width="14.28515625" style="109" customWidth="1"/>
    <col min="12" max="12" width="10.28515625" style="109" bestFit="1" customWidth="1"/>
    <col min="13" max="13" width="9.28515625" style="109" bestFit="1" customWidth="1"/>
    <col min="14" max="14" width="88" style="76" customWidth="1"/>
    <col min="15" max="15" width="4.42578125" style="76" customWidth="1"/>
    <col min="16" max="16" width="20.42578125" style="76" hidden="1" customWidth="1"/>
    <col min="17" max="18" width="0" style="76" hidden="1" customWidth="1"/>
    <col min="19" max="19" width="79.7109375" style="76" hidden="1" customWidth="1"/>
    <col min="20" max="20" width="0" style="76" hidden="1" customWidth="1"/>
    <col min="21" max="21" width="17.42578125" style="76" hidden="1" customWidth="1"/>
    <col min="22" max="22" width="12.42578125" style="76" hidden="1" customWidth="1"/>
    <col min="23" max="23" width="0" style="76" hidden="1" customWidth="1"/>
    <col min="24" max="24" width="62.85546875" style="76" hidden="1" customWidth="1"/>
    <col min="25" max="25" width="0" style="76" hidden="1" customWidth="1"/>
    <col min="26" max="26" width="14.42578125" style="76" hidden="1" customWidth="1"/>
    <col min="27" max="28" width="0" style="76" hidden="1" customWidth="1"/>
    <col min="29" max="29" width="89.5703125" style="76" hidden="1" customWidth="1"/>
    <col min="30" max="30" width="0" style="76" hidden="1" customWidth="1"/>
    <col min="31" max="31" width="14.140625" style="76" hidden="1" customWidth="1"/>
    <col min="32" max="33" width="0" style="76" hidden="1" customWidth="1"/>
    <col min="34" max="34" width="78.7109375" style="76" hidden="1" customWidth="1"/>
    <col min="35" max="35" width="0" style="76" hidden="1" customWidth="1"/>
    <col min="36" max="36" width="14.28515625" style="109" customWidth="1"/>
    <col min="37" max="38" width="9.28515625" style="109" bestFit="1" customWidth="1"/>
    <col min="39" max="39" width="100.5703125" style="76" customWidth="1"/>
    <col min="40" max="40" width="0" style="76" hidden="1" customWidth="1"/>
    <col min="41" max="41" width="15.28515625" style="76" hidden="1" customWidth="1"/>
    <col min="42" max="43" width="0" style="76" hidden="1" customWidth="1"/>
    <col min="44" max="44" width="79.140625" style="76" hidden="1" customWidth="1"/>
    <col min="45" max="45" width="0" style="76" hidden="1" customWidth="1"/>
    <col min="46" max="16384" width="9.140625" style="76"/>
  </cols>
  <sheetData>
    <row r="1" spans="1:45" ht="39.75" customHeight="1" x14ac:dyDescent="0.25">
      <c r="A1" s="73"/>
      <c r="B1" s="74"/>
      <c r="C1" s="74"/>
      <c r="D1" s="74"/>
      <c r="E1" s="74"/>
      <c r="F1" s="74"/>
      <c r="G1" s="74"/>
      <c r="H1" s="74"/>
      <c r="I1" s="74"/>
      <c r="J1" s="74"/>
      <c r="K1" s="75"/>
      <c r="L1" s="75"/>
      <c r="M1" s="75"/>
      <c r="N1" s="74"/>
      <c r="O1" s="74"/>
      <c r="P1" s="74"/>
      <c r="Q1" s="74"/>
      <c r="R1" s="74"/>
      <c r="S1" s="74"/>
      <c r="T1" s="74"/>
      <c r="U1" s="74"/>
      <c r="V1" s="74"/>
      <c r="W1" s="74"/>
      <c r="X1" s="74"/>
      <c r="Y1" s="74"/>
      <c r="Z1" s="74"/>
      <c r="AA1" s="74"/>
      <c r="AB1" s="74"/>
      <c r="AC1" s="74"/>
      <c r="AD1" s="74"/>
      <c r="AE1" s="74"/>
      <c r="AF1" s="74"/>
      <c r="AG1" s="74"/>
      <c r="AH1" s="74"/>
      <c r="AI1" s="74"/>
      <c r="AJ1" s="75"/>
      <c r="AK1" s="75"/>
      <c r="AL1" s="75"/>
      <c r="AM1" s="74"/>
      <c r="AN1" s="74"/>
      <c r="AO1" s="74"/>
      <c r="AP1" s="74"/>
      <c r="AQ1" s="74"/>
      <c r="AR1" s="74"/>
      <c r="AS1" s="74"/>
    </row>
    <row r="2" spans="1:45" ht="38.25" customHeight="1" x14ac:dyDescent="0.25">
      <c r="A2" s="73"/>
      <c r="B2" s="233" t="s">
        <v>16</v>
      </c>
      <c r="C2" s="233"/>
      <c r="D2" s="233"/>
      <c r="E2" s="74"/>
      <c r="F2" s="232" t="s">
        <v>121</v>
      </c>
      <c r="G2" s="232"/>
      <c r="H2" s="232"/>
      <c r="I2" s="232"/>
      <c r="J2" s="74"/>
      <c r="K2" s="234" t="s">
        <v>119</v>
      </c>
      <c r="L2" s="235"/>
      <c r="M2" s="235"/>
      <c r="N2" s="236"/>
      <c r="O2" s="74"/>
      <c r="P2" s="232" t="s">
        <v>120</v>
      </c>
      <c r="Q2" s="232"/>
      <c r="R2" s="232"/>
      <c r="S2" s="232"/>
      <c r="T2" s="74"/>
      <c r="U2" s="232" t="s">
        <v>122</v>
      </c>
      <c r="V2" s="232"/>
      <c r="W2" s="232"/>
      <c r="X2" s="232"/>
      <c r="Y2" s="74"/>
      <c r="Z2" s="232" t="s">
        <v>123</v>
      </c>
      <c r="AA2" s="232"/>
      <c r="AB2" s="232"/>
      <c r="AC2" s="232"/>
      <c r="AD2" s="74"/>
      <c r="AE2" s="232" t="s">
        <v>124</v>
      </c>
      <c r="AF2" s="232"/>
      <c r="AG2" s="232"/>
      <c r="AH2" s="232"/>
      <c r="AI2" s="74"/>
      <c r="AJ2" s="233" t="s">
        <v>125</v>
      </c>
      <c r="AK2" s="233"/>
      <c r="AL2" s="233"/>
      <c r="AM2" s="233"/>
      <c r="AN2" s="74"/>
      <c r="AO2" s="232" t="s">
        <v>126</v>
      </c>
      <c r="AP2" s="232"/>
      <c r="AQ2" s="232"/>
      <c r="AR2" s="232"/>
      <c r="AS2" s="74"/>
    </row>
    <row r="3" spans="1:45" ht="70.5" customHeight="1" x14ac:dyDescent="0.25">
      <c r="A3" s="73"/>
      <c r="B3" s="66" t="s">
        <v>0</v>
      </c>
      <c r="C3" s="66" t="s">
        <v>1</v>
      </c>
      <c r="D3" s="66" t="s">
        <v>2</v>
      </c>
      <c r="E3" s="74"/>
      <c r="F3" s="67" t="s">
        <v>17</v>
      </c>
      <c r="G3" s="67" t="s">
        <v>18</v>
      </c>
      <c r="H3" s="67" t="s">
        <v>21</v>
      </c>
      <c r="I3" s="67" t="s">
        <v>19</v>
      </c>
      <c r="J3" s="74"/>
      <c r="K3" s="70" t="s">
        <v>17</v>
      </c>
      <c r="L3" s="70" t="s">
        <v>18</v>
      </c>
      <c r="M3" s="70" t="s">
        <v>21</v>
      </c>
      <c r="N3" s="67" t="s">
        <v>19</v>
      </c>
      <c r="O3" s="74"/>
      <c r="P3" s="67" t="s">
        <v>17</v>
      </c>
      <c r="Q3" s="67" t="s">
        <v>18</v>
      </c>
      <c r="R3" s="67" t="s">
        <v>21</v>
      </c>
      <c r="S3" s="67" t="s">
        <v>19</v>
      </c>
      <c r="T3" s="74"/>
      <c r="U3" s="67" t="s">
        <v>17</v>
      </c>
      <c r="V3" s="67" t="s">
        <v>18</v>
      </c>
      <c r="W3" s="67" t="s">
        <v>21</v>
      </c>
      <c r="X3" s="67" t="s">
        <v>19</v>
      </c>
      <c r="Y3" s="74"/>
      <c r="Z3" s="67" t="s">
        <v>17</v>
      </c>
      <c r="AA3" s="67" t="s">
        <v>18</v>
      </c>
      <c r="AB3" s="67" t="s">
        <v>21</v>
      </c>
      <c r="AC3" s="67" t="s">
        <v>19</v>
      </c>
      <c r="AD3" s="74"/>
      <c r="AE3" s="67" t="s">
        <v>17</v>
      </c>
      <c r="AF3" s="67" t="s">
        <v>18</v>
      </c>
      <c r="AG3" s="67" t="s">
        <v>21</v>
      </c>
      <c r="AH3" s="67" t="s">
        <v>19</v>
      </c>
      <c r="AI3" s="74"/>
      <c r="AJ3" s="70" t="s">
        <v>17</v>
      </c>
      <c r="AK3" s="70" t="s">
        <v>18</v>
      </c>
      <c r="AL3" s="70" t="s">
        <v>21</v>
      </c>
      <c r="AM3" s="67" t="s">
        <v>19</v>
      </c>
      <c r="AN3" s="74"/>
      <c r="AO3" s="2" t="s">
        <v>17</v>
      </c>
      <c r="AP3" s="2" t="s">
        <v>18</v>
      </c>
      <c r="AQ3" s="2" t="s">
        <v>21</v>
      </c>
      <c r="AR3" s="2" t="s">
        <v>19</v>
      </c>
      <c r="AS3" s="74"/>
    </row>
    <row r="4" spans="1:45" ht="173.25" x14ac:dyDescent="0.25">
      <c r="A4" s="77">
        <v>1</v>
      </c>
      <c r="B4" s="78" t="s">
        <v>3</v>
      </c>
      <c r="C4" s="78" t="s">
        <v>4</v>
      </c>
      <c r="D4" s="78" t="s">
        <v>32</v>
      </c>
      <c r="E4" s="77"/>
      <c r="F4" s="79">
        <v>1</v>
      </c>
      <c r="G4" s="80"/>
      <c r="H4" s="81">
        <f>F4*G4</f>
        <v>0</v>
      </c>
      <c r="I4" s="82"/>
      <c r="J4" s="77"/>
      <c r="K4" s="83">
        <v>1</v>
      </c>
      <c r="L4" s="84">
        <v>1</v>
      </c>
      <c r="M4" s="85">
        <f>K4*L4</f>
        <v>1</v>
      </c>
      <c r="N4" s="86"/>
      <c r="O4" s="77"/>
      <c r="P4" s="79"/>
      <c r="Q4" s="80"/>
      <c r="R4" s="81">
        <f>P4*Q4</f>
        <v>0</v>
      </c>
      <c r="S4" s="82"/>
      <c r="T4" s="77"/>
      <c r="U4" s="79"/>
      <c r="V4" s="80"/>
      <c r="W4" s="81">
        <f>U4*V4</f>
        <v>0</v>
      </c>
      <c r="X4" s="82"/>
      <c r="Y4" s="77"/>
      <c r="Z4" s="79"/>
      <c r="AA4" s="80"/>
      <c r="AB4" s="81">
        <f>Z4*AA4</f>
        <v>0</v>
      </c>
      <c r="AC4" s="82"/>
      <c r="AD4" s="77"/>
      <c r="AE4" s="79"/>
      <c r="AF4" s="80"/>
      <c r="AG4" s="81">
        <f>AE4*AF4</f>
        <v>0</v>
      </c>
      <c r="AH4" s="82"/>
      <c r="AI4" s="77"/>
      <c r="AJ4" s="83">
        <v>1</v>
      </c>
      <c r="AK4" s="84">
        <v>0.4</v>
      </c>
      <c r="AL4" s="85">
        <f>AJ4*AK4</f>
        <v>0.4</v>
      </c>
      <c r="AM4" s="87" t="s">
        <v>1443</v>
      </c>
      <c r="AN4" s="74"/>
      <c r="AO4" s="88"/>
      <c r="AP4" s="89"/>
      <c r="AQ4" s="90">
        <f>AO4*AP4</f>
        <v>0</v>
      </c>
      <c r="AR4" s="91"/>
      <c r="AS4" s="74"/>
    </row>
    <row r="5" spans="1:45" ht="78.75" x14ac:dyDescent="0.25">
      <c r="A5" s="77">
        <v>2</v>
      </c>
      <c r="B5" s="78" t="s">
        <v>3</v>
      </c>
      <c r="C5" s="78" t="s">
        <v>4</v>
      </c>
      <c r="D5" s="78" t="s">
        <v>33</v>
      </c>
      <c r="E5" s="77"/>
      <c r="F5" s="79">
        <v>1</v>
      </c>
      <c r="G5" s="80"/>
      <c r="H5" s="81">
        <f t="shared" ref="H5:H56" si="0">F5*G5</f>
        <v>0</v>
      </c>
      <c r="I5" s="82"/>
      <c r="J5" s="77"/>
      <c r="K5" s="92">
        <v>1</v>
      </c>
      <c r="L5" s="93">
        <v>0.95</v>
      </c>
      <c r="M5" s="85">
        <f t="shared" ref="M5:M56" si="1">K5*L5</f>
        <v>0.95</v>
      </c>
      <c r="N5" s="94" t="s">
        <v>1179</v>
      </c>
      <c r="O5" s="77"/>
      <c r="P5" s="79"/>
      <c r="Q5" s="80"/>
      <c r="R5" s="81">
        <f t="shared" ref="R5:R56" si="2">P5*Q5</f>
        <v>0</v>
      </c>
      <c r="S5" s="82"/>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92">
        <v>1</v>
      </c>
      <c r="AK5" s="93">
        <v>0.6</v>
      </c>
      <c r="AL5" s="85">
        <f t="shared" ref="AL5:AL56" si="6">AJ5*AK5</f>
        <v>0.6</v>
      </c>
      <c r="AM5" s="95" t="s">
        <v>1420</v>
      </c>
      <c r="AN5" s="74"/>
      <c r="AO5" s="88"/>
      <c r="AP5" s="89"/>
      <c r="AQ5" s="90">
        <f t="shared" ref="AQ5:AQ56" si="7">AO5*AP5</f>
        <v>0</v>
      </c>
      <c r="AR5" s="91"/>
      <c r="AS5" s="74"/>
    </row>
    <row r="6" spans="1:45" ht="102.75" customHeight="1" x14ac:dyDescent="0.25">
      <c r="A6" s="77">
        <v>3</v>
      </c>
      <c r="B6" s="78" t="s">
        <v>3</v>
      </c>
      <c r="C6" s="78" t="s">
        <v>4</v>
      </c>
      <c r="D6" s="78" t="s">
        <v>128</v>
      </c>
      <c r="E6" s="77"/>
      <c r="F6" s="79"/>
      <c r="G6" s="80"/>
      <c r="H6" s="81">
        <f t="shared" si="0"/>
        <v>0</v>
      </c>
      <c r="I6" s="82"/>
      <c r="J6" s="77"/>
      <c r="K6" s="83">
        <v>1</v>
      </c>
      <c r="L6" s="84">
        <v>1</v>
      </c>
      <c r="M6" s="85">
        <f t="shared" si="1"/>
        <v>1</v>
      </c>
      <c r="N6" s="86"/>
      <c r="O6" s="77"/>
      <c r="P6" s="79"/>
      <c r="Q6" s="80"/>
      <c r="R6" s="81">
        <f t="shared" si="2"/>
        <v>0</v>
      </c>
      <c r="S6" s="82"/>
      <c r="T6" s="77"/>
      <c r="U6" s="79"/>
      <c r="V6" s="80"/>
      <c r="W6" s="81">
        <f t="shared" si="3"/>
        <v>0</v>
      </c>
      <c r="X6" s="82"/>
      <c r="Y6" s="77"/>
      <c r="Z6" s="79"/>
      <c r="AA6" s="80"/>
      <c r="AB6" s="81">
        <f t="shared" si="4"/>
        <v>0</v>
      </c>
      <c r="AC6" s="82"/>
      <c r="AD6" s="77"/>
      <c r="AE6" s="79"/>
      <c r="AF6" s="80"/>
      <c r="AG6" s="81">
        <f t="shared" si="5"/>
        <v>0</v>
      </c>
      <c r="AH6" s="82"/>
      <c r="AI6" s="77"/>
      <c r="AJ6" s="83">
        <v>1</v>
      </c>
      <c r="AK6" s="84">
        <v>0.85</v>
      </c>
      <c r="AL6" s="85">
        <f t="shared" si="6"/>
        <v>0.85</v>
      </c>
      <c r="AM6" s="87" t="s">
        <v>1240</v>
      </c>
      <c r="AN6" s="74"/>
      <c r="AO6" s="88"/>
      <c r="AP6" s="89"/>
      <c r="AQ6" s="90">
        <f t="shared" si="7"/>
        <v>0</v>
      </c>
      <c r="AR6" s="91"/>
      <c r="AS6" s="74"/>
    </row>
    <row r="7" spans="1:45" ht="106.5" customHeight="1" x14ac:dyDescent="0.25">
      <c r="A7" s="77">
        <v>4</v>
      </c>
      <c r="B7" s="78" t="s">
        <v>3</v>
      </c>
      <c r="C7" s="78" t="s">
        <v>4</v>
      </c>
      <c r="D7" s="78" t="s">
        <v>34</v>
      </c>
      <c r="E7" s="77"/>
      <c r="F7" s="79"/>
      <c r="G7" s="80"/>
      <c r="H7" s="81">
        <f t="shared" si="0"/>
        <v>0</v>
      </c>
      <c r="I7" s="82"/>
      <c r="J7" s="77"/>
      <c r="K7" s="92">
        <v>1</v>
      </c>
      <c r="L7" s="93">
        <v>0.94499999999999995</v>
      </c>
      <c r="M7" s="85">
        <f t="shared" si="1"/>
        <v>0.94499999999999995</v>
      </c>
      <c r="N7" s="94" t="s">
        <v>1421</v>
      </c>
      <c r="O7" s="77"/>
      <c r="P7" s="79"/>
      <c r="Q7" s="80"/>
      <c r="R7" s="81">
        <f t="shared" si="2"/>
        <v>0</v>
      </c>
      <c r="S7" s="82"/>
      <c r="T7" s="77"/>
      <c r="U7" s="79"/>
      <c r="V7" s="80"/>
      <c r="W7" s="81">
        <f t="shared" si="3"/>
        <v>0</v>
      </c>
      <c r="X7" s="82"/>
      <c r="Y7" s="77"/>
      <c r="Z7" s="79"/>
      <c r="AA7" s="80"/>
      <c r="AB7" s="81">
        <f t="shared" si="4"/>
        <v>0</v>
      </c>
      <c r="AC7" s="82"/>
      <c r="AD7" s="77"/>
      <c r="AE7" s="79"/>
      <c r="AF7" s="80"/>
      <c r="AG7" s="81">
        <f t="shared" si="5"/>
        <v>0</v>
      </c>
      <c r="AH7" s="82"/>
      <c r="AI7" s="77"/>
      <c r="AJ7" s="92">
        <v>1</v>
      </c>
      <c r="AK7" s="93">
        <v>0.85</v>
      </c>
      <c r="AL7" s="85">
        <f t="shared" si="6"/>
        <v>0.85</v>
      </c>
      <c r="AM7" s="95" t="s">
        <v>1423</v>
      </c>
      <c r="AN7" s="74"/>
      <c r="AO7" s="88"/>
      <c r="AP7" s="89"/>
      <c r="AQ7" s="90">
        <f t="shared" si="7"/>
        <v>0</v>
      </c>
      <c r="AR7" s="91"/>
      <c r="AS7" s="74"/>
    </row>
    <row r="8" spans="1:45" ht="161.25" customHeight="1" x14ac:dyDescent="0.25">
      <c r="A8" s="77">
        <v>5</v>
      </c>
      <c r="B8" s="78" t="s">
        <v>3</v>
      </c>
      <c r="C8" s="78" t="s">
        <v>4</v>
      </c>
      <c r="D8" s="78" t="s">
        <v>35</v>
      </c>
      <c r="E8" s="77"/>
      <c r="F8" s="79"/>
      <c r="G8" s="80"/>
      <c r="H8" s="81">
        <f t="shared" si="0"/>
        <v>0</v>
      </c>
      <c r="I8" s="82"/>
      <c r="J8" s="77"/>
      <c r="K8" s="83">
        <v>1</v>
      </c>
      <c r="L8" s="84">
        <v>0.8</v>
      </c>
      <c r="M8" s="85">
        <f t="shared" si="1"/>
        <v>0.8</v>
      </c>
      <c r="N8" s="86" t="s">
        <v>1233</v>
      </c>
      <c r="O8" s="77"/>
      <c r="P8" s="79"/>
      <c r="Q8" s="80"/>
      <c r="R8" s="81">
        <f t="shared" si="2"/>
        <v>0</v>
      </c>
      <c r="S8" s="78"/>
      <c r="T8" s="77"/>
      <c r="U8" s="79"/>
      <c r="V8" s="80"/>
      <c r="W8" s="81">
        <f t="shared" si="3"/>
        <v>0</v>
      </c>
      <c r="X8" s="78"/>
      <c r="Y8" s="77"/>
      <c r="Z8" s="79"/>
      <c r="AA8" s="80"/>
      <c r="AB8" s="81">
        <f t="shared" si="4"/>
        <v>0</v>
      </c>
      <c r="AC8" s="78"/>
      <c r="AD8" s="77"/>
      <c r="AE8" s="79"/>
      <c r="AF8" s="80"/>
      <c r="AG8" s="81">
        <f t="shared" si="5"/>
        <v>0</v>
      </c>
      <c r="AH8" s="78"/>
      <c r="AI8" s="77"/>
      <c r="AJ8" s="83">
        <v>1</v>
      </c>
      <c r="AK8" s="84">
        <v>0.95</v>
      </c>
      <c r="AL8" s="85">
        <f t="shared" si="6"/>
        <v>0.95</v>
      </c>
      <c r="AM8" s="87" t="s">
        <v>1241</v>
      </c>
      <c r="AN8" s="74"/>
      <c r="AO8" s="88"/>
      <c r="AP8" s="89"/>
      <c r="AQ8" s="90">
        <f t="shared" si="7"/>
        <v>0</v>
      </c>
      <c r="AR8" s="96"/>
      <c r="AS8" s="74"/>
    </row>
    <row r="9" spans="1:45" ht="94.5" x14ac:dyDescent="0.25">
      <c r="A9" s="77">
        <v>6</v>
      </c>
      <c r="B9" s="78" t="s">
        <v>3</v>
      </c>
      <c r="C9" s="78" t="s">
        <v>4</v>
      </c>
      <c r="D9" s="78" t="s">
        <v>129</v>
      </c>
      <c r="E9" s="77"/>
      <c r="F9" s="79"/>
      <c r="G9" s="80"/>
      <c r="H9" s="81">
        <f t="shared" si="0"/>
        <v>0</v>
      </c>
      <c r="I9" s="78"/>
      <c r="J9" s="77"/>
      <c r="K9" s="92">
        <v>1</v>
      </c>
      <c r="L9" s="93">
        <v>0.79</v>
      </c>
      <c r="M9" s="85">
        <f t="shared" si="1"/>
        <v>0.79</v>
      </c>
      <c r="N9" s="94" t="s">
        <v>1631</v>
      </c>
      <c r="O9" s="77"/>
      <c r="P9" s="79"/>
      <c r="Q9" s="80"/>
      <c r="R9" s="81">
        <f t="shared" si="2"/>
        <v>0</v>
      </c>
      <c r="S9" s="78"/>
      <c r="T9" s="77"/>
      <c r="U9" s="79"/>
      <c r="V9" s="80"/>
      <c r="W9" s="81">
        <f t="shared" si="3"/>
        <v>0</v>
      </c>
      <c r="X9" s="78"/>
      <c r="Y9" s="77"/>
      <c r="Z9" s="79"/>
      <c r="AA9" s="80"/>
      <c r="AB9" s="81">
        <f t="shared" si="4"/>
        <v>0</v>
      </c>
      <c r="AC9" s="78"/>
      <c r="AD9" s="77"/>
      <c r="AE9" s="79"/>
      <c r="AF9" s="80"/>
      <c r="AG9" s="81">
        <f t="shared" si="5"/>
        <v>0</v>
      </c>
      <c r="AH9" s="78"/>
      <c r="AI9" s="77"/>
      <c r="AJ9" s="92">
        <v>1</v>
      </c>
      <c r="AK9" s="93">
        <v>0.5</v>
      </c>
      <c r="AL9" s="85">
        <f t="shared" si="6"/>
        <v>0.5</v>
      </c>
      <c r="AM9" s="97" t="s">
        <v>1242</v>
      </c>
      <c r="AN9" s="74"/>
      <c r="AO9" s="88"/>
      <c r="AP9" s="89"/>
      <c r="AQ9" s="90">
        <f t="shared" si="7"/>
        <v>0</v>
      </c>
      <c r="AR9" s="96"/>
      <c r="AS9" s="74"/>
    </row>
    <row r="10" spans="1:45" ht="191.25" customHeight="1" x14ac:dyDescent="0.25">
      <c r="A10" s="77">
        <v>7</v>
      </c>
      <c r="B10" s="78" t="s">
        <v>3</v>
      </c>
      <c r="C10" s="78" t="s">
        <v>4</v>
      </c>
      <c r="D10" s="78" t="s">
        <v>36</v>
      </c>
      <c r="E10" s="77"/>
      <c r="F10" s="79"/>
      <c r="G10" s="80"/>
      <c r="H10" s="81">
        <f t="shared" si="0"/>
        <v>0</v>
      </c>
      <c r="I10" s="82"/>
      <c r="J10" s="77"/>
      <c r="K10" s="83">
        <v>1</v>
      </c>
      <c r="L10" s="84">
        <v>0.75</v>
      </c>
      <c r="M10" s="85">
        <f t="shared" si="1"/>
        <v>0.75</v>
      </c>
      <c r="N10" s="86" t="s">
        <v>1181</v>
      </c>
      <c r="O10" s="77"/>
      <c r="P10" s="79"/>
      <c r="Q10" s="80"/>
      <c r="R10" s="81">
        <f t="shared" si="2"/>
        <v>0</v>
      </c>
      <c r="S10" s="82"/>
      <c r="T10" s="77"/>
      <c r="U10" s="79"/>
      <c r="V10" s="80"/>
      <c r="W10" s="81">
        <f t="shared" si="3"/>
        <v>0</v>
      </c>
      <c r="X10" s="82"/>
      <c r="Y10" s="77"/>
      <c r="Z10" s="79"/>
      <c r="AA10" s="80"/>
      <c r="AB10" s="81">
        <f t="shared" si="4"/>
        <v>0</v>
      </c>
      <c r="AC10" s="82"/>
      <c r="AD10" s="77"/>
      <c r="AE10" s="79"/>
      <c r="AF10" s="80"/>
      <c r="AG10" s="81">
        <f t="shared" si="5"/>
        <v>0</v>
      </c>
      <c r="AH10" s="82"/>
      <c r="AI10" s="77"/>
      <c r="AJ10" s="83">
        <v>1</v>
      </c>
      <c r="AK10" s="84">
        <v>0.4</v>
      </c>
      <c r="AL10" s="85">
        <f t="shared" si="6"/>
        <v>0.4</v>
      </c>
      <c r="AM10" s="98" t="s">
        <v>1243</v>
      </c>
      <c r="AN10" s="74"/>
      <c r="AO10" s="88"/>
      <c r="AP10" s="89"/>
      <c r="AQ10" s="90">
        <f t="shared" si="7"/>
        <v>0</v>
      </c>
      <c r="AR10" s="91"/>
      <c r="AS10" s="74"/>
    </row>
    <row r="11" spans="1:45" ht="63" x14ac:dyDescent="0.25">
      <c r="A11" s="77">
        <v>8</v>
      </c>
      <c r="B11" s="78" t="s">
        <v>3</v>
      </c>
      <c r="C11" s="78" t="s">
        <v>4</v>
      </c>
      <c r="D11" s="78" t="s">
        <v>64</v>
      </c>
      <c r="E11" s="77"/>
      <c r="F11" s="79"/>
      <c r="G11" s="80"/>
      <c r="H11" s="81">
        <f t="shared" si="0"/>
        <v>0</v>
      </c>
      <c r="I11" s="78"/>
      <c r="J11" s="77"/>
      <c r="K11" s="92">
        <v>1</v>
      </c>
      <c r="L11" s="93">
        <v>1</v>
      </c>
      <c r="M11" s="85">
        <f t="shared" si="1"/>
        <v>1</v>
      </c>
      <c r="N11" s="94"/>
      <c r="O11" s="77"/>
      <c r="P11" s="79"/>
      <c r="Q11" s="80"/>
      <c r="R11" s="81">
        <f t="shared" si="2"/>
        <v>0</v>
      </c>
      <c r="S11" s="82"/>
      <c r="T11" s="77"/>
      <c r="U11" s="79"/>
      <c r="V11" s="80"/>
      <c r="W11" s="81">
        <f t="shared" si="3"/>
        <v>0</v>
      </c>
      <c r="X11" s="82"/>
      <c r="Y11" s="77"/>
      <c r="Z11" s="79"/>
      <c r="AA11" s="80"/>
      <c r="AB11" s="81">
        <f t="shared" si="4"/>
        <v>0</v>
      </c>
      <c r="AC11" s="82"/>
      <c r="AD11" s="77"/>
      <c r="AE11" s="79"/>
      <c r="AF11" s="80"/>
      <c r="AG11" s="81">
        <f t="shared" si="5"/>
        <v>0</v>
      </c>
      <c r="AH11" s="82"/>
      <c r="AI11" s="77"/>
      <c r="AJ11" s="92">
        <v>1</v>
      </c>
      <c r="AK11" s="93">
        <v>0.5</v>
      </c>
      <c r="AL11" s="85">
        <f t="shared" si="6"/>
        <v>0.5</v>
      </c>
      <c r="AM11" s="97" t="s">
        <v>1244</v>
      </c>
      <c r="AN11" s="74"/>
      <c r="AO11" s="88"/>
      <c r="AP11" s="89"/>
      <c r="AQ11" s="90">
        <f t="shared" si="7"/>
        <v>0</v>
      </c>
      <c r="AR11" s="91"/>
      <c r="AS11" s="74"/>
    </row>
    <row r="12" spans="1:45" ht="63" x14ac:dyDescent="0.25">
      <c r="A12" s="77">
        <v>9</v>
      </c>
      <c r="B12" s="78" t="s">
        <v>3</v>
      </c>
      <c r="C12" s="78" t="s">
        <v>5</v>
      </c>
      <c r="D12" s="78" t="s">
        <v>37</v>
      </c>
      <c r="E12" s="77"/>
      <c r="F12" s="79"/>
      <c r="G12" s="80"/>
      <c r="H12" s="81">
        <f t="shared" si="0"/>
        <v>0</v>
      </c>
      <c r="I12" s="82"/>
      <c r="J12" s="77"/>
      <c r="K12" s="83">
        <v>1</v>
      </c>
      <c r="L12" s="99">
        <v>0.6</v>
      </c>
      <c r="M12" s="85">
        <f t="shared" si="1"/>
        <v>0.6</v>
      </c>
      <c r="N12" s="86" t="s">
        <v>1198</v>
      </c>
      <c r="O12" s="77"/>
      <c r="P12" s="79"/>
      <c r="Q12" s="80"/>
      <c r="R12" s="81">
        <f t="shared" si="2"/>
        <v>0</v>
      </c>
      <c r="S12" s="82"/>
      <c r="T12" s="77"/>
      <c r="U12" s="79"/>
      <c r="V12" s="80"/>
      <c r="W12" s="81">
        <f t="shared" si="3"/>
        <v>0</v>
      </c>
      <c r="X12" s="82"/>
      <c r="Y12" s="77"/>
      <c r="Z12" s="79"/>
      <c r="AA12" s="80"/>
      <c r="AB12" s="81">
        <f t="shared" si="4"/>
        <v>0</v>
      </c>
      <c r="AC12" s="82"/>
      <c r="AD12" s="77"/>
      <c r="AE12" s="79"/>
      <c r="AF12" s="80"/>
      <c r="AG12" s="81">
        <f t="shared" si="5"/>
        <v>0</v>
      </c>
      <c r="AH12" s="82"/>
      <c r="AI12" s="77"/>
      <c r="AJ12" s="83">
        <v>1</v>
      </c>
      <c r="AK12" s="84">
        <v>0.15</v>
      </c>
      <c r="AL12" s="85">
        <f t="shared" si="6"/>
        <v>0.15</v>
      </c>
      <c r="AM12" s="98" t="s">
        <v>1245</v>
      </c>
      <c r="AN12" s="74"/>
      <c r="AO12" s="88"/>
      <c r="AP12" s="89"/>
      <c r="AQ12" s="90">
        <f t="shared" si="7"/>
        <v>0</v>
      </c>
      <c r="AR12" s="91"/>
      <c r="AS12" s="74"/>
    </row>
    <row r="13" spans="1:45" ht="63" x14ac:dyDescent="0.25">
      <c r="A13" s="77">
        <v>10</v>
      </c>
      <c r="B13" s="78" t="s">
        <v>3</v>
      </c>
      <c r="C13" s="78" t="s">
        <v>5</v>
      </c>
      <c r="D13" s="78" t="s">
        <v>38</v>
      </c>
      <c r="E13" s="77"/>
      <c r="F13" s="79"/>
      <c r="G13" s="80"/>
      <c r="H13" s="81">
        <f t="shared" si="0"/>
        <v>0</v>
      </c>
      <c r="I13" s="82"/>
      <c r="J13" s="77"/>
      <c r="K13" s="92">
        <v>1</v>
      </c>
      <c r="L13" s="93">
        <v>0.6</v>
      </c>
      <c r="M13" s="85">
        <f t="shared" si="1"/>
        <v>0.6</v>
      </c>
      <c r="N13" s="94" t="s">
        <v>1198</v>
      </c>
      <c r="O13" s="77"/>
      <c r="P13" s="79"/>
      <c r="Q13" s="80"/>
      <c r="R13" s="81">
        <f t="shared" si="2"/>
        <v>0</v>
      </c>
      <c r="S13" s="82"/>
      <c r="T13" s="77"/>
      <c r="U13" s="79"/>
      <c r="V13" s="80"/>
      <c r="W13" s="81">
        <f t="shared" si="3"/>
        <v>0</v>
      </c>
      <c r="X13" s="82"/>
      <c r="Y13" s="77"/>
      <c r="Z13" s="79"/>
      <c r="AA13" s="80"/>
      <c r="AB13" s="81">
        <f t="shared" si="4"/>
        <v>0</v>
      </c>
      <c r="AC13" s="82"/>
      <c r="AD13" s="77"/>
      <c r="AE13" s="79"/>
      <c r="AF13" s="80"/>
      <c r="AG13" s="81">
        <f t="shared" si="5"/>
        <v>0</v>
      </c>
      <c r="AH13" s="82"/>
      <c r="AI13" s="77"/>
      <c r="AJ13" s="92">
        <v>1</v>
      </c>
      <c r="AK13" s="93">
        <v>0.15</v>
      </c>
      <c r="AL13" s="85">
        <f t="shared" si="6"/>
        <v>0.15</v>
      </c>
      <c r="AM13" s="97" t="s">
        <v>1246</v>
      </c>
      <c r="AN13" s="74"/>
      <c r="AO13" s="88"/>
      <c r="AP13" s="89"/>
      <c r="AQ13" s="90">
        <f t="shared" si="7"/>
        <v>0</v>
      </c>
      <c r="AR13" s="91"/>
      <c r="AS13" s="74"/>
    </row>
    <row r="14" spans="1:45" ht="78.75" x14ac:dyDescent="0.25">
      <c r="A14" s="77">
        <v>11</v>
      </c>
      <c r="B14" s="78" t="s">
        <v>3</v>
      </c>
      <c r="C14" s="78" t="s">
        <v>31</v>
      </c>
      <c r="D14" s="78" t="s">
        <v>39</v>
      </c>
      <c r="E14" s="77"/>
      <c r="F14" s="79"/>
      <c r="G14" s="80"/>
      <c r="H14" s="81">
        <f t="shared" si="0"/>
        <v>0</v>
      </c>
      <c r="I14" s="82"/>
      <c r="J14" s="77"/>
      <c r="K14" s="83">
        <v>1</v>
      </c>
      <c r="L14" s="84">
        <v>0.85</v>
      </c>
      <c r="M14" s="85">
        <f t="shared" si="1"/>
        <v>0.85</v>
      </c>
      <c r="N14" s="86" t="s">
        <v>1199</v>
      </c>
      <c r="O14" s="77"/>
      <c r="P14" s="79"/>
      <c r="Q14" s="80"/>
      <c r="R14" s="81">
        <f t="shared" si="2"/>
        <v>0</v>
      </c>
      <c r="S14" s="82"/>
      <c r="T14" s="77"/>
      <c r="U14" s="79"/>
      <c r="V14" s="80"/>
      <c r="W14" s="81">
        <f t="shared" si="3"/>
        <v>0</v>
      </c>
      <c r="X14" s="82"/>
      <c r="Y14" s="77"/>
      <c r="Z14" s="79"/>
      <c r="AA14" s="80"/>
      <c r="AB14" s="81">
        <f t="shared" si="4"/>
        <v>0</v>
      </c>
      <c r="AC14" s="82"/>
      <c r="AD14" s="77"/>
      <c r="AE14" s="79"/>
      <c r="AF14" s="80"/>
      <c r="AG14" s="81">
        <f t="shared" si="5"/>
        <v>0</v>
      </c>
      <c r="AH14" s="82"/>
      <c r="AI14" s="77"/>
      <c r="AJ14" s="83">
        <v>1</v>
      </c>
      <c r="AK14" s="84">
        <v>0.3</v>
      </c>
      <c r="AL14" s="85">
        <f t="shared" si="6"/>
        <v>0.3</v>
      </c>
      <c r="AM14" s="98" t="s">
        <v>1265</v>
      </c>
      <c r="AN14" s="74"/>
      <c r="AO14" s="88"/>
      <c r="AP14" s="89"/>
      <c r="AQ14" s="90">
        <f t="shared" si="7"/>
        <v>0</v>
      </c>
      <c r="AR14" s="91"/>
      <c r="AS14" s="74"/>
    </row>
    <row r="15" spans="1:45" ht="126" x14ac:dyDescent="0.25">
      <c r="A15" s="77">
        <v>12</v>
      </c>
      <c r="B15" s="78" t="s">
        <v>3</v>
      </c>
      <c r="C15" s="78" t="s">
        <v>31</v>
      </c>
      <c r="D15" s="78" t="s">
        <v>40</v>
      </c>
      <c r="E15" s="77"/>
      <c r="F15" s="79"/>
      <c r="G15" s="80"/>
      <c r="H15" s="81">
        <f t="shared" si="0"/>
        <v>0</v>
      </c>
      <c r="I15" s="82"/>
      <c r="J15" s="77"/>
      <c r="K15" s="92">
        <v>1</v>
      </c>
      <c r="L15" s="93">
        <v>1</v>
      </c>
      <c r="M15" s="85">
        <f t="shared" si="1"/>
        <v>1</v>
      </c>
      <c r="N15" s="94"/>
      <c r="O15" s="77"/>
      <c r="P15" s="79"/>
      <c r="Q15" s="80"/>
      <c r="R15" s="81">
        <f t="shared" si="2"/>
        <v>0</v>
      </c>
      <c r="S15" s="82"/>
      <c r="T15" s="77"/>
      <c r="U15" s="79"/>
      <c r="V15" s="80"/>
      <c r="W15" s="81">
        <f t="shared" si="3"/>
        <v>0</v>
      </c>
      <c r="X15" s="82"/>
      <c r="Y15" s="77"/>
      <c r="Z15" s="79"/>
      <c r="AA15" s="80"/>
      <c r="AB15" s="81">
        <f t="shared" si="4"/>
        <v>0</v>
      </c>
      <c r="AC15" s="82"/>
      <c r="AD15" s="77"/>
      <c r="AE15" s="79"/>
      <c r="AF15" s="80"/>
      <c r="AG15" s="81">
        <f t="shared" si="5"/>
        <v>0</v>
      </c>
      <c r="AH15" s="82"/>
      <c r="AI15" s="77"/>
      <c r="AJ15" s="92">
        <v>1</v>
      </c>
      <c r="AK15" s="93">
        <v>0.3</v>
      </c>
      <c r="AL15" s="85">
        <f t="shared" si="6"/>
        <v>0.3</v>
      </c>
      <c r="AM15" s="97" t="s">
        <v>1248</v>
      </c>
      <c r="AN15" s="74"/>
      <c r="AO15" s="88"/>
      <c r="AP15" s="89"/>
      <c r="AQ15" s="90">
        <f t="shared" si="7"/>
        <v>0</v>
      </c>
      <c r="AR15" s="91"/>
      <c r="AS15" s="74"/>
    </row>
    <row r="16" spans="1:45" ht="227.25" customHeight="1" x14ac:dyDescent="0.25">
      <c r="A16" s="77">
        <v>13</v>
      </c>
      <c r="B16" s="78" t="s">
        <v>6</v>
      </c>
      <c r="C16" s="78" t="s">
        <v>7</v>
      </c>
      <c r="D16" s="78" t="s">
        <v>41</v>
      </c>
      <c r="E16" s="77"/>
      <c r="F16" s="79"/>
      <c r="G16" s="80"/>
      <c r="H16" s="81">
        <f t="shared" si="0"/>
        <v>0</v>
      </c>
      <c r="I16" s="82"/>
      <c r="J16" s="77"/>
      <c r="K16" s="100">
        <v>1</v>
      </c>
      <c r="L16" s="101">
        <v>1</v>
      </c>
      <c r="M16" s="85">
        <f t="shared" si="1"/>
        <v>1</v>
      </c>
      <c r="N16" s="78" t="s">
        <v>1037</v>
      </c>
      <c r="O16" s="77"/>
      <c r="P16" s="79"/>
      <c r="Q16" s="80"/>
      <c r="R16" s="81">
        <f t="shared" si="2"/>
        <v>0</v>
      </c>
      <c r="S16" s="82"/>
      <c r="T16" s="77"/>
      <c r="U16" s="79"/>
      <c r="V16" s="80"/>
      <c r="W16" s="81">
        <f t="shared" si="3"/>
        <v>0</v>
      </c>
      <c r="X16" s="82"/>
      <c r="Y16" s="77"/>
      <c r="Z16" s="79"/>
      <c r="AA16" s="80"/>
      <c r="AB16" s="81">
        <f t="shared" si="4"/>
        <v>0</v>
      </c>
      <c r="AC16" s="82"/>
      <c r="AD16" s="77"/>
      <c r="AE16" s="79"/>
      <c r="AF16" s="80"/>
      <c r="AG16" s="81">
        <f t="shared" si="5"/>
        <v>0</v>
      </c>
      <c r="AH16" s="82"/>
      <c r="AI16" s="77"/>
      <c r="AJ16" s="100">
        <v>1</v>
      </c>
      <c r="AK16" s="101">
        <v>0.7</v>
      </c>
      <c r="AL16" s="85">
        <f t="shared" si="6"/>
        <v>0.7</v>
      </c>
      <c r="AM16" s="78" t="s">
        <v>1048</v>
      </c>
      <c r="AN16" s="74"/>
      <c r="AO16" s="88"/>
      <c r="AP16" s="89"/>
      <c r="AQ16" s="90">
        <f t="shared" si="7"/>
        <v>0</v>
      </c>
      <c r="AR16" s="91"/>
      <c r="AS16" s="74"/>
    </row>
    <row r="17" spans="1:45" ht="126" x14ac:dyDescent="0.25">
      <c r="A17" s="77">
        <v>14</v>
      </c>
      <c r="B17" s="78" t="s">
        <v>6</v>
      </c>
      <c r="C17" s="78" t="s">
        <v>7</v>
      </c>
      <c r="D17" s="78" t="s">
        <v>130</v>
      </c>
      <c r="E17" s="77"/>
      <c r="F17" s="79"/>
      <c r="G17" s="80"/>
      <c r="H17" s="81">
        <f t="shared" si="0"/>
        <v>0</v>
      </c>
      <c r="I17" s="82"/>
      <c r="J17" s="77"/>
      <c r="K17" s="100">
        <v>1</v>
      </c>
      <c r="L17" s="101">
        <v>1</v>
      </c>
      <c r="M17" s="85">
        <f t="shared" si="1"/>
        <v>1</v>
      </c>
      <c r="N17" s="78" t="s">
        <v>967</v>
      </c>
      <c r="O17" s="77"/>
      <c r="P17" s="79"/>
      <c r="Q17" s="80"/>
      <c r="R17" s="81">
        <f t="shared" si="2"/>
        <v>0</v>
      </c>
      <c r="S17" s="82"/>
      <c r="T17" s="77"/>
      <c r="U17" s="79"/>
      <c r="V17" s="80"/>
      <c r="W17" s="81">
        <f t="shared" si="3"/>
        <v>0</v>
      </c>
      <c r="X17" s="82"/>
      <c r="Y17" s="77"/>
      <c r="Z17" s="79"/>
      <c r="AA17" s="80"/>
      <c r="AB17" s="81">
        <f t="shared" si="4"/>
        <v>0</v>
      </c>
      <c r="AC17" s="82"/>
      <c r="AD17" s="77"/>
      <c r="AE17" s="79"/>
      <c r="AF17" s="80"/>
      <c r="AG17" s="81">
        <f t="shared" si="5"/>
        <v>0</v>
      </c>
      <c r="AH17" s="82"/>
      <c r="AI17" s="77"/>
      <c r="AJ17" s="100">
        <v>1</v>
      </c>
      <c r="AK17" s="101">
        <v>0.15</v>
      </c>
      <c r="AL17" s="85">
        <f t="shared" si="6"/>
        <v>0.15</v>
      </c>
      <c r="AM17" s="78" t="s">
        <v>1049</v>
      </c>
      <c r="AN17" s="74"/>
      <c r="AO17" s="88"/>
      <c r="AP17" s="89"/>
      <c r="AQ17" s="90">
        <f t="shared" si="7"/>
        <v>0</v>
      </c>
      <c r="AR17" s="91"/>
      <c r="AS17" s="74"/>
    </row>
    <row r="18" spans="1:45" ht="126" customHeight="1" x14ac:dyDescent="0.25">
      <c r="A18" s="77">
        <v>15</v>
      </c>
      <c r="B18" s="78" t="s">
        <v>6</v>
      </c>
      <c r="C18" s="78" t="s">
        <v>7</v>
      </c>
      <c r="D18" s="78" t="s">
        <v>131</v>
      </c>
      <c r="E18" s="77"/>
      <c r="F18" s="79"/>
      <c r="G18" s="80"/>
      <c r="H18" s="81">
        <f t="shared" si="0"/>
        <v>0</v>
      </c>
      <c r="I18" s="82"/>
      <c r="J18" s="77"/>
      <c r="K18" s="100">
        <v>1</v>
      </c>
      <c r="L18" s="101">
        <v>1</v>
      </c>
      <c r="M18" s="85">
        <f t="shared" si="1"/>
        <v>1</v>
      </c>
      <c r="N18" s="78" t="s">
        <v>1038</v>
      </c>
      <c r="O18" s="77"/>
      <c r="P18" s="79"/>
      <c r="Q18" s="80"/>
      <c r="R18" s="81">
        <f t="shared" si="2"/>
        <v>0</v>
      </c>
      <c r="S18" s="82"/>
      <c r="T18" s="77"/>
      <c r="U18" s="79"/>
      <c r="V18" s="80"/>
      <c r="W18" s="81">
        <f t="shared" si="3"/>
        <v>0</v>
      </c>
      <c r="X18" s="82"/>
      <c r="Y18" s="77"/>
      <c r="Z18" s="79"/>
      <c r="AA18" s="80"/>
      <c r="AB18" s="81">
        <f t="shared" si="4"/>
        <v>0</v>
      </c>
      <c r="AC18" s="82"/>
      <c r="AD18" s="77"/>
      <c r="AE18" s="79"/>
      <c r="AF18" s="80"/>
      <c r="AG18" s="81">
        <f t="shared" si="5"/>
        <v>0</v>
      </c>
      <c r="AH18" s="82"/>
      <c r="AI18" s="77"/>
      <c r="AJ18" s="100">
        <v>1</v>
      </c>
      <c r="AK18" s="101">
        <v>0.95</v>
      </c>
      <c r="AL18" s="85">
        <f t="shared" si="6"/>
        <v>0.95</v>
      </c>
      <c r="AM18" s="78" t="s">
        <v>1050</v>
      </c>
      <c r="AN18" s="74"/>
      <c r="AO18" s="88"/>
      <c r="AP18" s="89"/>
      <c r="AQ18" s="90">
        <f t="shared" si="7"/>
        <v>0</v>
      </c>
      <c r="AR18" s="91"/>
      <c r="AS18" s="74"/>
    </row>
    <row r="19" spans="1:45" ht="157.5" x14ac:dyDescent="0.25">
      <c r="A19" s="77">
        <v>16</v>
      </c>
      <c r="B19" s="78" t="s">
        <v>6</v>
      </c>
      <c r="C19" s="78" t="s">
        <v>7</v>
      </c>
      <c r="D19" s="78" t="s">
        <v>42</v>
      </c>
      <c r="E19" s="77"/>
      <c r="F19" s="79"/>
      <c r="G19" s="80"/>
      <c r="H19" s="81">
        <f t="shared" si="0"/>
        <v>0</v>
      </c>
      <c r="I19" s="82"/>
      <c r="J19" s="77"/>
      <c r="K19" s="100">
        <v>1</v>
      </c>
      <c r="L19" s="101">
        <v>0.8</v>
      </c>
      <c r="M19" s="85">
        <f t="shared" si="1"/>
        <v>0.8</v>
      </c>
      <c r="N19" s="78" t="s">
        <v>1039</v>
      </c>
      <c r="O19" s="77"/>
      <c r="P19" s="79"/>
      <c r="Q19" s="80"/>
      <c r="R19" s="81">
        <f t="shared" si="2"/>
        <v>0</v>
      </c>
      <c r="S19" s="82"/>
      <c r="T19" s="77"/>
      <c r="U19" s="79"/>
      <c r="V19" s="80"/>
      <c r="W19" s="81">
        <f t="shared" si="3"/>
        <v>0</v>
      </c>
      <c r="X19" s="82"/>
      <c r="Y19" s="77"/>
      <c r="Z19" s="79"/>
      <c r="AA19" s="80"/>
      <c r="AB19" s="81">
        <f t="shared" si="4"/>
        <v>0</v>
      </c>
      <c r="AC19" s="82"/>
      <c r="AD19" s="77"/>
      <c r="AE19" s="79"/>
      <c r="AF19" s="80"/>
      <c r="AG19" s="81">
        <f t="shared" si="5"/>
        <v>0</v>
      </c>
      <c r="AH19" s="82"/>
      <c r="AI19" s="77"/>
      <c r="AJ19" s="100">
        <v>1</v>
      </c>
      <c r="AK19" s="101">
        <v>1</v>
      </c>
      <c r="AL19" s="85">
        <f t="shared" si="6"/>
        <v>1</v>
      </c>
      <c r="AM19" s="78" t="s">
        <v>1051</v>
      </c>
      <c r="AN19" s="74"/>
      <c r="AO19" s="88"/>
      <c r="AP19" s="89"/>
      <c r="AQ19" s="90">
        <f t="shared" si="7"/>
        <v>0</v>
      </c>
      <c r="AR19" s="91"/>
      <c r="AS19" s="74"/>
    </row>
    <row r="20" spans="1:45" ht="315" x14ac:dyDescent="0.25">
      <c r="A20" s="77">
        <v>17</v>
      </c>
      <c r="B20" s="78" t="s">
        <v>6</v>
      </c>
      <c r="C20" s="78" t="s">
        <v>7</v>
      </c>
      <c r="D20" s="78" t="s">
        <v>43</v>
      </c>
      <c r="E20" s="77"/>
      <c r="F20" s="79"/>
      <c r="G20" s="80"/>
      <c r="H20" s="81">
        <f t="shared" si="0"/>
        <v>0</v>
      </c>
      <c r="I20" s="82"/>
      <c r="J20" s="77"/>
      <c r="K20" s="100">
        <v>1</v>
      </c>
      <c r="L20" s="101">
        <v>0.7</v>
      </c>
      <c r="M20" s="85">
        <f t="shared" si="1"/>
        <v>0.7</v>
      </c>
      <c r="N20" s="78" t="s">
        <v>1017</v>
      </c>
      <c r="O20" s="77"/>
      <c r="P20" s="79"/>
      <c r="Q20" s="80"/>
      <c r="R20" s="81">
        <f t="shared" si="2"/>
        <v>0</v>
      </c>
      <c r="S20" s="82"/>
      <c r="T20" s="77"/>
      <c r="U20" s="79"/>
      <c r="V20" s="80"/>
      <c r="W20" s="81">
        <f t="shared" si="3"/>
        <v>0</v>
      </c>
      <c r="X20" s="82"/>
      <c r="Y20" s="77"/>
      <c r="Z20" s="79"/>
      <c r="AA20" s="80"/>
      <c r="AB20" s="81">
        <f t="shared" si="4"/>
        <v>0</v>
      </c>
      <c r="AC20" s="82"/>
      <c r="AD20" s="77"/>
      <c r="AE20" s="79"/>
      <c r="AF20" s="80"/>
      <c r="AG20" s="81">
        <f t="shared" si="5"/>
        <v>0</v>
      </c>
      <c r="AH20" s="82"/>
      <c r="AI20" s="77"/>
      <c r="AJ20" s="100">
        <v>1</v>
      </c>
      <c r="AK20" s="101">
        <v>0.45</v>
      </c>
      <c r="AL20" s="85">
        <v>0.45</v>
      </c>
      <c r="AM20" s="78" t="s">
        <v>1005</v>
      </c>
      <c r="AN20" s="74"/>
      <c r="AO20" s="88"/>
      <c r="AP20" s="89"/>
      <c r="AQ20" s="90">
        <f t="shared" si="7"/>
        <v>0</v>
      </c>
      <c r="AR20" s="91"/>
      <c r="AS20" s="74"/>
    </row>
    <row r="21" spans="1:45" ht="157.5" x14ac:dyDescent="0.25">
      <c r="A21" s="77">
        <v>18</v>
      </c>
      <c r="B21" s="78" t="s">
        <v>6</v>
      </c>
      <c r="C21" s="78" t="s">
        <v>7</v>
      </c>
      <c r="D21" s="78" t="s">
        <v>44</v>
      </c>
      <c r="E21" s="77"/>
      <c r="F21" s="79"/>
      <c r="G21" s="80"/>
      <c r="H21" s="81">
        <f t="shared" si="0"/>
        <v>0</v>
      </c>
      <c r="I21" s="82"/>
      <c r="J21" s="77"/>
      <c r="K21" s="100">
        <v>1</v>
      </c>
      <c r="L21" s="101">
        <v>0.75</v>
      </c>
      <c r="M21" s="85">
        <f t="shared" si="1"/>
        <v>0.75</v>
      </c>
      <c r="N21" s="102" t="s">
        <v>1040</v>
      </c>
      <c r="O21" s="77"/>
      <c r="P21" s="79"/>
      <c r="Q21" s="80"/>
      <c r="R21" s="81">
        <f t="shared" si="2"/>
        <v>0</v>
      </c>
      <c r="S21" s="82"/>
      <c r="T21" s="77"/>
      <c r="U21" s="79"/>
      <c r="V21" s="80"/>
      <c r="W21" s="81">
        <f t="shared" si="3"/>
        <v>0</v>
      </c>
      <c r="X21" s="82"/>
      <c r="Y21" s="77"/>
      <c r="Z21" s="79"/>
      <c r="AA21" s="80"/>
      <c r="AB21" s="81">
        <f t="shared" si="4"/>
        <v>0</v>
      </c>
      <c r="AC21" s="82"/>
      <c r="AD21" s="77"/>
      <c r="AE21" s="79"/>
      <c r="AF21" s="80"/>
      <c r="AG21" s="81">
        <f t="shared" si="5"/>
        <v>0</v>
      </c>
      <c r="AH21" s="82"/>
      <c r="AI21" s="77"/>
      <c r="AJ21" s="100">
        <v>1</v>
      </c>
      <c r="AK21" s="101">
        <v>0.2</v>
      </c>
      <c r="AL21" s="85">
        <f t="shared" ref="AL21:AL23" si="8">AJ21*AK21</f>
        <v>0.2</v>
      </c>
      <c r="AM21" s="78" t="s">
        <v>1052</v>
      </c>
      <c r="AN21" s="74"/>
      <c r="AO21" s="88"/>
      <c r="AP21" s="89"/>
      <c r="AQ21" s="90">
        <f t="shared" si="7"/>
        <v>0</v>
      </c>
      <c r="AR21" s="91"/>
      <c r="AS21" s="74"/>
    </row>
    <row r="22" spans="1:45" ht="78.75" x14ac:dyDescent="0.25">
      <c r="A22" s="77">
        <v>19</v>
      </c>
      <c r="B22" s="78" t="s">
        <v>6</v>
      </c>
      <c r="C22" s="78" t="s">
        <v>7</v>
      </c>
      <c r="D22" s="78" t="s">
        <v>45</v>
      </c>
      <c r="E22" s="77"/>
      <c r="F22" s="79"/>
      <c r="G22" s="80"/>
      <c r="H22" s="81">
        <f t="shared" si="0"/>
        <v>0</v>
      </c>
      <c r="I22" s="82"/>
      <c r="J22" s="77"/>
      <c r="K22" s="100">
        <v>1</v>
      </c>
      <c r="L22" s="101">
        <v>0.9</v>
      </c>
      <c r="M22" s="85">
        <f t="shared" si="1"/>
        <v>0.9</v>
      </c>
      <c r="N22" s="78" t="s">
        <v>1041</v>
      </c>
      <c r="O22" s="77"/>
      <c r="P22" s="79"/>
      <c r="Q22" s="80"/>
      <c r="R22" s="81">
        <f t="shared" si="2"/>
        <v>0</v>
      </c>
      <c r="S22" s="82"/>
      <c r="T22" s="77"/>
      <c r="U22" s="79"/>
      <c r="V22" s="80"/>
      <c r="W22" s="81">
        <f t="shared" si="3"/>
        <v>0</v>
      </c>
      <c r="X22" s="82"/>
      <c r="Y22" s="77"/>
      <c r="Z22" s="79"/>
      <c r="AA22" s="80"/>
      <c r="AB22" s="81">
        <f t="shared" si="4"/>
        <v>0</v>
      </c>
      <c r="AC22" s="82"/>
      <c r="AD22" s="77"/>
      <c r="AE22" s="79"/>
      <c r="AF22" s="80"/>
      <c r="AG22" s="81">
        <f t="shared" si="5"/>
        <v>0</v>
      </c>
      <c r="AH22" s="82"/>
      <c r="AI22" s="77"/>
      <c r="AJ22" s="100">
        <v>1</v>
      </c>
      <c r="AK22" s="101">
        <v>0.65</v>
      </c>
      <c r="AL22" s="85">
        <f t="shared" si="8"/>
        <v>0.65</v>
      </c>
      <c r="AM22" s="78" t="s">
        <v>1053</v>
      </c>
      <c r="AN22" s="74"/>
      <c r="AO22" s="88"/>
      <c r="AP22" s="89"/>
      <c r="AQ22" s="90">
        <f t="shared" si="7"/>
        <v>0</v>
      </c>
      <c r="AR22" s="91"/>
      <c r="AS22" s="74"/>
    </row>
    <row r="23" spans="1:45" ht="110.25" x14ac:dyDescent="0.25">
      <c r="A23" s="77">
        <v>20</v>
      </c>
      <c r="B23" s="78" t="s">
        <v>6</v>
      </c>
      <c r="C23" s="78" t="s">
        <v>7</v>
      </c>
      <c r="D23" s="78" t="s">
        <v>46</v>
      </c>
      <c r="E23" s="77"/>
      <c r="F23" s="79"/>
      <c r="G23" s="80"/>
      <c r="H23" s="81">
        <f t="shared" si="0"/>
        <v>0</v>
      </c>
      <c r="I23" s="82"/>
      <c r="J23" s="77"/>
      <c r="K23" s="100">
        <v>1</v>
      </c>
      <c r="L23" s="101">
        <v>0.9</v>
      </c>
      <c r="M23" s="85">
        <f t="shared" si="1"/>
        <v>0.9</v>
      </c>
      <c r="N23" s="78" t="s">
        <v>1042</v>
      </c>
      <c r="O23" s="77"/>
      <c r="P23" s="79"/>
      <c r="Q23" s="80"/>
      <c r="R23" s="81">
        <f t="shared" si="2"/>
        <v>0</v>
      </c>
      <c r="S23" s="82"/>
      <c r="T23" s="77"/>
      <c r="U23" s="79"/>
      <c r="V23" s="80"/>
      <c r="W23" s="81">
        <f t="shared" si="3"/>
        <v>0</v>
      </c>
      <c r="X23" s="82"/>
      <c r="Y23" s="77"/>
      <c r="Z23" s="79"/>
      <c r="AA23" s="80"/>
      <c r="AB23" s="81">
        <f t="shared" si="4"/>
        <v>0</v>
      </c>
      <c r="AC23" s="82"/>
      <c r="AD23" s="77"/>
      <c r="AE23" s="79"/>
      <c r="AF23" s="80"/>
      <c r="AG23" s="81">
        <f t="shared" si="5"/>
        <v>0</v>
      </c>
      <c r="AH23" s="82"/>
      <c r="AI23" s="77"/>
      <c r="AJ23" s="100">
        <v>1</v>
      </c>
      <c r="AK23" s="101">
        <v>0.5</v>
      </c>
      <c r="AL23" s="85">
        <f t="shared" si="8"/>
        <v>0.5</v>
      </c>
      <c r="AM23" s="78" t="s">
        <v>1054</v>
      </c>
      <c r="AN23" s="74"/>
      <c r="AO23" s="88"/>
      <c r="AP23" s="89"/>
      <c r="AQ23" s="90">
        <f t="shared" si="7"/>
        <v>0</v>
      </c>
      <c r="AR23" s="91"/>
      <c r="AS23" s="74"/>
    </row>
    <row r="24" spans="1:45" ht="94.5" x14ac:dyDescent="0.25">
      <c r="A24" s="77">
        <v>21</v>
      </c>
      <c r="B24" s="78" t="s">
        <v>6</v>
      </c>
      <c r="C24" s="78" t="s">
        <v>7</v>
      </c>
      <c r="D24" s="78" t="s">
        <v>47</v>
      </c>
      <c r="E24" s="77"/>
      <c r="F24" s="79"/>
      <c r="G24" s="80"/>
      <c r="H24" s="81">
        <f t="shared" si="0"/>
        <v>0</v>
      </c>
      <c r="I24" s="82"/>
      <c r="J24" s="77" t="s">
        <v>30</v>
      </c>
      <c r="K24" s="100">
        <v>1</v>
      </c>
      <c r="L24" s="101">
        <v>0.98</v>
      </c>
      <c r="M24" s="85">
        <f t="shared" si="1"/>
        <v>0.98</v>
      </c>
      <c r="N24" s="78" t="s">
        <v>358</v>
      </c>
      <c r="O24" s="77"/>
      <c r="P24" s="79"/>
      <c r="Q24" s="80"/>
      <c r="R24" s="81">
        <f t="shared" si="2"/>
        <v>0</v>
      </c>
      <c r="S24" s="82"/>
      <c r="T24" s="77"/>
      <c r="U24" s="79"/>
      <c r="V24" s="80"/>
      <c r="W24" s="81">
        <f t="shared" si="3"/>
        <v>0</v>
      </c>
      <c r="X24" s="82"/>
      <c r="Y24" s="77"/>
      <c r="Z24" s="79"/>
      <c r="AA24" s="80"/>
      <c r="AB24" s="81">
        <f t="shared" si="4"/>
        <v>0</v>
      </c>
      <c r="AC24" s="82"/>
      <c r="AD24" s="77"/>
      <c r="AE24" s="79"/>
      <c r="AF24" s="80"/>
      <c r="AG24" s="81">
        <f t="shared" si="5"/>
        <v>0</v>
      </c>
      <c r="AH24" s="82"/>
      <c r="AI24" s="77"/>
      <c r="AJ24" s="100">
        <v>1</v>
      </c>
      <c r="AK24" s="101">
        <v>0.98</v>
      </c>
      <c r="AL24" s="85">
        <v>0.98</v>
      </c>
      <c r="AM24" s="78" t="s">
        <v>1055</v>
      </c>
      <c r="AN24" s="74"/>
      <c r="AO24" s="88"/>
      <c r="AP24" s="89"/>
      <c r="AQ24" s="90">
        <f t="shared" si="7"/>
        <v>0</v>
      </c>
      <c r="AR24" s="91"/>
      <c r="AS24" s="74"/>
    </row>
    <row r="25" spans="1:45" ht="157.5" x14ac:dyDescent="0.25">
      <c r="A25" s="77">
        <v>22</v>
      </c>
      <c r="B25" s="78" t="s">
        <v>6</v>
      </c>
      <c r="C25" s="78" t="s">
        <v>8</v>
      </c>
      <c r="D25" s="78" t="s">
        <v>48</v>
      </c>
      <c r="E25" s="77"/>
      <c r="F25" s="79"/>
      <c r="G25" s="80"/>
      <c r="H25" s="81">
        <f t="shared" si="0"/>
        <v>0</v>
      </c>
      <c r="I25" s="82"/>
      <c r="J25" s="77"/>
      <c r="K25" s="100">
        <v>1</v>
      </c>
      <c r="L25" s="101">
        <v>1</v>
      </c>
      <c r="M25" s="85">
        <f t="shared" si="1"/>
        <v>1</v>
      </c>
      <c r="N25" s="78" t="s">
        <v>567</v>
      </c>
      <c r="O25" s="77"/>
      <c r="P25" s="79"/>
      <c r="Q25" s="80"/>
      <c r="R25" s="81">
        <f t="shared" si="2"/>
        <v>0</v>
      </c>
      <c r="S25" s="82"/>
      <c r="T25" s="77"/>
      <c r="U25" s="79"/>
      <c r="V25" s="80"/>
      <c r="W25" s="81">
        <f t="shared" si="3"/>
        <v>0</v>
      </c>
      <c r="X25" s="82"/>
      <c r="Y25" s="77"/>
      <c r="Z25" s="79"/>
      <c r="AA25" s="80"/>
      <c r="AB25" s="81">
        <f t="shared" si="4"/>
        <v>0</v>
      </c>
      <c r="AC25" s="82"/>
      <c r="AD25" s="77"/>
      <c r="AE25" s="79"/>
      <c r="AF25" s="80"/>
      <c r="AG25" s="81">
        <f t="shared" si="5"/>
        <v>0</v>
      </c>
      <c r="AH25" s="82"/>
      <c r="AI25" s="77"/>
      <c r="AJ25" s="100">
        <v>1</v>
      </c>
      <c r="AK25" s="101">
        <v>0.6</v>
      </c>
      <c r="AL25" s="85">
        <f t="shared" ref="AL25:AL27" si="9">AJ25*AK25</f>
        <v>0.6</v>
      </c>
      <c r="AM25" s="78" t="s">
        <v>1056</v>
      </c>
      <c r="AN25" s="73"/>
      <c r="AO25" s="103"/>
      <c r="AP25" s="104"/>
      <c r="AQ25" s="105">
        <f t="shared" si="7"/>
        <v>0</v>
      </c>
      <c r="AR25" s="106"/>
      <c r="AS25" s="73"/>
    </row>
    <row r="26" spans="1:45" ht="126" x14ac:dyDescent="0.25">
      <c r="A26" s="77">
        <v>23</v>
      </c>
      <c r="B26" s="78" t="s">
        <v>6</v>
      </c>
      <c r="C26" s="78" t="s">
        <v>8</v>
      </c>
      <c r="D26" s="78" t="s">
        <v>49</v>
      </c>
      <c r="E26" s="77"/>
      <c r="F26" s="79"/>
      <c r="G26" s="80"/>
      <c r="H26" s="81">
        <f t="shared" si="0"/>
        <v>0</v>
      </c>
      <c r="I26" s="82"/>
      <c r="J26" s="77"/>
      <c r="K26" s="100">
        <v>1</v>
      </c>
      <c r="L26" s="101">
        <v>1</v>
      </c>
      <c r="M26" s="85">
        <f t="shared" si="1"/>
        <v>1</v>
      </c>
      <c r="N26" s="78" t="s">
        <v>1043</v>
      </c>
      <c r="O26" s="77"/>
      <c r="P26" s="79"/>
      <c r="Q26" s="80"/>
      <c r="R26" s="81">
        <f t="shared" si="2"/>
        <v>0</v>
      </c>
      <c r="S26" s="82"/>
      <c r="T26" s="77"/>
      <c r="U26" s="79"/>
      <c r="V26" s="80"/>
      <c r="W26" s="81">
        <f t="shared" si="3"/>
        <v>0</v>
      </c>
      <c r="X26" s="82"/>
      <c r="Y26" s="77"/>
      <c r="Z26" s="79"/>
      <c r="AA26" s="80"/>
      <c r="AB26" s="81">
        <f t="shared" si="4"/>
        <v>0</v>
      </c>
      <c r="AC26" s="82"/>
      <c r="AD26" s="77"/>
      <c r="AE26" s="79"/>
      <c r="AF26" s="80"/>
      <c r="AG26" s="81">
        <f t="shared" si="5"/>
        <v>0</v>
      </c>
      <c r="AH26" s="82"/>
      <c r="AI26" s="77"/>
      <c r="AJ26" s="100">
        <v>1</v>
      </c>
      <c r="AK26" s="101">
        <v>0.7</v>
      </c>
      <c r="AL26" s="85">
        <f t="shared" si="9"/>
        <v>0.7</v>
      </c>
      <c r="AM26" s="78" t="s">
        <v>671</v>
      </c>
      <c r="AN26" s="74"/>
      <c r="AO26" s="88"/>
      <c r="AP26" s="89"/>
      <c r="AQ26" s="90">
        <f t="shared" si="7"/>
        <v>0</v>
      </c>
      <c r="AR26" s="91"/>
      <c r="AS26" s="74"/>
    </row>
    <row r="27" spans="1:45" ht="126" x14ac:dyDescent="0.25">
      <c r="A27" s="77">
        <v>24</v>
      </c>
      <c r="B27" s="78" t="s">
        <v>6</v>
      </c>
      <c r="C27" s="78" t="s">
        <v>8</v>
      </c>
      <c r="D27" s="78" t="s">
        <v>50</v>
      </c>
      <c r="E27" s="77"/>
      <c r="F27" s="79"/>
      <c r="G27" s="80"/>
      <c r="H27" s="81">
        <f t="shared" si="0"/>
        <v>0</v>
      </c>
      <c r="I27" s="82"/>
      <c r="J27" s="77"/>
      <c r="K27" s="100">
        <v>1</v>
      </c>
      <c r="L27" s="101">
        <v>0.99</v>
      </c>
      <c r="M27" s="85">
        <f t="shared" si="1"/>
        <v>0.99</v>
      </c>
      <c r="N27" s="78" t="s">
        <v>994</v>
      </c>
      <c r="O27" s="77"/>
      <c r="P27" s="79"/>
      <c r="Q27" s="80"/>
      <c r="R27" s="81">
        <f t="shared" si="2"/>
        <v>0</v>
      </c>
      <c r="S27" s="82"/>
      <c r="T27" s="77"/>
      <c r="U27" s="79"/>
      <c r="V27" s="80"/>
      <c r="W27" s="81">
        <f t="shared" si="3"/>
        <v>0</v>
      </c>
      <c r="X27" s="82"/>
      <c r="Y27" s="77"/>
      <c r="Z27" s="79"/>
      <c r="AA27" s="80"/>
      <c r="AB27" s="81">
        <f t="shared" si="4"/>
        <v>0</v>
      </c>
      <c r="AC27" s="82"/>
      <c r="AD27" s="77"/>
      <c r="AE27" s="79"/>
      <c r="AF27" s="80"/>
      <c r="AG27" s="81">
        <f t="shared" si="5"/>
        <v>0</v>
      </c>
      <c r="AH27" s="82"/>
      <c r="AI27" s="77"/>
      <c r="AJ27" s="100">
        <v>1</v>
      </c>
      <c r="AK27" s="101">
        <v>0.45</v>
      </c>
      <c r="AL27" s="85">
        <f t="shared" si="9"/>
        <v>0.45</v>
      </c>
      <c r="AM27" s="78" t="s">
        <v>1057</v>
      </c>
      <c r="AN27" s="74"/>
      <c r="AO27" s="88"/>
      <c r="AP27" s="89"/>
      <c r="AQ27" s="90">
        <f t="shared" si="7"/>
        <v>0</v>
      </c>
      <c r="AR27" s="91"/>
      <c r="AS27" s="74"/>
    </row>
    <row r="28" spans="1:45" ht="283.5" x14ac:dyDescent="0.25">
      <c r="A28" s="77">
        <v>25</v>
      </c>
      <c r="B28" s="78" t="s">
        <v>6</v>
      </c>
      <c r="C28" s="78" t="s">
        <v>8</v>
      </c>
      <c r="D28" s="78" t="s">
        <v>51</v>
      </c>
      <c r="E28" s="77"/>
      <c r="F28" s="79"/>
      <c r="G28" s="80"/>
      <c r="H28" s="81">
        <f t="shared" si="0"/>
        <v>0</v>
      </c>
      <c r="I28" s="82"/>
      <c r="J28" s="77"/>
      <c r="K28" s="100">
        <v>1</v>
      </c>
      <c r="L28" s="101">
        <v>0.85</v>
      </c>
      <c r="M28" s="85">
        <f t="shared" si="1"/>
        <v>0.85</v>
      </c>
      <c r="N28" s="78" t="s">
        <v>1554</v>
      </c>
      <c r="O28" s="77"/>
      <c r="P28" s="79"/>
      <c r="Q28" s="80"/>
      <c r="R28" s="81">
        <f t="shared" si="2"/>
        <v>0</v>
      </c>
      <c r="S28" s="82"/>
      <c r="T28" s="77"/>
      <c r="U28" s="79"/>
      <c r="V28" s="80"/>
      <c r="W28" s="81">
        <f t="shared" si="3"/>
        <v>0</v>
      </c>
      <c r="X28" s="82"/>
      <c r="Y28" s="77"/>
      <c r="Z28" s="79"/>
      <c r="AA28" s="80"/>
      <c r="AB28" s="81">
        <f t="shared" si="4"/>
        <v>0</v>
      </c>
      <c r="AC28" s="82"/>
      <c r="AD28" s="77"/>
      <c r="AE28" s="79"/>
      <c r="AF28" s="80"/>
      <c r="AG28" s="81">
        <f t="shared" si="5"/>
        <v>0</v>
      </c>
      <c r="AH28" s="82"/>
      <c r="AI28" s="77"/>
      <c r="AJ28" s="100">
        <v>1</v>
      </c>
      <c r="AK28" s="101">
        <v>0.1</v>
      </c>
      <c r="AL28" s="85">
        <f t="shared" si="6"/>
        <v>0.1</v>
      </c>
      <c r="AM28" s="78" t="s">
        <v>604</v>
      </c>
      <c r="AN28" s="74"/>
      <c r="AO28" s="88"/>
      <c r="AP28" s="89"/>
      <c r="AQ28" s="90">
        <f t="shared" si="7"/>
        <v>0</v>
      </c>
      <c r="AR28" s="91"/>
      <c r="AS28" s="74"/>
    </row>
    <row r="29" spans="1:45" ht="110.25" x14ac:dyDescent="0.25">
      <c r="A29" s="77">
        <v>26</v>
      </c>
      <c r="B29" s="78" t="s">
        <v>6</v>
      </c>
      <c r="C29" s="78" t="s">
        <v>8</v>
      </c>
      <c r="D29" s="78" t="s">
        <v>52</v>
      </c>
      <c r="E29" s="77"/>
      <c r="F29" s="79"/>
      <c r="G29" s="80"/>
      <c r="H29" s="81">
        <f t="shared" si="0"/>
        <v>0</v>
      </c>
      <c r="I29" s="82"/>
      <c r="J29" s="77"/>
      <c r="K29" s="100">
        <v>1</v>
      </c>
      <c r="L29" s="101">
        <v>1</v>
      </c>
      <c r="M29" s="85">
        <f t="shared" si="1"/>
        <v>1</v>
      </c>
      <c r="N29" s="78" t="s">
        <v>1022</v>
      </c>
      <c r="O29" s="77"/>
      <c r="P29" s="79"/>
      <c r="Q29" s="80"/>
      <c r="R29" s="81">
        <f t="shared" si="2"/>
        <v>0</v>
      </c>
      <c r="S29" s="78"/>
      <c r="T29" s="77"/>
      <c r="U29" s="79"/>
      <c r="V29" s="80"/>
      <c r="W29" s="81">
        <f t="shared" si="3"/>
        <v>0</v>
      </c>
      <c r="X29" s="78"/>
      <c r="Y29" s="77"/>
      <c r="Z29" s="79"/>
      <c r="AA29" s="80"/>
      <c r="AB29" s="81">
        <f t="shared" si="4"/>
        <v>0</v>
      </c>
      <c r="AC29" s="78"/>
      <c r="AD29" s="77"/>
      <c r="AE29" s="79"/>
      <c r="AF29" s="80"/>
      <c r="AG29" s="81">
        <f t="shared" si="5"/>
        <v>0</v>
      </c>
      <c r="AH29" s="78"/>
      <c r="AI29" s="77"/>
      <c r="AJ29" s="100">
        <v>1</v>
      </c>
      <c r="AK29" s="101">
        <v>0.1</v>
      </c>
      <c r="AL29" s="85">
        <f t="shared" si="6"/>
        <v>0.1</v>
      </c>
      <c r="AM29" s="78" t="s">
        <v>605</v>
      </c>
      <c r="AN29" s="74"/>
      <c r="AO29" s="88"/>
      <c r="AP29" s="89"/>
      <c r="AQ29" s="90">
        <f t="shared" si="7"/>
        <v>0</v>
      </c>
      <c r="AR29" s="96"/>
      <c r="AS29" s="74"/>
    </row>
    <row r="30" spans="1:45" ht="173.25" x14ac:dyDescent="0.25">
      <c r="A30" s="77">
        <v>27</v>
      </c>
      <c r="B30" s="78" t="s">
        <v>6</v>
      </c>
      <c r="C30" s="78" t="s">
        <v>8</v>
      </c>
      <c r="D30" s="78" t="s">
        <v>53</v>
      </c>
      <c r="E30" s="77"/>
      <c r="F30" s="79"/>
      <c r="G30" s="80"/>
      <c r="H30" s="81">
        <f t="shared" si="0"/>
        <v>0</v>
      </c>
      <c r="I30" s="82"/>
      <c r="J30" s="77"/>
      <c r="K30" s="100">
        <v>1</v>
      </c>
      <c r="L30" s="107">
        <v>1</v>
      </c>
      <c r="M30" s="85">
        <f t="shared" si="1"/>
        <v>1</v>
      </c>
      <c r="N30" s="78"/>
      <c r="O30" s="77"/>
      <c r="P30" s="79"/>
      <c r="Q30" s="80"/>
      <c r="R30" s="81">
        <f t="shared" si="2"/>
        <v>0</v>
      </c>
      <c r="S30" s="82"/>
      <c r="T30" s="77"/>
      <c r="U30" s="79"/>
      <c r="V30" s="80"/>
      <c r="W30" s="81">
        <f t="shared" si="3"/>
        <v>0</v>
      </c>
      <c r="X30" s="82"/>
      <c r="Y30" s="77"/>
      <c r="Z30" s="79"/>
      <c r="AA30" s="80"/>
      <c r="AB30" s="81">
        <f t="shared" si="4"/>
        <v>0</v>
      </c>
      <c r="AC30" s="82"/>
      <c r="AD30" s="77"/>
      <c r="AE30" s="79"/>
      <c r="AF30" s="80"/>
      <c r="AG30" s="81">
        <f t="shared" si="5"/>
        <v>0</v>
      </c>
      <c r="AH30" s="82"/>
      <c r="AI30" s="77"/>
      <c r="AJ30" s="100">
        <v>1</v>
      </c>
      <c r="AK30" s="107">
        <v>0.85</v>
      </c>
      <c r="AL30" s="107">
        <v>0.85</v>
      </c>
      <c r="AM30" s="78" t="s">
        <v>606</v>
      </c>
      <c r="AN30" s="74"/>
      <c r="AO30" s="88"/>
      <c r="AP30" s="89"/>
      <c r="AQ30" s="90">
        <f t="shared" si="7"/>
        <v>0</v>
      </c>
      <c r="AR30" s="91"/>
      <c r="AS30" s="74"/>
    </row>
    <row r="31" spans="1:45" ht="110.25" x14ac:dyDescent="0.25">
      <c r="A31" s="77">
        <v>28</v>
      </c>
      <c r="B31" s="78" t="s">
        <v>6</v>
      </c>
      <c r="C31" s="78" t="s">
        <v>8</v>
      </c>
      <c r="D31" s="78" t="s">
        <v>54</v>
      </c>
      <c r="E31" s="77"/>
      <c r="F31" s="79"/>
      <c r="G31" s="80"/>
      <c r="H31" s="81">
        <f t="shared" si="0"/>
        <v>0</v>
      </c>
      <c r="I31" s="82"/>
      <c r="J31" s="77"/>
      <c r="K31" s="100">
        <v>1</v>
      </c>
      <c r="L31" s="101">
        <v>1</v>
      </c>
      <c r="M31" s="85">
        <f t="shared" si="1"/>
        <v>1</v>
      </c>
      <c r="N31" s="78" t="s">
        <v>211</v>
      </c>
      <c r="O31" s="77"/>
      <c r="P31" s="79"/>
      <c r="Q31" s="80"/>
      <c r="R31" s="81">
        <f t="shared" si="2"/>
        <v>0</v>
      </c>
      <c r="S31" s="82"/>
      <c r="T31" s="77"/>
      <c r="U31" s="79"/>
      <c r="V31" s="80"/>
      <c r="W31" s="81">
        <f t="shared" si="3"/>
        <v>0</v>
      </c>
      <c r="X31" s="82"/>
      <c r="Y31" s="77"/>
      <c r="Z31" s="79"/>
      <c r="AA31" s="80"/>
      <c r="AB31" s="81">
        <f t="shared" si="4"/>
        <v>0</v>
      </c>
      <c r="AC31" s="82"/>
      <c r="AD31" s="77"/>
      <c r="AE31" s="79"/>
      <c r="AF31" s="80"/>
      <c r="AG31" s="81">
        <f t="shared" si="5"/>
        <v>0</v>
      </c>
      <c r="AH31" s="82"/>
      <c r="AI31" s="77"/>
      <c r="AJ31" s="100">
        <v>1</v>
      </c>
      <c r="AK31" s="101">
        <v>1</v>
      </c>
      <c r="AL31" s="85">
        <f t="shared" ref="AL31" si="10">AJ31*AK31</f>
        <v>1</v>
      </c>
      <c r="AM31" s="78" t="s">
        <v>1010</v>
      </c>
      <c r="AN31" s="74"/>
      <c r="AO31" s="88"/>
      <c r="AP31" s="89"/>
      <c r="AQ31" s="90">
        <f t="shared" si="7"/>
        <v>0</v>
      </c>
      <c r="AR31" s="91"/>
      <c r="AS31" s="74"/>
    </row>
    <row r="32" spans="1:45" ht="110.25" x14ac:dyDescent="0.25">
      <c r="A32" s="77">
        <v>29</v>
      </c>
      <c r="B32" s="78" t="s">
        <v>6</v>
      </c>
      <c r="C32" s="78" t="s">
        <v>8</v>
      </c>
      <c r="D32" s="78" t="s">
        <v>55</v>
      </c>
      <c r="E32" s="77"/>
      <c r="F32" s="79"/>
      <c r="G32" s="80"/>
      <c r="H32" s="81">
        <f t="shared" si="0"/>
        <v>0</v>
      </c>
      <c r="I32" s="82"/>
      <c r="J32" s="77"/>
      <c r="K32" s="100">
        <v>1</v>
      </c>
      <c r="L32" s="101">
        <v>1</v>
      </c>
      <c r="M32" s="85">
        <f t="shared" si="1"/>
        <v>1</v>
      </c>
      <c r="N32" s="78" t="s">
        <v>1044</v>
      </c>
      <c r="O32" s="77"/>
      <c r="P32" s="79"/>
      <c r="Q32" s="80"/>
      <c r="R32" s="81">
        <f t="shared" si="2"/>
        <v>0</v>
      </c>
      <c r="S32" s="82"/>
      <c r="T32" s="77"/>
      <c r="U32" s="79"/>
      <c r="V32" s="80"/>
      <c r="W32" s="81">
        <f t="shared" si="3"/>
        <v>0</v>
      </c>
      <c r="X32" s="82"/>
      <c r="Y32" s="77"/>
      <c r="Z32" s="79"/>
      <c r="AA32" s="80"/>
      <c r="AB32" s="81">
        <f t="shared" si="4"/>
        <v>0</v>
      </c>
      <c r="AC32" s="82"/>
      <c r="AD32" s="77"/>
      <c r="AE32" s="79"/>
      <c r="AF32" s="80"/>
      <c r="AG32" s="81">
        <f t="shared" si="5"/>
        <v>0</v>
      </c>
      <c r="AH32" s="82"/>
      <c r="AI32" s="77"/>
      <c r="AJ32" s="100">
        <v>1</v>
      </c>
      <c r="AK32" s="101">
        <v>1</v>
      </c>
      <c r="AL32" s="85">
        <f t="shared" si="6"/>
        <v>1</v>
      </c>
      <c r="AM32" s="78" t="s">
        <v>673</v>
      </c>
      <c r="AN32" s="74"/>
      <c r="AO32" s="88"/>
      <c r="AP32" s="89"/>
      <c r="AQ32" s="90">
        <f t="shared" si="7"/>
        <v>0</v>
      </c>
      <c r="AR32" s="91"/>
      <c r="AS32" s="74"/>
    </row>
    <row r="33" spans="1:45" ht="110.25" x14ac:dyDescent="0.25">
      <c r="A33" s="77">
        <v>30</v>
      </c>
      <c r="B33" s="78" t="s">
        <v>6</v>
      </c>
      <c r="C33" s="78" t="s">
        <v>8</v>
      </c>
      <c r="D33" s="78" t="s">
        <v>56</v>
      </c>
      <c r="E33" s="77"/>
      <c r="F33" s="79"/>
      <c r="G33" s="80"/>
      <c r="H33" s="81">
        <f t="shared" si="0"/>
        <v>0</v>
      </c>
      <c r="I33" s="82"/>
      <c r="J33" s="77"/>
      <c r="K33" s="100">
        <v>1</v>
      </c>
      <c r="L33" s="101">
        <v>1</v>
      </c>
      <c r="M33" s="85">
        <f t="shared" si="1"/>
        <v>1</v>
      </c>
      <c r="N33" s="78" t="s">
        <v>1045</v>
      </c>
      <c r="O33" s="77"/>
      <c r="P33" s="79"/>
      <c r="Q33" s="80"/>
      <c r="R33" s="81">
        <f t="shared" si="2"/>
        <v>0</v>
      </c>
      <c r="S33" s="82"/>
      <c r="T33" s="77"/>
      <c r="U33" s="79"/>
      <c r="V33" s="80"/>
      <c r="W33" s="81">
        <f t="shared" si="3"/>
        <v>0</v>
      </c>
      <c r="X33" s="82"/>
      <c r="Y33" s="77"/>
      <c r="Z33" s="79"/>
      <c r="AA33" s="80"/>
      <c r="AB33" s="81">
        <f t="shared" si="4"/>
        <v>0</v>
      </c>
      <c r="AC33" s="82"/>
      <c r="AD33" s="77"/>
      <c r="AE33" s="79"/>
      <c r="AF33" s="80"/>
      <c r="AG33" s="81">
        <f t="shared" si="5"/>
        <v>0</v>
      </c>
      <c r="AH33" s="82"/>
      <c r="AI33" s="77"/>
      <c r="AJ33" s="100">
        <v>1</v>
      </c>
      <c r="AK33" s="101">
        <v>0.4</v>
      </c>
      <c r="AL33" s="85">
        <f t="shared" si="6"/>
        <v>0.4</v>
      </c>
      <c r="AM33" s="78" t="s">
        <v>609</v>
      </c>
      <c r="AN33" s="74"/>
      <c r="AO33" s="88"/>
      <c r="AP33" s="89"/>
      <c r="AQ33" s="90">
        <f t="shared" si="7"/>
        <v>0</v>
      </c>
      <c r="AR33" s="91"/>
      <c r="AS33" s="74"/>
    </row>
    <row r="34" spans="1:45" ht="157.5" x14ac:dyDescent="0.25">
      <c r="A34" s="77">
        <v>31</v>
      </c>
      <c r="B34" s="78" t="s">
        <v>6</v>
      </c>
      <c r="C34" s="78" t="s">
        <v>9</v>
      </c>
      <c r="D34" s="102" t="s">
        <v>57</v>
      </c>
      <c r="E34" s="77"/>
      <c r="F34" s="79"/>
      <c r="G34" s="80"/>
      <c r="H34" s="81">
        <f t="shared" si="0"/>
        <v>0</v>
      </c>
      <c r="I34" s="82"/>
      <c r="J34" s="77"/>
      <c r="K34" s="100">
        <v>1</v>
      </c>
      <c r="L34" s="101">
        <v>0.62</v>
      </c>
      <c r="M34" s="85">
        <f t="shared" si="1"/>
        <v>0.62</v>
      </c>
      <c r="N34" s="78" t="s">
        <v>1046</v>
      </c>
      <c r="O34" s="77"/>
      <c r="P34" s="79"/>
      <c r="Q34" s="80"/>
      <c r="R34" s="81">
        <f t="shared" si="2"/>
        <v>0</v>
      </c>
      <c r="S34" s="82"/>
      <c r="T34" s="77"/>
      <c r="U34" s="79"/>
      <c r="V34" s="80"/>
      <c r="W34" s="81">
        <f t="shared" si="3"/>
        <v>0</v>
      </c>
      <c r="X34" s="82"/>
      <c r="Y34" s="77"/>
      <c r="Z34" s="79"/>
      <c r="AA34" s="80"/>
      <c r="AB34" s="81">
        <f t="shared" si="4"/>
        <v>0</v>
      </c>
      <c r="AC34" s="82"/>
      <c r="AD34" s="77"/>
      <c r="AE34" s="79"/>
      <c r="AF34" s="80"/>
      <c r="AG34" s="81">
        <f t="shared" si="5"/>
        <v>0</v>
      </c>
      <c r="AH34" s="82"/>
      <c r="AI34" s="77"/>
      <c r="AJ34" s="100">
        <v>1</v>
      </c>
      <c r="AK34" s="101">
        <v>0.3</v>
      </c>
      <c r="AL34" s="85">
        <v>0.3</v>
      </c>
      <c r="AM34" s="78" t="s">
        <v>610</v>
      </c>
      <c r="AN34" s="74"/>
      <c r="AO34" s="88"/>
      <c r="AP34" s="89"/>
      <c r="AQ34" s="90">
        <f t="shared" si="7"/>
        <v>0</v>
      </c>
      <c r="AR34" s="91"/>
      <c r="AS34" s="74"/>
    </row>
    <row r="35" spans="1:45" ht="110.25" x14ac:dyDescent="0.25">
      <c r="A35" s="77">
        <v>32</v>
      </c>
      <c r="B35" s="78" t="s">
        <v>6</v>
      </c>
      <c r="C35" s="78" t="s">
        <v>9</v>
      </c>
      <c r="D35" s="102" t="s">
        <v>58</v>
      </c>
      <c r="E35" s="77"/>
      <c r="F35" s="79"/>
      <c r="G35" s="80"/>
      <c r="H35" s="81">
        <f t="shared" si="0"/>
        <v>0</v>
      </c>
      <c r="I35" s="78"/>
      <c r="J35" s="77"/>
      <c r="K35" s="100">
        <v>1</v>
      </c>
      <c r="L35" s="101">
        <v>0.9</v>
      </c>
      <c r="M35" s="85">
        <f t="shared" si="1"/>
        <v>0.9</v>
      </c>
      <c r="N35" s="78" t="s">
        <v>152</v>
      </c>
      <c r="O35" s="77"/>
      <c r="P35" s="79"/>
      <c r="Q35" s="80"/>
      <c r="R35" s="81">
        <f t="shared" si="2"/>
        <v>0</v>
      </c>
      <c r="S35" s="82"/>
      <c r="T35" s="77"/>
      <c r="U35" s="79"/>
      <c r="V35" s="80"/>
      <c r="W35" s="81">
        <f t="shared" si="3"/>
        <v>0</v>
      </c>
      <c r="X35" s="82"/>
      <c r="Y35" s="77"/>
      <c r="Z35" s="79"/>
      <c r="AA35" s="80"/>
      <c r="AB35" s="81">
        <f t="shared" si="4"/>
        <v>0</v>
      </c>
      <c r="AC35" s="82"/>
      <c r="AD35" s="77"/>
      <c r="AE35" s="79"/>
      <c r="AF35" s="80"/>
      <c r="AG35" s="81">
        <f t="shared" si="5"/>
        <v>0</v>
      </c>
      <c r="AH35" s="82"/>
      <c r="AI35" s="77"/>
      <c r="AJ35" s="100">
        <v>1</v>
      </c>
      <c r="AK35" s="101">
        <v>0.1</v>
      </c>
      <c r="AL35" s="85">
        <v>0.1</v>
      </c>
      <c r="AM35" s="78" t="s">
        <v>965</v>
      </c>
      <c r="AN35" s="74"/>
      <c r="AO35" s="88"/>
      <c r="AP35" s="89"/>
      <c r="AQ35" s="90">
        <f t="shared" si="7"/>
        <v>0</v>
      </c>
      <c r="AR35" s="91"/>
      <c r="AS35" s="74"/>
    </row>
    <row r="36" spans="1:45" ht="141.75" x14ac:dyDescent="0.25">
      <c r="A36" s="77">
        <v>33</v>
      </c>
      <c r="B36" s="78" t="s">
        <v>6</v>
      </c>
      <c r="C36" s="78" t="s">
        <v>9</v>
      </c>
      <c r="D36" s="78" t="s">
        <v>59</v>
      </c>
      <c r="E36" s="77"/>
      <c r="F36" s="79"/>
      <c r="G36" s="80"/>
      <c r="H36" s="81">
        <f t="shared" si="0"/>
        <v>0</v>
      </c>
      <c r="I36" s="82"/>
      <c r="J36" s="77"/>
      <c r="K36" s="100">
        <v>1</v>
      </c>
      <c r="L36" s="101">
        <v>1</v>
      </c>
      <c r="M36" s="85">
        <f t="shared" si="1"/>
        <v>1</v>
      </c>
      <c r="N36" s="78"/>
      <c r="O36" s="77"/>
      <c r="P36" s="79"/>
      <c r="Q36" s="80"/>
      <c r="R36" s="81">
        <f t="shared" si="2"/>
        <v>0</v>
      </c>
      <c r="S36" s="82"/>
      <c r="T36" s="77"/>
      <c r="U36" s="79"/>
      <c r="V36" s="80"/>
      <c r="W36" s="81">
        <f t="shared" si="3"/>
        <v>0</v>
      </c>
      <c r="X36" s="82"/>
      <c r="Y36" s="77"/>
      <c r="Z36" s="79"/>
      <c r="AA36" s="80"/>
      <c r="AB36" s="81">
        <f t="shared" si="4"/>
        <v>0</v>
      </c>
      <c r="AC36" s="82"/>
      <c r="AD36" s="77"/>
      <c r="AE36" s="79"/>
      <c r="AF36" s="80"/>
      <c r="AG36" s="81">
        <f t="shared" si="5"/>
        <v>0</v>
      </c>
      <c r="AH36" s="82"/>
      <c r="AI36" s="77"/>
      <c r="AJ36" s="100">
        <v>1</v>
      </c>
      <c r="AK36" s="101">
        <v>0.5</v>
      </c>
      <c r="AL36" s="85">
        <v>0.5</v>
      </c>
      <c r="AM36" s="78" t="s">
        <v>612</v>
      </c>
      <c r="AN36" s="74"/>
      <c r="AO36" s="88"/>
      <c r="AP36" s="89"/>
      <c r="AQ36" s="90">
        <f t="shared" si="7"/>
        <v>0</v>
      </c>
      <c r="AR36" s="91"/>
      <c r="AS36" s="74"/>
    </row>
    <row r="37" spans="1:45" ht="126" x14ac:dyDescent="0.25">
      <c r="A37" s="77">
        <v>34</v>
      </c>
      <c r="B37" s="78" t="s">
        <v>6</v>
      </c>
      <c r="C37" s="78" t="s">
        <v>9</v>
      </c>
      <c r="D37" s="78" t="s">
        <v>60</v>
      </c>
      <c r="E37" s="77"/>
      <c r="F37" s="79"/>
      <c r="G37" s="80"/>
      <c r="H37" s="81">
        <f t="shared" si="0"/>
        <v>0</v>
      </c>
      <c r="I37" s="82"/>
      <c r="J37" s="77"/>
      <c r="K37" s="100">
        <v>1</v>
      </c>
      <c r="L37" s="101">
        <v>1</v>
      </c>
      <c r="M37" s="85">
        <f t="shared" si="1"/>
        <v>1</v>
      </c>
      <c r="N37" s="78" t="s">
        <v>701</v>
      </c>
      <c r="O37" s="77"/>
      <c r="P37" s="79"/>
      <c r="Q37" s="80"/>
      <c r="R37" s="81">
        <f t="shared" si="2"/>
        <v>0</v>
      </c>
      <c r="S37" s="82"/>
      <c r="T37" s="77"/>
      <c r="U37" s="79"/>
      <c r="V37" s="80"/>
      <c r="W37" s="81">
        <f t="shared" si="3"/>
        <v>0</v>
      </c>
      <c r="X37" s="82"/>
      <c r="Y37" s="77"/>
      <c r="Z37" s="79"/>
      <c r="AA37" s="80"/>
      <c r="AB37" s="81">
        <f t="shared" si="4"/>
        <v>0</v>
      </c>
      <c r="AC37" s="82"/>
      <c r="AD37" s="77"/>
      <c r="AE37" s="79"/>
      <c r="AF37" s="80"/>
      <c r="AG37" s="81">
        <f t="shared" si="5"/>
        <v>0</v>
      </c>
      <c r="AH37" s="82"/>
      <c r="AI37" s="77"/>
      <c r="AJ37" s="100">
        <v>1</v>
      </c>
      <c r="AK37" s="101">
        <v>1</v>
      </c>
      <c r="AL37" s="85">
        <f t="shared" si="6"/>
        <v>1</v>
      </c>
      <c r="AM37" s="78" t="s">
        <v>1011</v>
      </c>
      <c r="AN37" s="74"/>
      <c r="AO37" s="88"/>
      <c r="AP37" s="89"/>
      <c r="AQ37" s="90">
        <f t="shared" si="7"/>
        <v>0</v>
      </c>
      <c r="AR37" s="91"/>
      <c r="AS37" s="74"/>
    </row>
    <row r="38" spans="1:45" ht="141.75" x14ac:dyDescent="0.25">
      <c r="A38" s="77">
        <v>35</v>
      </c>
      <c r="B38" s="78" t="s">
        <v>6</v>
      </c>
      <c r="C38" s="78" t="s">
        <v>9</v>
      </c>
      <c r="D38" s="78" t="s">
        <v>61</v>
      </c>
      <c r="E38" s="77"/>
      <c r="F38" s="79"/>
      <c r="G38" s="80"/>
      <c r="H38" s="81">
        <f t="shared" si="0"/>
        <v>0</v>
      </c>
      <c r="I38" s="82"/>
      <c r="J38" s="77"/>
      <c r="K38" s="100">
        <v>1</v>
      </c>
      <c r="L38" s="101">
        <v>0.9</v>
      </c>
      <c r="M38" s="85">
        <f t="shared" si="1"/>
        <v>0.9</v>
      </c>
      <c r="N38" s="78" t="s">
        <v>647</v>
      </c>
      <c r="O38" s="77"/>
      <c r="P38" s="79"/>
      <c r="Q38" s="80"/>
      <c r="R38" s="81">
        <f t="shared" si="2"/>
        <v>0</v>
      </c>
      <c r="S38" s="82"/>
      <c r="T38" s="77"/>
      <c r="U38" s="79"/>
      <c r="V38" s="80"/>
      <c r="W38" s="81">
        <f t="shared" si="3"/>
        <v>0</v>
      </c>
      <c r="X38" s="82"/>
      <c r="Y38" s="77"/>
      <c r="Z38" s="79"/>
      <c r="AA38" s="80"/>
      <c r="AB38" s="81">
        <f t="shared" si="4"/>
        <v>0</v>
      </c>
      <c r="AC38" s="82"/>
      <c r="AD38" s="77"/>
      <c r="AE38" s="79"/>
      <c r="AF38" s="80"/>
      <c r="AG38" s="81">
        <f t="shared" si="5"/>
        <v>0</v>
      </c>
      <c r="AH38" s="82"/>
      <c r="AI38" s="77"/>
      <c r="AJ38" s="100">
        <v>1</v>
      </c>
      <c r="AK38" s="101">
        <v>0.1</v>
      </c>
      <c r="AL38" s="85">
        <f t="shared" si="6"/>
        <v>0.1</v>
      </c>
      <c r="AM38" s="78" t="s">
        <v>723</v>
      </c>
      <c r="AN38" s="74"/>
      <c r="AO38" s="88"/>
      <c r="AP38" s="89"/>
      <c r="AQ38" s="90">
        <f t="shared" si="7"/>
        <v>0</v>
      </c>
      <c r="AR38" s="91"/>
      <c r="AS38" s="74"/>
    </row>
    <row r="39" spans="1:45" ht="299.25" x14ac:dyDescent="0.25">
      <c r="A39" s="77">
        <v>36</v>
      </c>
      <c r="B39" s="78" t="s">
        <v>6</v>
      </c>
      <c r="C39" s="78" t="s">
        <v>9</v>
      </c>
      <c r="D39" s="78" t="s">
        <v>62</v>
      </c>
      <c r="E39" s="77"/>
      <c r="F39" s="79"/>
      <c r="G39" s="80"/>
      <c r="H39" s="81">
        <f t="shared" si="0"/>
        <v>0</v>
      </c>
      <c r="I39" s="82"/>
      <c r="J39" s="77"/>
      <c r="K39" s="100">
        <v>1</v>
      </c>
      <c r="L39" s="101">
        <v>0.9</v>
      </c>
      <c r="M39" s="85">
        <f t="shared" si="1"/>
        <v>0.9</v>
      </c>
      <c r="N39" s="78" t="s">
        <v>928</v>
      </c>
      <c r="O39" s="77"/>
      <c r="P39" s="79"/>
      <c r="Q39" s="80"/>
      <c r="R39" s="81">
        <f t="shared" si="2"/>
        <v>0</v>
      </c>
      <c r="S39" s="82"/>
      <c r="T39" s="77"/>
      <c r="U39" s="79"/>
      <c r="V39" s="80"/>
      <c r="W39" s="81">
        <f t="shared" si="3"/>
        <v>0</v>
      </c>
      <c r="X39" s="82"/>
      <c r="Y39" s="77"/>
      <c r="Z39" s="79"/>
      <c r="AA39" s="80"/>
      <c r="AB39" s="81">
        <f t="shared" si="4"/>
        <v>0</v>
      </c>
      <c r="AC39" s="82"/>
      <c r="AD39" s="77"/>
      <c r="AE39" s="79"/>
      <c r="AF39" s="80"/>
      <c r="AG39" s="81">
        <f t="shared" si="5"/>
        <v>0</v>
      </c>
      <c r="AH39" s="82"/>
      <c r="AI39" s="77"/>
      <c r="AJ39" s="100">
        <v>1</v>
      </c>
      <c r="AK39" s="101">
        <v>0.4</v>
      </c>
      <c r="AL39" s="85">
        <f t="shared" si="6"/>
        <v>0.4</v>
      </c>
      <c r="AM39" s="78" t="s">
        <v>675</v>
      </c>
      <c r="AN39" s="74"/>
      <c r="AO39" s="88"/>
      <c r="AP39" s="89"/>
      <c r="AQ39" s="90">
        <f t="shared" si="7"/>
        <v>0</v>
      </c>
      <c r="AR39" s="91"/>
      <c r="AS39" s="74"/>
    </row>
    <row r="40" spans="1:45" ht="110.25" x14ac:dyDescent="0.25">
      <c r="A40" s="77">
        <v>37</v>
      </c>
      <c r="B40" s="78" t="s">
        <v>6</v>
      </c>
      <c r="C40" s="78" t="s">
        <v>9</v>
      </c>
      <c r="D40" s="78" t="s">
        <v>63</v>
      </c>
      <c r="E40" s="77"/>
      <c r="F40" s="79"/>
      <c r="G40" s="80"/>
      <c r="H40" s="81">
        <f t="shared" si="0"/>
        <v>0</v>
      </c>
      <c r="I40" s="82"/>
      <c r="J40" s="77"/>
      <c r="K40" s="100">
        <v>1</v>
      </c>
      <c r="L40" s="101">
        <v>0.65</v>
      </c>
      <c r="M40" s="85">
        <f t="shared" si="1"/>
        <v>0.65</v>
      </c>
      <c r="N40" s="78" t="s">
        <v>1047</v>
      </c>
      <c r="O40" s="77"/>
      <c r="P40" s="79"/>
      <c r="Q40" s="80"/>
      <c r="R40" s="81">
        <f t="shared" si="2"/>
        <v>0</v>
      </c>
      <c r="S40" s="82"/>
      <c r="T40" s="77"/>
      <c r="U40" s="79"/>
      <c r="V40" s="80"/>
      <c r="W40" s="81">
        <f t="shared" si="3"/>
        <v>0</v>
      </c>
      <c r="X40" s="82"/>
      <c r="Y40" s="77"/>
      <c r="Z40" s="79"/>
      <c r="AA40" s="80"/>
      <c r="AB40" s="81">
        <f t="shared" si="4"/>
        <v>0</v>
      </c>
      <c r="AC40" s="82"/>
      <c r="AD40" s="77"/>
      <c r="AE40" s="79"/>
      <c r="AF40" s="80"/>
      <c r="AG40" s="81">
        <f t="shared" si="5"/>
        <v>0</v>
      </c>
      <c r="AH40" s="82"/>
      <c r="AI40" s="77"/>
      <c r="AJ40" s="100">
        <v>1</v>
      </c>
      <c r="AK40" s="101">
        <v>0.99</v>
      </c>
      <c r="AL40" s="85">
        <f t="shared" si="6"/>
        <v>0.99</v>
      </c>
      <c r="AM40" s="78" t="s">
        <v>616</v>
      </c>
      <c r="AN40" s="74"/>
      <c r="AO40" s="88"/>
      <c r="AP40" s="89"/>
      <c r="AQ40" s="90">
        <f t="shared" si="7"/>
        <v>0</v>
      </c>
      <c r="AR40" s="91"/>
      <c r="AS40" s="74"/>
    </row>
    <row r="41" spans="1:45" ht="189" x14ac:dyDescent="0.25">
      <c r="A41" s="77">
        <v>38</v>
      </c>
      <c r="B41" s="78" t="s">
        <v>10</v>
      </c>
      <c r="C41" s="78" t="s">
        <v>11</v>
      </c>
      <c r="D41" s="78" t="s">
        <v>65</v>
      </c>
      <c r="E41" s="77"/>
      <c r="F41" s="79"/>
      <c r="G41" s="80"/>
      <c r="H41" s="81">
        <f t="shared" si="0"/>
        <v>0</v>
      </c>
      <c r="I41" s="82"/>
      <c r="J41" s="77"/>
      <c r="K41" s="100">
        <v>1</v>
      </c>
      <c r="L41" s="101">
        <v>0.93</v>
      </c>
      <c r="M41" s="85">
        <f t="shared" si="1"/>
        <v>0.93</v>
      </c>
      <c r="N41" s="78" t="s">
        <v>1555</v>
      </c>
      <c r="O41" s="77"/>
      <c r="P41" s="79"/>
      <c r="Q41" s="80"/>
      <c r="R41" s="81">
        <f t="shared" si="2"/>
        <v>0</v>
      </c>
      <c r="S41" s="82"/>
      <c r="T41" s="77"/>
      <c r="U41" s="79"/>
      <c r="V41" s="80"/>
      <c r="W41" s="81">
        <f t="shared" si="3"/>
        <v>0</v>
      </c>
      <c r="X41" s="82"/>
      <c r="Y41" s="77"/>
      <c r="Z41" s="79"/>
      <c r="AA41" s="80"/>
      <c r="AB41" s="81">
        <f t="shared" si="4"/>
        <v>0</v>
      </c>
      <c r="AC41" s="82"/>
      <c r="AD41" s="77"/>
      <c r="AE41" s="79"/>
      <c r="AF41" s="80"/>
      <c r="AG41" s="81">
        <f t="shared" si="5"/>
        <v>0</v>
      </c>
      <c r="AH41" s="82"/>
      <c r="AI41" s="77"/>
      <c r="AJ41" s="100">
        <v>1</v>
      </c>
      <c r="AK41" s="101">
        <v>0.75</v>
      </c>
      <c r="AL41" s="85">
        <f t="shared" si="6"/>
        <v>0.75</v>
      </c>
      <c r="AM41" s="78" t="s">
        <v>1556</v>
      </c>
      <c r="AN41" s="74"/>
      <c r="AO41" s="88"/>
      <c r="AP41" s="89"/>
      <c r="AQ41" s="90">
        <f t="shared" si="7"/>
        <v>0</v>
      </c>
      <c r="AR41" s="91"/>
      <c r="AS41" s="74"/>
    </row>
    <row r="42" spans="1:45" ht="78.75" x14ac:dyDescent="0.25">
      <c r="A42" s="77">
        <v>39</v>
      </c>
      <c r="B42" s="78" t="s">
        <v>10</v>
      </c>
      <c r="C42" s="78" t="s">
        <v>11</v>
      </c>
      <c r="D42" s="78" t="s">
        <v>66</v>
      </c>
      <c r="E42" s="77"/>
      <c r="F42" s="79"/>
      <c r="G42" s="80"/>
      <c r="H42" s="81">
        <f t="shared" si="0"/>
        <v>0</v>
      </c>
      <c r="I42" s="82"/>
      <c r="J42" s="77"/>
      <c r="K42" s="100">
        <v>1</v>
      </c>
      <c r="L42" s="101">
        <v>1</v>
      </c>
      <c r="M42" s="85">
        <f t="shared" si="1"/>
        <v>1</v>
      </c>
      <c r="N42" s="78" t="s">
        <v>1067</v>
      </c>
      <c r="O42" s="77"/>
      <c r="P42" s="79"/>
      <c r="Q42" s="80"/>
      <c r="R42" s="81">
        <f t="shared" si="2"/>
        <v>0</v>
      </c>
      <c r="S42" s="82"/>
      <c r="T42" s="77"/>
      <c r="U42" s="79"/>
      <c r="V42" s="80"/>
      <c r="W42" s="81">
        <f t="shared" si="3"/>
        <v>0</v>
      </c>
      <c r="X42" s="82"/>
      <c r="Y42" s="77"/>
      <c r="Z42" s="79"/>
      <c r="AA42" s="80"/>
      <c r="AB42" s="81">
        <f t="shared" si="4"/>
        <v>0</v>
      </c>
      <c r="AC42" s="82"/>
      <c r="AD42" s="77"/>
      <c r="AE42" s="79"/>
      <c r="AF42" s="80"/>
      <c r="AG42" s="81">
        <f t="shared" si="5"/>
        <v>0</v>
      </c>
      <c r="AH42" s="82"/>
      <c r="AI42" s="77"/>
      <c r="AJ42" s="100">
        <v>1</v>
      </c>
      <c r="AK42" s="101">
        <v>1</v>
      </c>
      <c r="AL42" s="85">
        <f t="shared" si="6"/>
        <v>1</v>
      </c>
      <c r="AM42" s="78" t="s">
        <v>1539</v>
      </c>
      <c r="AN42" s="74"/>
      <c r="AO42" s="88"/>
      <c r="AP42" s="89"/>
      <c r="AQ42" s="90">
        <f t="shared" si="7"/>
        <v>0</v>
      </c>
      <c r="AR42" s="91"/>
      <c r="AS42" s="74"/>
    </row>
    <row r="43" spans="1:45" ht="31.5" x14ac:dyDescent="0.25">
      <c r="A43" s="77">
        <v>40</v>
      </c>
      <c r="B43" s="78" t="s">
        <v>10</v>
      </c>
      <c r="C43" s="78" t="s">
        <v>11</v>
      </c>
      <c r="D43" s="78" t="s">
        <v>67</v>
      </c>
      <c r="E43" s="77"/>
      <c r="F43" s="79"/>
      <c r="G43" s="80"/>
      <c r="H43" s="81">
        <f t="shared" si="0"/>
        <v>0</v>
      </c>
      <c r="I43" s="82"/>
      <c r="J43" s="77"/>
      <c r="K43" s="100">
        <v>1</v>
      </c>
      <c r="L43" s="101">
        <v>1</v>
      </c>
      <c r="M43" s="85">
        <f t="shared" si="1"/>
        <v>1</v>
      </c>
      <c r="N43" s="78" t="s">
        <v>1080</v>
      </c>
      <c r="O43" s="77"/>
      <c r="P43" s="79"/>
      <c r="Q43" s="80"/>
      <c r="R43" s="81">
        <f t="shared" si="2"/>
        <v>0</v>
      </c>
      <c r="S43" s="82"/>
      <c r="T43" s="77"/>
      <c r="U43" s="79"/>
      <c r="V43" s="80"/>
      <c r="W43" s="81">
        <f t="shared" si="3"/>
        <v>0</v>
      </c>
      <c r="X43" s="82"/>
      <c r="Y43" s="77"/>
      <c r="Z43" s="79"/>
      <c r="AA43" s="80"/>
      <c r="AB43" s="81">
        <f t="shared" si="4"/>
        <v>0</v>
      </c>
      <c r="AC43" s="82"/>
      <c r="AD43" s="77"/>
      <c r="AE43" s="79"/>
      <c r="AF43" s="80"/>
      <c r="AG43" s="81">
        <f t="shared" si="5"/>
        <v>0</v>
      </c>
      <c r="AH43" s="82"/>
      <c r="AI43" s="77"/>
      <c r="AJ43" s="100">
        <v>1</v>
      </c>
      <c r="AK43" s="101">
        <v>0.5</v>
      </c>
      <c r="AL43" s="85">
        <f t="shared" si="6"/>
        <v>0.5</v>
      </c>
      <c r="AM43" s="78" t="s">
        <v>1520</v>
      </c>
      <c r="AN43" s="74"/>
      <c r="AO43" s="88"/>
      <c r="AP43" s="89"/>
      <c r="AQ43" s="90">
        <f t="shared" si="7"/>
        <v>0</v>
      </c>
      <c r="AR43" s="91"/>
      <c r="AS43" s="74"/>
    </row>
    <row r="44" spans="1:45" ht="126" x14ac:dyDescent="0.25">
      <c r="A44" s="77">
        <v>41</v>
      </c>
      <c r="B44" s="78" t="s">
        <v>10</v>
      </c>
      <c r="C44" s="78" t="s">
        <v>11</v>
      </c>
      <c r="D44" s="78" t="s">
        <v>68</v>
      </c>
      <c r="E44" s="77"/>
      <c r="F44" s="79"/>
      <c r="G44" s="80"/>
      <c r="H44" s="81">
        <f t="shared" si="0"/>
        <v>0</v>
      </c>
      <c r="I44" s="82"/>
      <c r="J44" s="77"/>
      <c r="K44" s="100">
        <v>1</v>
      </c>
      <c r="L44" s="101">
        <v>1</v>
      </c>
      <c r="M44" s="85">
        <f t="shared" si="1"/>
        <v>1</v>
      </c>
      <c r="N44" s="78" t="s">
        <v>1058</v>
      </c>
      <c r="O44" s="77"/>
      <c r="P44" s="79"/>
      <c r="Q44" s="80"/>
      <c r="R44" s="81">
        <f t="shared" si="2"/>
        <v>0</v>
      </c>
      <c r="S44" s="82"/>
      <c r="T44" s="77"/>
      <c r="U44" s="79"/>
      <c r="V44" s="80"/>
      <c r="W44" s="81">
        <f t="shared" si="3"/>
        <v>0</v>
      </c>
      <c r="X44" s="82"/>
      <c r="Y44" s="77"/>
      <c r="Z44" s="79"/>
      <c r="AA44" s="80"/>
      <c r="AB44" s="81">
        <f t="shared" si="4"/>
        <v>0</v>
      </c>
      <c r="AC44" s="82"/>
      <c r="AD44" s="77"/>
      <c r="AE44" s="79"/>
      <c r="AF44" s="80"/>
      <c r="AG44" s="81">
        <f t="shared" si="5"/>
        <v>0</v>
      </c>
      <c r="AH44" s="82"/>
      <c r="AI44" s="77"/>
      <c r="AJ44" s="100">
        <v>1</v>
      </c>
      <c r="AK44" s="101">
        <v>0.77</v>
      </c>
      <c r="AL44" s="85">
        <f t="shared" si="6"/>
        <v>0.77</v>
      </c>
      <c r="AM44" s="78" t="s">
        <v>1550</v>
      </c>
      <c r="AN44" s="74"/>
      <c r="AO44" s="88"/>
      <c r="AP44" s="89"/>
      <c r="AQ44" s="90">
        <f t="shared" si="7"/>
        <v>0</v>
      </c>
      <c r="AR44" s="91"/>
      <c r="AS44" s="74"/>
    </row>
    <row r="45" spans="1:45" ht="47.25" x14ac:dyDescent="0.25">
      <c r="A45" s="77">
        <v>42</v>
      </c>
      <c r="B45" s="78" t="s">
        <v>10</v>
      </c>
      <c r="C45" s="78" t="s">
        <v>11</v>
      </c>
      <c r="D45" s="78" t="s">
        <v>69</v>
      </c>
      <c r="E45" s="77"/>
      <c r="F45" s="79"/>
      <c r="G45" s="80"/>
      <c r="H45" s="81">
        <f t="shared" si="0"/>
        <v>0</v>
      </c>
      <c r="I45" s="82"/>
      <c r="J45" s="77"/>
      <c r="K45" s="100">
        <v>1</v>
      </c>
      <c r="L45" s="101">
        <v>1</v>
      </c>
      <c r="M45" s="85">
        <f t="shared" si="1"/>
        <v>1</v>
      </c>
      <c r="N45" s="78" t="s">
        <v>1060</v>
      </c>
      <c r="O45" s="77"/>
      <c r="P45" s="79"/>
      <c r="Q45" s="80"/>
      <c r="R45" s="81">
        <f t="shared" si="2"/>
        <v>0</v>
      </c>
      <c r="S45" s="82"/>
      <c r="T45" s="77"/>
      <c r="U45" s="79"/>
      <c r="V45" s="80"/>
      <c r="W45" s="81">
        <f t="shared" si="3"/>
        <v>0</v>
      </c>
      <c r="X45" s="82"/>
      <c r="Y45" s="77"/>
      <c r="Z45" s="79"/>
      <c r="AA45" s="80"/>
      <c r="AB45" s="81">
        <f t="shared" si="4"/>
        <v>0</v>
      </c>
      <c r="AC45" s="82"/>
      <c r="AD45" s="77"/>
      <c r="AE45" s="79"/>
      <c r="AF45" s="80"/>
      <c r="AG45" s="81">
        <f t="shared" si="5"/>
        <v>0</v>
      </c>
      <c r="AH45" s="82"/>
      <c r="AI45" s="77"/>
      <c r="AJ45" s="100">
        <v>1</v>
      </c>
      <c r="AK45" s="101">
        <v>0.7</v>
      </c>
      <c r="AL45" s="85">
        <f t="shared" si="6"/>
        <v>0.7</v>
      </c>
      <c r="AM45" s="78" t="s">
        <v>1409</v>
      </c>
      <c r="AN45" s="74"/>
      <c r="AO45" s="88"/>
      <c r="AP45" s="89"/>
      <c r="AQ45" s="90">
        <f t="shared" si="7"/>
        <v>0</v>
      </c>
      <c r="AR45" s="91"/>
      <c r="AS45" s="74"/>
    </row>
    <row r="46" spans="1:45" ht="173.25" x14ac:dyDescent="0.25">
      <c r="A46" s="77">
        <v>43</v>
      </c>
      <c r="B46" s="78" t="s">
        <v>10</v>
      </c>
      <c r="C46" s="78" t="s">
        <v>11</v>
      </c>
      <c r="D46" s="78" t="s">
        <v>70</v>
      </c>
      <c r="E46" s="77"/>
      <c r="F46" s="79"/>
      <c r="G46" s="80"/>
      <c r="H46" s="81">
        <f t="shared" si="0"/>
        <v>0</v>
      </c>
      <c r="I46" s="82"/>
      <c r="J46" s="77"/>
      <c r="K46" s="100">
        <v>1</v>
      </c>
      <c r="L46" s="101">
        <v>1</v>
      </c>
      <c r="M46" s="85">
        <f t="shared" si="1"/>
        <v>1</v>
      </c>
      <c r="N46" s="78" t="s">
        <v>1081</v>
      </c>
      <c r="O46" s="77"/>
      <c r="P46" s="79"/>
      <c r="Q46" s="80"/>
      <c r="R46" s="81">
        <f t="shared" si="2"/>
        <v>0</v>
      </c>
      <c r="S46" s="82"/>
      <c r="T46" s="77"/>
      <c r="U46" s="79"/>
      <c r="V46" s="80"/>
      <c r="W46" s="81">
        <f t="shared" si="3"/>
        <v>0</v>
      </c>
      <c r="X46" s="82"/>
      <c r="Y46" s="77"/>
      <c r="Z46" s="79"/>
      <c r="AA46" s="80"/>
      <c r="AB46" s="81">
        <f t="shared" si="4"/>
        <v>0</v>
      </c>
      <c r="AC46" s="82"/>
      <c r="AD46" s="77"/>
      <c r="AE46" s="79"/>
      <c r="AF46" s="80"/>
      <c r="AG46" s="81">
        <f t="shared" si="5"/>
        <v>0</v>
      </c>
      <c r="AH46" s="82"/>
      <c r="AI46" s="77"/>
      <c r="AJ46" s="100">
        <v>1</v>
      </c>
      <c r="AK46" s="101">
        <v>0.67</v>
      </c>
      <c r="AL46" s="85">
        <f t="shared" si="6"/>
        <v>0.67</v>
      </c>
      <c r="AM46" s="78" t="s">
        <v>1557</v>
      </c>
      <c r="AN46" s="74"/>
      <c r="AO46" s="88"/>
      <c r="AP46" s="89"/>
      <c r="AQ46" s="90">
        <f t="shared" si="7"/>
        <v>0</v>
      </c>
      <c r="AR46" s="91"/>
      <c r="AS46" s="74"/>
    </row>
    <row r="47" spans="1:45" ht="63" x14ac:dyDescent="0.25">
      <c r="A47" s="77">
        <v>44</v>
      </c>
      <c r="B47" s="78" t="s">
        <v>10</v>
      </c>
      <c r="C47" s="78" t="s">
        <v>11</v>
      </c>
      <c r="D47" s="78" t="s">
        <v>12</v>
      </c>
      <c r="E47" s="77"/>
      <c r="F47" s="79"/>
      <c r="G47" s="80"/>
      <c r="H47" s="81">
        <f t="shared" si="0"/>
        <v>0</v>
      </c>
      <c r="I47" s="82"/>
      <c r="J47" s="77"/>
      <c r="K47" s="100">
        <v>1</v>
      </c>
      <c r="L47" s="101">
        <v>1</v>
      </c>
      <c r="M47" s="85">
        <f t="shared" si="1"/>
        <v>1</v>
      </c>
      <c r="N47" s="78" t="s">
        <v>1062</v>
      </c>
      <c r="O47" s="77"/>
      <c r="P47" s="79"/>
      <c r="Q47" s="80"/>
      <c r="R47" s="81">
        <f t="shared" si="2"/>
        <v>0</v>
      </c>
      <c r="S47" s="82"/>
      <c r="T47" s="77"/>
      <c r="U47" s="79"/>
      <c r="V47" s="80"/>
      <c r="W47" s="81">
        <f t="shared" si="3"/>
        <v>0</v>
      </c>
      <c r="X47" s="82"/>
      <c r="Y47" s="77"/>
      <c r="Z47" s="79"/>
      <c r="AA47" s="80"/>
      <c r="AB47" s="81">
        <f t="shared" si="4"/>
        <v>0</v>
      </c>
      <c r="AC47" s="82"/>
      <c r="AD47" s="77"/>
      <c r="AE47" s="79"/>
      <c r="AF47" s="80"/>
      <c r="AG47" s="81">
        <f t="shared" si="5"/>
        <v>0</v>
      </c>
      <c r="AH47" s="82"/>
      <c r="AI47" s="77"/>
      <c r="AJ47" s="100">
        <v>1</v>
      </c>
      <c r="AK47" s="101">
        <v>0.5</v>
      </c>
      <c r="AL47" s="85">
        <f t="shared" si="6"/>
        <v>0.5</v>
      </c>
      <c r="AM47" s="78" t="s">
        <v>1414</v>
      </c>
      <c r="AN47" s="74"/>
      <c r="AO47" s="88"/>
      <c r="AP47" s="89"/>
      <c r="AQ47" s="90">
        <f t="shared" si="7"/>
        <v>0</v>
      </c>
      <c r="AR47" s="91"/>
      <c r="AS47" s="74"/>
    </row>
    <row r="48" spans="1:45" ht="126" x14ac:dyDescent="0.25">
      <c r="A48" s="77">
        <v>45</v>
      </c>
      <c r="B48" s="78" t="s">
        <v>10</v>
      </c>
      <c r="C48" s="78" t="s">
        <v>71</v>
      </c>
      <c r="D48" s="78" t="s">
        <v>72</v>
      </c>
      <c r="E48" s="77"/>
      <c r="F48" s="79"/>
      <c r="G48" s="80"/>
      <c r="H48" s="81">
        <f t="shared" si="0"/>
        <v>0</v>
      </c>
      <c r="I48" s="82"/>
      <c r="J48" s="77"/>
      <c r="K48" s="100">
        <v>1</v>
      </c>
      <c r="L48" s="101">
        <v>1</v>
      </c>
      <c r="M48" s="85">
        <f t="shared" si="1"/>
        <v>1</v>
      </c>
      <c r="N48" s="78" t="s">
        <v>1082</v>
      </c>
      <c r="O48" s="77"/>
      <c r="P48" s="79"/>
      <c r="Q48" s="80"/>
      <c r="R48" s="81">
        <f t="shared" si="2"/>
        <v>0</v>
      </c>
      <c r="S48" s="82"/>
      <c r="T48" s="77"/>
      <c r="U48" s="79"/>
      <c r="V48" s="80"/>
      <c r="W48" s="81">
        <f t="shared" si="3"/>
        <v>0</v>
      </c>
      <c r="X48" s="82"/>
      <c r="Y48" s="77"/>
      <c r="Z48" s="79"/>
      <c r="AA48" s="80"/>
      <c r="AB48" s="81">
        <f t="shared" si="4"/>
        <v>0</v>
      </c>
      <c r="AC48" s="82"/>
      <c r="AD48" s="77"/>
      <c r="AE48" s="79"/>
      <c r="AF48" s="80"/>
      <c r="AG48" s="81">
        <f t="shared" si="5"/>
        <v>0</v>
      </c>
      <c r="AH48" s="82"/>
      <c r="AI48" s="77"/>
      <c r="AJ48" s="100">
        <v>1</v>
      </c>
      <c r="AK48" s="101">
        <v>0.65</v>
      </c>
      <c r="AL48" s="85">
        <f t="shared" si="6"/>
        <v>0.65</v>
      </c>
      <c r="AM48" s="78" t="s">
        <v>1533</v>
      </c>
      <c r="AN48" s="74"/>
      <c r="AO48" s="88"/>
      <c r="AP48" s="89"/>
      <c r="AQ48" s="90">
        <f t="shared" si="7"/>
        <v>0</v>
      </c>
      <c r="AR48" s="91"/>
      <c r="AS48" s="74"/>
    </row>
    <row r="49" spans="1:45" ht="47.25" x14ac:dyDescent="0.25">
      <c r="A49" s="77">
        <v>46</v>
      </c>
      <c r="B49" s="78" t="s">
        <v>10</v>
      </c>
      <c r="C49" s="78" t="s">
        <v>11</v>
      </c>
      <c r="D49" s="78" t="s">
        <v>13</v>
      </c>
      <c r="E49" s="77"/>
      <c r="F49" s="79"/>
      <c r="G49" s="80"/>
      <c r="H49" s="81">
        <f t="shared" si="0"/>
        <v>0</v>
      </c>
      <c r="I49" s="82"/>
      <c r="J49" s="77"/>
      <c r="K49" s="100">
        <v>1</v>
      </c>
      <c r="L49" s="101">
        <v>1</v>
      </c>
      <c r="M49" s="85">
        <f t="shared" si="1"/>
        <v>1</v>
      </c>
      <c r="N49" s="78" t="s">
        <v>1060</v>
      </c>
      <c r="O49" s="77"/>
      <c r="P49" s="79"/>
      <c r="Q49" s="80"/>
      <c r="R49" s="81">
        <f t="shared" si="2"/>
        <v>0</v>
      </c>
      <c r="S49" s="82"/>
      <c r="T49" s="77"/>
      <c r="U49" s="79"/>
      <c r="V49" s="80"/>
      <c r="W49" s="81">
        <f t="shared" si="3"/>
        <v>0</v>
      </c>
      <c r="X49" s="82"/>
      <c r="Y49" s="77"/>
      <c r="Z49" s="79"/>
      <c r="AA49" s="80"/>
      <c r="AB49" s="81">
        <f t="shared" si="4"/>
        <v>0</v>
      </c>
      <c r="AC49" s="82"/>
      <c r="AD49" s="77"/>
      <c r="AE49" s="79"/>
      <c r="AF49" s="80"/>
      <c r="AG49" s="81">
        <f t="shared" si="5"/>
        <v>0</v>
      </c>
      <c r="AH49" s="82"/>
      <c r="AI49" s="77"/>
      <c r="AJ49" s="100">
        <v>1</v>
      </c>
      <c r="AK49" s="101">
        <v>1</v>
      </c>
      <c r="AL49" s="85">
        <f t="shared" si="6"/>
        <v>1</v>
      </c>
      <c r="AM49" s="78" t="s">
        <v>1072</v>
      </c>
      <c r="AN49" s="74"/>
      <c r="AO49" s="88"/>
      <c r="AP49" s="89"/>
      <c r="AQ49" s="90">
        <f t="shared" si="7"/>
        <v>0</v>
      </c>
      <c r="AR49" s="91"/>
      <c r="AS49" s="74"/>
    </row>
    <row r="50" spans="1:45" ht="94.5" x14ac:dyDescent="0.25">
      <c r="A50" s="77">
        <v>47</v>
      </c>
      <c r="B50" s="78" t="s">
        <v>14</v>
      </c>
      <c r="C50" s="78" t="s">
        <v>14</v>
      </c>
      <c r="D50" s="78" t="s">
        <v>15</v>
      </c>
      <c r="E50" s="77"/>
      <c r="F50" s="79"/>
      <c r="G50" s="80"/>
      <c r="H50" s="81">
        <f t="shared" si="0"/>
        <v>0</v>
      </c>
      <c r="I50" s="82"/>
      <c r="J50" s="77"/>
      <c r="K50" s="100">
        <v>1</v>
      </c>
      <c r="L50" s="101">
        <v>1</v>
      </c>
      <c r="M50" s="85">
        <f t="shared" si="1"/>
        <v>1</v>
      </c>
      <c r="N50" s="78" t="s">
        <v>1087</v>
      </c>
      <c r="O50" s="77"/>
      <c r="P50" s="79"/>
      <c r="Q50" s="80"/>
      <c r="R50" s="81">
        <f t="shared" si="2"/>
        <v>0</v>
      </c>
      <c r="S50" s="82"/>
      <c r="T50" s="77"/>
      <c r="U50" s="79"/>
      <c r="V50" s="80"/>
      <c r="W50" s="81">
        <f t="shared" si="3"/>
        <v>0</v>
      </c>
      <c r="X50" s="82"/>
      <c r="Y50" s="77"/>
      <c r="Z50" s="79"/>
      <c r="AA50" s="80"/>
      <c r="AB50" s="81">
        <f t="shared" si="4"/>
        <v>0</v>
      </c>
      <c r="AC50" s="82"/>
      <c r="AD50" s="77"/>
      <c r="AE50" s="79"/>
      <c r="AF50" s="80"/>
      <c r="AG50" s="81">
        <f t="shared" si="5"/>
        <v>0</v>
      </c>
      <c r="AH50" s="82"/>
      <c r="AI50" s="77"/>
      <c r="AJ50" s="100">
        <v>1</v>
      </c>
      <c r="AK50" s="101">
        <v>0.9</v>
      </c>
      <c r="AL50" s="85">
        <f t="shared" si="6"/>
        <v>0.9</v>
      </c>
      <c r="AM50" s="78" t="s">
        <v>1133</v>
      </c>
      <c r="AN50" s="74"/>
      <c r="AO50" s="88"/>
      <c r="AP50" s="89"/>
      <c r="AQ50" s="90">
        <f t="shared" si="7"/>
        <v>0</v>
      </c>
      <c r="AR50" s="91"/>
      <c r="AS50" s="74"/>
    </row>
    <row r="51" spans="1:45" ht="299.25" x14ac:dyDescent="0.25">
      <c r="A51" s="77">
        <v>48</v>
      </c>
      <c r="B51" s="78" t="s">
        <v>14</v>
      </c>
      <c r="C51" s="78" t="s">
        <v>14</v>
      </c>
      <c r="D51" s="78" t="s">
        <v>73</v>
      </c>
      <c r="E51" s="77"/>
      <c r="F51" s="79"/>
      <c r="G51" s="80"/>
      <c r="H51" s="81">
        <f t="shared" si="0"/>
        <v>0</v>
      </c>
      <c r="I51" s="82"/>
      <c r="J51" s="77"/>
      <c r="K51" s="100">
        <v>1</v>
      </c>
      <c r="L51" s="101">
        <v>0.85</v>
      </c>
      <c r="M51" s="85">
        <f t="shared" si="1"/>
        <v>0.85</v>
      </c>
      <c r="N51" s="78" t="s">
        <v>1115</v>
      </c>
      <c r="O51" s="77"/>
      <c r="P51" s="79"/>
      <c r="Q51" s="80"/>
      <c r="R51" s="81">
        <f t="shared" si="2"/>
        <v>0</v>
      </c>
      <c r="S51" s="82"/>
      <c r="T51" s="77"/>
      <c r="U51" s="79"/>
      <c r="V51" s="80"/>
      <c r="W51" s="81">
        <f t="shared" si="3"/>
        <v>0</v>
      </c>
      <c r="X51" s="82"/>
      <c r="Y51" s="77"/>
      <c r="Z51" s="79"/>
      <c r="AA51" s="80"/>
      <c r="AB51" s="81">
        <f t="shared" si="4"/>
        <v>0</v>
      </c>
      <c r="AC51" s="82"/>
      <c r="AD51" s="77"/>
      <c r="AE51" s="79"/>
      <c r="AF51" s="80"/>
      <c r="AG51" s="81">
        <f t="shared" si="5"/>
        <v>0</v>
      </c>
      <c r="AH51" s="82"/>
      <c r="AI51" s="77"/>
      <c r="AJ51" s="100">
        <v>1</v>
      </c>
      <c r="AK51" s="101">
        <v>0.2</v>
      </c>
      <c r="AL51" s="85">
        <f t="shared" si="6"/>
        <v>0.2</v>
      </c>
      <c r="AM51" s="78" t="s">
        <v>1134</v>
      </c>
      <c r="AN51" s="74"/>
      <c r="AO51" s="88"/>
      <c r="AP51" s="89"/>
      <c r="AQ51" s="90">
        <f t="shared" si="7"/>
        <v>0</v>
      </c>
      <c r="AR51" s="91"/>
      <c r="AS51" s="74"/>
    </row>
    <row r="52" spans="1:45" ht="220.5" x14ac:dyDescent="0.25">
      <c r="A52" s="77">
        <v>49</v>
      </c>
      <c r="B52" s="78" t="s">
        <v>14</v>
      </c>
      <c r="C52" s="78" t="s">
        <v>14</v>
      </c>
      <c r="D52" s="78" t="s">
        <v>74</v>
      </c>
      <c r="E52" s="77"/>
      <c r="F52" s="79"/>
      <c r="G52" s="80"/>
      <c r="H52" s="81">
        <f t="shared" si="0"/>
        <v>0</v>
      </c>
      <c r="I52" s="82"/>
      <c r="J52" s="77"/>
      <c r="K52" s="100">
        <v>1</v>
      </c>
      <c r="L52" s="101">
        <v>0.7</v>
      </c>
      <c r="M52" s="85">
        <f t="shared" si="1"/>
        <v>0.7</v>
      </c>
      <c r="N52" s="78" t="s">
        <v>1177</v>
      </c>
      <c r="O52" s="77"/>
      <c r="P52" s="79"/>
      <c r="Q52" s="80"/>
      <c r="R52" s="81">
        <f t="shared" si="2"/>
        <v>0</v>
      </c>
      <c r="S52" s="82"/>
      <c r="T52" s="77"/>
      <c r="U52" s="79"/>
      <c r="V52" s="80"/>
      <c r="W52" s="81">
        <f t="shared" si="3"/>
        <v>0</v>
      </c>
      <c r="X52" s="82"/>
      <c r="Y52" s="77"/>
      <c r="Z52" s="79"/>
      <c r="AA52" s="80"/>
      <c r="AB52" s="81">
        <f t="shared" si="4"/>
        <v>0</v>
      </c>
      <c r="AC52" s="82"/>
      <c r="AD52" s="77"/>
      <c r="AE52" s="79"/>
      <c r="AF52" s="80"/>
      <c r="AG52" s="81">
        <f t="shared" si="5"/>
        <v>0</v>
      </c>
      <c r="AH52" s="82"/>
      <c r="AI52" s="77"/>
      <c r="AJ52" s="100">
        <v>1</v>
      </c>
      <c r="AK52" s="101">
        <v>0.2</v>
      </c>
      <c r="AL52" s="85">
        <f t="shared" si="6"/>
        <v>0.2</v>
      </c>
      <c r="AM52" s="78" t="s">
        <v>1178</v>
      </c>
      <c r="AN52" s="74"/>
      <c r="AO52" s="88"/>
      <c r="AP52" s="89"/>
      <c r="AQ52" s="90">
        <f t="shared" si="7"/>
        <v>0</v>
      </c>
      <c r="AR52" s="91"/>
      <c r="AS52" s="74"/>
    </row>
    <row r="53" spans="1:45" ht="94.5" x14ac:dyDescent="0.25">
      <c r="A53" s="77">
        <v>50</v>
      </c>
      <c r="B53" s="78" t="s">
        <v>14</v>
      </c>
      <c r="C53" s="78" t="s">
        <v>14</v>
      </c>
      <c r="D53" s="78" t="s">
        <v>75</v>
      </c>
      <c r="E53" s="77"/>
      <c r="F53" s="79"/>
      <c r="G53" s="80"/>
      <c r="H53" s="81">
        <f t="shared" si="0"/>
        <v>0</v>
      </c>
      <c r="I53" s="82"/>
      <c r="J53" s="77"/>
      <c r="K53" s="100">
        <v>1</v>
      </c>
      <c r="L53" s="101">
        <v>1</v>
      </c>
      <c r="M53" s="85">
        <f t="shared" si="1"/>
        <v>1</v>
      </c>
      <c r="N53" s="78" t="s">
        <v>1087</v>
      </c>
      <c r="O53" s="77"/>
      <c r="P53" s="79"/>
      <c r="Q53" s="80"/>
      <c r="R53" s="81">
        <f t="shared" si="2"/>
        <v>0</v>
      </c>
      <c r="S53" s="82"/>
      <c r="T53" s="77"/>
      <c r="U53" s="79"/>
      <c r="V53" s="80"/>
      <c r="W53" s="81">
        <f t="shared" si="3"/>
        <v>0</v>
      </c>
      <c r="X53" s="82"/>
      <c r="Y53" s="77"/>
      <c r="Z53" s="79"/>
      <c r="AA53" s="80"/>
      <c r="AB53" s="81">
        <f t="shared" si="4"/>
        <v>0</v>
      </c>
      <c r="AC53" s="82"/>
      <c r="AD53" s="77"/>
      <c r="AE53" s="79"/>
      <c r="AF53" s="80"/>
      <c r="AG53" s="81">
        <f t="shared" si="5"/>
        <v>0</v>
      </c>
      <c r="AH53" s="82"/>
      <c r="AI53" s="77"/>
      <c r="AJ53" s="100">
        <v>1</v>
      </c>
      <c r="AK53" s="101">
        <v>0.85</v>
      </c>
      <c r="AL53" s="85">
        <f t="shared" si="6"/>
        <v>0.85</v>
      </c>
      <c r="AM53" s="78" t="s">
        <v>1136</v>
      </c>
      <c r="AN53" s="74"/>
      <c r="AO53" s="88"/>
      <c r="AP53" s="89"/>
      <c r="AQ53" s="90">
        <f t="shared" si="7"/>
        <v>0</v>
      </c>
      <c r="AR53" s="91"/>
      <c r="AS53" s="74"/>
    </row>
    <row r="54" spans="1:45" ht="78.75" x14ac:dyDescent="0.25">
      <c r="A54" s="77">
        <v>51</v>
      </c>
      <c r="B54" s="78" t="s">
        <v>14</v>
      </c>
      <c r="C54" s="78" t="s">
        <v>14</v>
      </c>
      <c r="D54" s="78" t="s">
        <v>76</v>
      </c>
      <c r="E54" s="77"/>
      <c r="F54" s="79"/>
      <c r="G54" s="80"/>
      <c r="H54" s="81">
        <f t="shared" si="0"/>
        <v>0</v>
      </c>
      <c r="I54" s="82"/>
      <c r="J54" s="77"/>
      <c r="K54" s="100">
        <v>1</v>
      </c>
      <c r="L54" s="101">
        <v>1</v>
      </c>
      <c r="M54" s="85">
        <f t="shared" si="1"/>
        <v>1</v>
      </c>
      <c r="N54" s="78" t="s">
        <v>1087</v>
      </c>
      <c r="O54" s="77"/>
      <c r="P54" s="79"/>
      <c r="Q54" s="80"/>
      <c r="R54" s="81">
        <f t="shared" si="2"/>
        <v>0</v>
      </c>
      <c r="S54" s="82"/>
      <c r="T54" s="77"/>
      <c r="U54" s="79"/>
      <c r="V54" s="80"/>
      <c r="W54" s="81">
        <f t="shared" si="3"/>
        <v>0</v>
      </c>
      <c r="X54" s="82"/>
      <c r="Y54" s="77"/>
      <c r="Z54" s="79"/>
      <c r="AA54" s="80"/>
      <c r="AB54" s="81">
        <f t="shared" si="4"/>
        <v>0</v>
      </c>
      <c r="AC54" s="82"/>
      <c r="AD54" s="77"/>
      <c r="AE54" s="79"/>
      <c r="AF54" s="80"/>
      <c r="AG54" s="81">
        <f t="shared" si="5"/>
        <v>0</v>
      </c>
      <c r="AH54" s="82"/>
      <c r="AI54" s="77"/>
      <c r="AJ54" s="100">
        <v>1</v>
      </c>
      <c r="AK54" s="101">
        <v>1</v>
      </c>
      <c r="AL54" s="85">
        <f t="shared" si="6"/>
        <v>1</v>
      </c>
      <c r="AM54" s="78" t="s">
        <v>1087</v>
      </c>
      <c r="AN54" s="74"/>
      <c r="AO54" s="88"/>
      <c r="AP54" s="89"/>
      <c r="AQ54" s="90">
        <f t="shared" si="7"/>
        <v>0</v>
      </c>
      <c r="AR54" s="91"/>
      <c r="AS54" s="74"/>
    </row>
    <row r="55" spans="1:45" ht="283.5" x14ac:dyDescent="0.25">
      <c r="A55" s="77">
        <v>52</v>
      </c>
      <c r="B55" s="78" t="s">
        <v>14</v>
      </c>
      <c r="C55" s="78" t="s">
        <v>14</v>
      </c>
      <c r="D55" s="78" t="s">
        <v>77</v>
      </c>
      <c r="E55" s="77"/>
      <c r="F55" s="79"/>
      <c r="G55" s="80"/>
      <c r="H55" s="81">
        <f t="shared" si="0"/>
        <v>0</v>
      </c>
      <c r="I55" s="82"/>
      <c r="J55" s="77"/>
      <c r="K55" s="100">
        <v>1</v>
      </c>
      <c r="L55" s="101">
        <v>1</v>
      </c>
      <c r="M55" s="85">
        <f t="shared" si="1"/>
        <v>1</v>
      </c>
      <c r="N55" s="78" t="s">
        <v>1087</v>
      </c>
      <c r="O55" s="77"/>
      <c r="P55" s="79"/>
      <c r="Q55" s="80"/>
      <c r="R55" s="81">
        <f t="shared" si="2"/>
        <v>0</v>
      </c>
      <c r="S55" s="82"/>
      <c r="T55" s="77"/>
      <c r="U55" s="79"/>
      <c r="V55" s="80"/>
      <c r="W55" s="81">
        <f t="shared" si="3"/>
        <v>0</v>
      </c>
      <c r="X55" s="82"/>
      <c r="Y55" s="77"/>
      <c r="Z55" s="79"/>
      <c r="AA55" s="80"/>
      <c r="AB55" s="81">
        <f t="shared" si="4"/>
        <v>0</v>
      </c>
      <c r="AC55" s="82"/>
      <c r="AD55" s="77"/>
      <c r="AE55" s="79"/>
      <c r="AF55" s="80"/>
      <c r="AG55" s="81">
        <f t="shared" si="5"/>
        <v>0</v>
      </c>
      <c r="AH55" s="82"/>
      <c r="AI55" s="77"/>
      <c r="AJ55" s="100">
        <v>1</v>
      </c>
      <c r="AK55" s="101">
        <v>0.1</v>
      </c>
      <c r="AL55" s="85">
        <f t="shared" si="6"/>
        <v>0.1</v>
      </c>
      <c r="AM55" s="78" t="s">
        <v>1162</v>
      </c>
      <c r="AN55" s="74"/>
      <c r="AO55" s="88"/>
      <c r="AP55" s="89"/>
      <c r="AQ55" s="90">
        <f t="shared" si="7"/>
        <v>0</v>
      </c>
      <c r="AR55" s="91"/>
      <c r="AS55" s="74"/>
    </row>
    <row r="56" spans="1:45" ht="63" x14ac:dyDescent="0.25">
      <c r="A56" s="77">
        <v>53</v>
      </c>
      <c r="B56" s="78" t="s">
        <v>14</v>
      </c>
      <c r="C56" s="78" t="s">
        <v>14</v>
      </c>
      <c r="D56" s="78" t="s">
        <v>78</v>
      </c>
      <c r="E56" s="77"/>
      <c r="F56" s="79">
        <v>1</v>
      </c>
      <c r="G56" s="80"/>
      <c r="H56" s="81">
        <f t="shared" si="0"/>
        <v>0</v>
      </c>
      <c r="I56" s="82"/>
      <c r="J56" s="77"/>
      <c r="K56" s="100">
        <v>1</v>
      </c>
      <c r="L56" s="101">
        <v>1</v>
      </c>
      <c r="M56" s="85">
        <f t="shared" si="1"/>
        <v>1</v>
      </c>
      <c r="N56" s="78" t="s">
        <v>1087</v>
      </c>
      <c r="O56" s="77"/>
      <c r="P56" s="79"/>
      <c r="Q56" s="80"/>
      <c r="R56" s="81">
        <f t="shared" si="2"/>
        <v>0</v>
      </c>
      <c r="S56" s="77"/>
      <c r="T56" s="77"/>
      <c r="U56" s="79"/>
      <c r="V56" s="80"/>
      <c r="W56" s="81">
        <f t="shared" si="3"/>
        <v>0</v>
      </c>
      <c r="X56" s="77"/>
      <c r="Y56" s="77"/>
      <c r="Z56" s="79"/>
      <c r="AA56" s="80"/>
      <c r="AB56" s="81">
        <f t="shared" si="4"/>
        <v>0</v>
      </c>
      <c r="AC56" s="77"/>
      <c r="AD56" s="77"/>
      <c r="AE56" s="79"/>
      <c r="AF56" s="80"/>
      <c r="AG56" s="81">
        <f t="shared" si="5"/>
        <v>0</v>
      </c>
      <c r="AH56" s="77"/>
      <c r="AI56" s="77"/>
      <c r="AJ56" s="100">
        <v>1</v>
      </c>
      <c r="AK56" s="101">
        <v>1</v>
      </c>
      <c r="AL56" s="85">
        <f t="shared" si="6"/>
        <v>1</v>
      </c>
      <c r="AM56" s="78" t="s">
        <v>1087</v>
      </c>
      <c r="AN56" s="74"/>
      <c r="AO56" s="88"/>
      <c r="AP56" s="89"/>
      <c r="AQ56" s="90">
        <f t="shared" si="7"/>
        <v>0</v>
      </c>
      <c r="AR56" s="108"/>
      <c r="AS56" s="74"/>
    </row>
  </sheetData>
  <mergeCells count="9">
    <mergeCell ref="AE2:AH2"/>
    <mergeCell ref="AJ2:AM2"/>
    <mergeCell ref="AO2:AR2"/>
    <mergeCell ref="B2:D2"/>
    <mergeCell ref="F2:I2"/>
    <mergeCell ref="K2:N2"/>
    <mergeCell ref="P2:S2"/>
    <mergeCell ref="U2:X2"/>
    <mergeCell ref="Z2:AC2"/>
  </mergeCells>
  <dataValidations count="1">
    <dataValidation type="decimal" allowBlank="1" showDropDown="1" showInputMessage="1" showErrorMessage="1" prompt="Enter a number between 0% and 100%" sqref="L4:L15 AK4:AK15" xr:uid="{A13E5138-4725-4E9D-8BBB-837B1AEBFB05}">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3F166EA5-9026-40E7-A005-739D9E01E6B1}">
          <x14:formula1>
            <xm:f>'C:\Users\michele.cerqueira\AppData\Local\Microsoft\Windows\INetCache\Content.Outlook\CUTOBPMD\[ESTUDOS DE MERCADO - AVALIAÇÕES FINAIS.xlsx]Parâmetros'!#REF!</xm:f>
          </x14:formula1>
          <xm:sqref>K4:K15 AJ4:AJ15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183"/>
  <sheetViews>
    <sheetView zoomScale="70" zoomScaleNormal="70" workbookViewId="0">
      <pane xSplit="9" ySplit="3" topLeftCell="L10" activePane="bottomRight" state="frozen"/>
      <selection pane="topRight" activeCell="J1" sqref="J1"/>
      <selection pane="bottomLeft" activeCell="A4" sqref="A4"/>
      <selection pane="bottomRight" activeCell="S10" sqref="S10"/>
    </sheetView>
  </sheetViews>
  <sheetFormatPr defaultRowHeight="15" x14ac:dyDescent="0.25"/>
  <cols>
    <col min="1" max="1" width="4" style="73" customWidth="1"/>
    <col min="2" max="2" width="11.85546875" style="74" customWidth="1"/>
    <col min="3" max="3" width="20.28515625" style="74" customWidth="1"/>
    <col min="4" max="4" width="44.7109375" style="74" customWidth="1"/>
    <col min="5" max="5" width="2.42578125" style="74" hidden="1" customWidth="1"/>
    <col min="6" max="6" width="20.140625" style="74" hidden="1" customWidth="1"/>
    <col min="7" max="7" width="14.28515625" style="74" hidden="1" customWidth="1"/>
    <col min="8" max="8" width="9.140625" style="74" hidden="1" customWidth="1"/>
    <col min="9" max="9" width="52.85546875" style="110" hidden="1" customWidth="1"/>
    <col min="10" max="10" width="1.85546875" style="74" customWidth="1"/>
    <col min="11" max="11" width="12.5703125" style="74" customWidth="1"/>
    <col min="12" max="12" width="14.28515625" style="74" bestFit="1" customWidth="1"/>
    <col min="13" max="13" width="9.140625" style="74" customWidth="1"/>
    <col min="14" max="14" width="78.7109375" style="74" customWidth="1"/>
    <col min="15" max="15" width="1.5703125" style="74" customWidth="1"/>
    <col min="16" max="16" width="12.5703125" style="74" customWidth="1"/>
    <col min="17" max="17" width="14.28515625" style="74" bestFit="1" customWidth="1"/>
    <col min="18" max="18" width="9.140625" style="74" customWidth="1"/>
    <col min="19" max="19" width="87" style="74" customWidth="1"/>
    <col min="20" max="20" width="3.140625" style="74" customWidth="1"/>
    <col min="21" max="23" width="0" style="74" hidden="1" customWidth="1"/>
    <col min="24" max="24" width="69.42578125" style="74" hidden="1" customWidth="1"/>
    <col min="25" max="28" width="0" style="74" hidden="1" customWidth="1"/>
    <col min="29" max="29" width="71.7109375" style="74" hidden="1" customWidth="1"/>
    <col min="30" max="33" width="0" style="74" hidden="1" customWidth="1"/>
    <col min="34" max="34" width="66.140625" style="74" hidden="1" customWidth="1"/>
    <col min="35" max="38" width="0" style="74" hidden="1" customWidth="1"/>
    <col min="39" max="39" width="66.7109375" style="74" hidden="1" customWidth="1"/>
    <col min="40" max="40" width="0" style="74" hidden="1" customWidth="1"/>
    <col min="41" max="43" width="9.140625" style="74"/>
    <col min="44" max="45" width="113.85546875" style="74" customWidth="1"/>
    <col min="46" max="16384" width="9.140625" style="74"/>
  </cols>
  <sheetData>
    <row r="1" spans="1:45" x14ac:dyDescent="0.25">
      <c r="I1" s="74"/>
    </row>
    <row r="2" spans="1:45" ht="39.75" customHeight="1" x14ac:dyDescent="0.25">
      <c r="B2" s="233" t="s">
        <v>16</v>
      </c>
      <c r="C2" s="233"/>
      <c r="D2" s="233"/>
      <c r="F2" s="232" t="s">
        <v>121</v>
      </c>
      <c r="G2" s="232"/>
      <c r="H2" s="232"/>
      <c r="I2" s="232"/>
      <c r="K2" s="234" t="s">
        <v>119</v>
      </c>
      <c r="L2" s="235"/>
      <c r="M2" s="235"/>
      <c r="N2" s="236"/>
      <c r="P2" s="233" t="s">
        <v>120</v>
      </c>
      <c r="Q2" s="233"/>
      <c r="R2" s="233"/>
      <c r="S2" s="233"/>
      <c r="U2" s="232" t="s">
        <v>122</v>
      </c>
      <c r="V2" s="232"/>
      <c r="W2" s="232"/>
      <c r="X2" s="232"/>
      <c r="Z2" s="232" t="s">
        <v>123</v>
      </c>
      <c r="AA2" s="232"/>
      <c r="AB2" s="232"/>
      <c r="AC2" s="232"/>
      <c r="AE2" s="232" t="s">
        <v>124</v>
      </c>
      <c r="AF2" s="232"/>
      <c r="AG2" s="232"/>
      <c r="AH2" s="232"/>
      <c r="AJ2" s="232" t="s">
        <v>125</v>
      </c>
      <c r="AK2" s="232"/>
      <c r="AL2" s="232"/>
      <c r="AM2" s="232"/>
      <c r="AO2" s="233" t="s">
        <v>1317</v>
      </c>
      <c r="AP2" s="233"/>
      <c r="AQ2" s="233"/>
      <c r="AR2" s="233"/>
    </row>
    <row r="3" spans="1:45" ht="58.5" customHeight="1" x14ac:dyDescent="0.25">
      <c r="B3" s="1" t="s">
        <v>0</v>
      </c>
      <c r="C3" s="1" t="s">
        <v>1</v>
      </c>
      <c r="D3" s="1" t="s">
        <v>2</v>
      </c>
      <c r="F3" s="2" t="s">
        <v>17</v>
      </c>
      <c r="G3" s="2" t="s">
        <v>18</v>
      </c>
      <c r="H3" s="2" t="s">
        <v>21</v>
      </c>
      <c r="I3" s="2" t="s">
        <v>19</v>
      </c>
      <c r="K3" s="2" t="s">
        <v>17</v>
      </c>
      <c r="L3" s="2" t="s">
        <v>18</v>
      </c>
      <c r="M3" s="2" t="s">
        <v>21</v>
      </c>
      <c r="N3" s="2" t="s">
        <v>19</v>
      </c>
      <c r="P3" s="2" t="s">
        <v>17</v>
      </c>
      <c r="Q3" s="2" t="s">
        <v>18</v>
      </c>
      <c r="R3" s="2" t="s">
        <v>21</v>
      </c>
      <c r="S3" s="2" t="s">
        <v>19</v>
      </c>
      <c r="U3" s="2" t="s">
        <v>17</v>
      </c>
      <c r="V3" s="2" t="s">
        <v>18</v>
      </c>
      <c r="W3" s="2" t="s">
        <v>21</v>
      </c>
      <c r="X3" s="2" t="s">
        <v>19</v>
      </c>
      <c r="Z3" s="2" t="s">
        <v>17</v>
      </c>
      <c r="AA3" s="2" t="s">
        <v>18</v>
      </c>
      <c r="AB3" s="2" t="s">
        <v>21</v>
      </c>
      <c r="AC3" s="2" t="s">
        <v>19</v>
      </c>
      <c r="AE3" s="2" t="s">
        <v>17</v>
      </c>
      <c r="AF3" s="2" t="s">
        <v>18</v>
      </c>
      <c r="AG3" s="2" t="s">
        <v>21</v>
      </c>
      <c r="AH3" s="2" t="s">
        <v>19</v>
      </c>
      <c r="AJ3" s="2" t="s">
        <v>17</v>
      </c>
      <c r="AK3" s="2" t="s">
        <v>18</v>
      </c>
      <c r="AL3" s="2" t="s">
        <v>21</v>
      </c>
      <c r="AM3" s="2" t="s">
        <v>19</v>
      </c>
      <c r="AO3" s="2" t="s">
        <v>17</v>
      </c>
      <c r="AP3" s="2" t="s">
        <v>18</v>
      </c>
      <c r="AQ3" s="2" t="s">
        <v>21</v>
      </c>
      <c r="AR3" s="2" t="s">
        <v>19</v>
      </c>
    </row>
    <row r="4" spans="1:45" ht="141.75" x14ac:dyDescent="0.25">
      <c r="A4" s="73">
        <v>1</v>
      </c>
      <c r="B4" s="78" t="s">
        <v>3</v>
      </c>
      <c r="C4" s="78" t="s">
        <v>4</v>
      </c>
      <c r="D4" s="78" t="s">
        <v>127</v>
      </c>
      <c r="E4" s="161"/>
      <c r="F4" s="79"/>
      <c r="G4" s="80"/>
      <c r="H4" s="81">
        <f>F4*G4</f>
        <v>0</v>
      </c>
      <c r="I4" s="82"/>
      <c r="J4" s="161"/>
      <c r="K4" s="83">
        <v>1</v>
      </c>
      <c r="L4" s="84">
        <v>0.99</v>
      </c>
      <c r="M4" s="85">
        <f>K4*L4</f>
        <v>0.99</v>
      </c>
      <c r="N4" s="87" t="s">
        <v>1197</v>
      </c>
      <c r="O4" s="161"/>
      <c r="P4" s="83">
        <v>1</v>
      </c>
      <c r="Q4" s="84">
        <v>0.8</v>
      </c>
      <c r="R4" s="85">
        <f>P4*Q4</f>
        <v>0.8</v>
      </c>
      <c r="S4" s="86" t="s">
        <v>1283</v>
      </c>
      <c r="T4" s="161"/>
      <c r="U4" s="79"/>
      <c r="V4" s="80"/>
      <c r="W4" s="81">
        <f>U4*V4</f>
        <v>0</v>
      </c>
      <c r="X4" s="82"/>
      <c r="Y4" s="161"/>
      <c r="Z4" s="79"/>
      <c r="AA4" s="80"/>
      <c r="AB4" s="81">
        <f>Z4*AA4</f>
        <v>0</v>
      </c>
      <c r="AC4" s="82"/>
      <c r="AD4" s="161"/>
      <c r="AE4" s="79"/>
      <c r="AF4" s="80"/>
      <c r="AG4" s="81">
        <f>AE4*AF4</f>
        <v>0</v>
      </c>
      <c r="AH4" s="82"/>
      <c r="AI4" s="161"/>
      <c r="AJ4" s="79"/>
      <c r="AK4" s="80"/>
      <c r="AL4" s="81">
        <f>AJ4*AK4</f>
        <v>0</v>
      </c>
      <c r="AM4" s="82"/>
      <c r="AN4" s="161"/>
      <c r="AO4" s="83">
        <v>1</v>
      </c>
      <c r="AP4" s="118">
        <v>0.4</v>
      </c>
      <c r="AQ4" s="85">
        <f>AO4*AP4</f>
        <v>0.4</v>
      </c>
      <c r="AR4" s="86" t="s">
        <v>1188</v>
      </c>
      <c r="AS4" s="73"/>
    </row>
    <row r="5" spans="1:45" ht="244.5" customHeight="1" x14ac:dyDescent="0.25">
      <c r="A5" s="73">
        <v>2</v>
      </c>
      <c r="B5" s="78" t="s">
        <v>3</v>
      </c>
      <c r="C5" s="78" t="s">
        <v>4</v>
      </c>
      <c r="D5" s="78" t="s">
        <v>33</v>
      </c>
      <c r="E5" s="161"/>
      <c r="F5" s="79"/>
      <c r="G5" s="80"/>
      <c r="H5" s="81">
        <f t="shared" ref="H5:H56" si="0">F5*G5</f>
        <v>0</v>
      </c>
      <c r="I5" s="82"/>
      <c r="J5" s="161"/>
      <c r="K5" s="126">
        <v>1</v>
      </c>
      <c r="L5" s="127">
        <v>0.95</v>
      </c>
      <c r="M5" s="85">
        <f t="shared" ref="M5:M56" si="1">K5*L5</f>
        <v>0.95</v>
      </c>
      <c r="N5" s="144" t="s">
        <v>1179</v>
      </c>
      <c r="O5" s="161"/>
      <c r="P5" s="126">
        <v>1</v>
      </c>
      <c r="Q5" s="127">
        <v>0.75</v>
      </c>
      <c r="R5" s="85">
        <f t="shared" ref="R5:R56" si="2">P5*Q5</f>
        <v>0.75</v>
      </c>
      <c r="S5" s="128" t="s">
        <v>1284</v>
      </c>
      <c r="T5" s="161"/>
      <c r="U5" s="79"/>
      <c r="V5" s="80"/>
      <c r="W5" s="81">
        <f t="shared" ref="W5:W56" si="3">U5*V5</f>
        <v>0</v>
      </c>
      <c r="X5" s="82"/>
      <c r="Y5" s="161"/>
      <c r="Z5" s="79"/>
      <c r="AA5" s="80"/>
      <c r="AB5" s="81">
        <f t="shared" ref="AB5:AB56" si="4">Z5*AA5</f>
        <v>0</v>
      </c>
      <c r="AC5" s="82"/>
      <c r="AD5" s="161"/>
      <c r="AE5" s="79"/>
      <c r="AF5" s="80"/>
      <c r="AG5" s="81">
        <f t="shared" ref="AG5:AG56" si="5">AE5*AF5</f>
        <v>0</v>
      </c>
      <c r="AH5" s="82"/>
      <c r="AI5" s="161"/>
      <c r="AJ5" s="79"/>
      <c r="AK5" s="80"/>
      <c r="AL5" s="81">
        <f t="shared" ref="AL5:AL56" si="6">AJ5*AK5</f>
        <v>0</v>
      </c>
      <c r="AM5" s="82"/>
      <c r="AN5" s="161"/>
      <c r="AO5" s="126">
        <v>1</v>
      </c>
      <c r="AP5" s="129">
        <v>0.13</v>
      </c>
      <c r="AQ5" s="85">
        <f t="shared" ref="AQ5:AQ56" si="7">AO5*AP5</f>
        <v>0.13</v>
      </c>
      <c r="AR5" s="128" t="s">
        <v>1202</v>
      </c>
      <c r="AS5" s="73"/>
    </row>
    <row r="6" spans="1:45" ht="324" customHeight="1" x14ac:dyDescent="0.25">
      <c r="A6" s="73">
        <v>3</v>
      </c>
      <c r="B6" s="78" t="s">
        <v>3</v>
      </c>
      <c r="C6" s="78" t="s">
        <v>4</v>
      </c>
      <c r="D6" s="78" t="s">
        <v>128</v>
      </c>
      <c r="E6" s="161"/>
      <c r="F6" s="79"/>
      <c r="G6" s="80"/>
      <c r="H6" s="81">
        <f t="shared" si="0"/>
        <v>0</v>
      </c>
      <c r="I6" s="82"/>
      <c r="J6" s="161"/>
      <c r="K6" s="83">
        <v>1</v>
      </c>
      <c r="L6" s="84">
        <v>1</v>
      </c>
      <c r="M6" s="85">
        <f t="shared" si="1"/>
        <v>1</v>
      </c>
      <c r="N6" s="87"/>
      <c r="O6" s="161"/>
      <c r="P6" s="83">
        <v>1</v>
      </c>
      <c r="Q6" s="84">
        <v>0.95</v>
      </c>
      <c r="R6" s="85">
        <f t="shared" si="2"/>
        <v>0.95</v>
      </c>
      <c r="S6" s="86" t="s">
        <v>1200</v>
      </c>
      <c r="T6" s="161"/>
      <c r="U6" s="79"/>
      <c r="V6" s="80"/>
      <c r="W6" s="81">
        <f t="shared" si="3"/>
        <v>0</v>
      </c>
      <c r="X6" s="82"/>
      <c r="Y6" s="161"/>
      <c r="Z6" s="79"/>
      <c r="AA6" s="80"/>
      <c r="AB6" s="81">
        <f t="shared" si="4"/>
        <v>0</v>
      </c>
      <c r="AC6" s="82"/>
      <c r="AD6" s="161"/>
      <c r="AE6" s="79"/>
      <c r="AF6" s="80"/>
      <c r="AG6" s="81">
        <f t="shared" si="5"/>
        <v>0</v>
      </c>
      <c r="AH6" s="82"/>
      <c r="AI6" s="161"/>
      <c r="AJ6" s="79"/>
      <c r="AK6" s="80"/>
      <c r="AL6" s="81">
        <f t="shared" si="6"/>
        <v>0</v>
      </c>
      <c r="AM6" s="82"/>
      <c r="AN6" s="161"/>
      <c r="AO6" s="83">
        <v>1</v>
      </c>
      <c r="AP6" s="118">
        <v>0.2</v>
      </c>
      <c r="AQ6" s="85">
        <f t="shared" si="7"/>
        <v>0.2</v>
      </c>
      <c r="AR6" s="82" t="s">
        <v>1592</v>
      </c>
      <c r="AS6" s="73"/>
    </row>
    <row r="7" spans="1:45" ht="296.25" customHeight="1" x14ac:dyDescent="0.25">
      <c r="A7" s="73">
        <v>4</v>
      </c>
      <c r="B7" s="78" t="s">
        <v>3</v>
      </c>
      <c r="C7" s="78" t="s">
        <v>4</v>
      </c>
      <c r="D7" s="78" t="s">
        <v>34</v>
      </c>
      <c r="E7" s="161"/>
      <c r="F7" s="79"/>
      <c r="G7" s="80"/>
      <c r="H7" s="81">
        <f t="shared" si="0"/>
        <v>0</v>
      </c>
      <c r="I7" s="82"/>
      <c r="J7" s="161"/>
      <c r="K7" s="126">
        <v>1</v>
      </c>
      <c r="L7" s="127">
        <v>0.94499999999999995</v>
      </c>
      <c r="M7" s="85">
        <f t="shared" si="1"/>
        <v>0.94499999999999995</v>
      </c>
      <c r="N7" s="144" t="s">
        <v>1285</v>
      </c>
      <c r="O7" s="161"/>
      <c r="P7" s="126">
        <v>1</v>
      </c>
      <c r="Q7" s="127">
        <v>0.9</v>
      </c>
      <c r="R7" s="85">
        <f t="shared" si="2"/>
        <v>0.9</v>
      </c>
      <c r="S7" s="128" t="s">
        <v>1286</v>
      </c>
      <c r="T7" s="161"/>
      <c r="U7" s="79"/>
      <c r="V7" s="80"/>
      <c r="W7" s="81">
        <f t="shared" si="3"/>
        <v>0</v>
      </c>
      <c r="X7" s="82"/>
      <c r="Y7" s="161"/>
      <c r="Z7" s="79"/>
      <c r="AA7" s="80"/>
      <c r="AB7" s="81">
        <f t="shared" si="4"/>
        <v>0</v>
      </c>
      <c r="AC7" s="82"/>
      <c r="AD7" s="161"/>
      <c r="AE7" s="79"/>
      <c r="AF7" s="80"/>
      <c r="AG7" s="81">
        <f t="shared" si="5"/>
        <v>0</v>
      </c>
      <c r="AH7" s="82"/>
      <c r="AI7" s="161"/>
      <c r="AJ7" s="79"/>
      <c r="AK7" s="80"/>
      <c r="AL7" s="81">
        <f t="shared" si="6"/>
        <v>0</v>
      </c>
      <c r="AM7" s="82"/>
      <c r="AN7" s="161"/>
      <c r="AO7" s="126">
        <v>1</v>
      </c>
      <c r="AP7" s="129">
        <v>0.15</v>
      </c>
      <c r="AQ7" s="85">
        <f t="shared" si="7"/>
        <v>0.15</v>
      </c>
      <c r="AR7" s="131" t="s">
        <v>1600</v>
      </c>
      <c r="AS7" s="73"/>
    </row>
    <row r="8" spans="1:45" ht="157.5" x14ac:dyDescent="0.25">
      <c r="A8" s="73">
        <v>5</v>
      </c>
      <c r="B8" s="78" t="s">
        <v>3</v>
      </c>
      <c r="C8" s="78" t="s">
        <v>4</v>
      </c>
      <c r="D8" s="78" t="s">
        <v>35</v>
      </c>
      <c r="E8" s="161"/>
      <c r="F8" s="79"/>
      <c r="G8" s="80"/>
      <c r="H8" s="81">
        <f t="shared" si="0"/>
        <v>0</v>
      </c>
      <c r="I8" s="82"/>
      <c r="J8" s="161"/>
      <c r="K8" s="83">
        <v>1</v>
      </c>
      <c r="L8" s="84">
        <v>0.7</v>
      </c>
      <c r="M8" s="85">
        <f t="shared" si="1"/>
        <v>0.7</v>
      </c>
      <c r="N8" s="87" t="s">
        <v>1180</v>
      </c>
      <c r="O8" s="161"/>
      <c r="P8" s="83">
        <v>1</v>
      </c>
      <c r="Q8" s="84">
        <v>0.8</v>
      </c>
      <c r="R8" s="85">
        <f t="shared" si="2"/>
        <v>0.8</v>
      </c>
      <c r="S8" s="86" t="s">
        <v>1287</v>
      </c>
      <c r="T8" s="161"/>
      <c r="U8" s="79"/>
      <c r="V8" s="80"/>
      <c r="W8" s="81">
        <f t="shared" si="3"/>
        <v>0</v>
      </c>
      <c r="X8" s="78"/>
      <c r="Y8" s="161"/>
      <c r="Z8" s="79"/>
      <c r="AA8" s="80"/>
      <c r="AB8" s="81">
        <f t="shared" si="4"/>
        <v>0</v>
      </c>
      <c r="AC8" s="78"/>
      <c r="AD8" s="161"/>
      <c r="AE8" s="79"/>
      <c r="AF8" s="80"/>
      <c r="AG8" s="81">
        <f t="shared" si="5"/>
        <v>0</v>
      </c>
      <c r="AH8" s="78"/>
      <c r="AI8" s="161"/>
      <c r="AJ8" s="79"/>
      <c r="AK8" s="80"/>
      <c r="AL8" s="81">
        <f t="shared" si="6"/>
        <v>0</v>
      </c>
      <c r="AM8" s="78"/>
      <c r="AN8" s="161"/>
      <c r="AO8" s="83">
        <v>1</v>
      </c>
      <c r="AP8" s="118">
        <v>0.28000000000000003</v>
      </c>
      <c r="AQ8" s="85">
        <f t="shared" si="7"/>
        <v>0.28000000000000003</v>
      </c>
      <c r="AR8" s="86" t="s">
        <v>1203</v>
      </c>
      <c r="AS8" s="73"/>
    </row>
    <row r="9" spans="1:45" ht="342.75" customHeight="1" x14ac:dyDescent="0.25">
      <c r="A9" s="73">
        <v>6</v>
      </c>
      <c r="B9" s="78" t="s">
        <v>3</v>
      </c>
      <c r="C9" s="78" t="s">
        <v>4</v>
      </c>
      <c r="D9" s="78" t="s">
        <v>129</v>
      </c>
      <c r="E9" s="161"/>
      <c r="F9" s="79"/>
      <c r="G9" s="80"/>
      <c r="H9" s="81">
        <f t="shared" si="0"/>
        <v>0</v>
      </c>
      <c r="I9" s="78"/>
      <c r="J9" s="161"/>
      <c r="K9" s="126">
        <v>1</v>
      </c>
      <c r="L9" s="127">
        <v>0.78</v>
      </c>
      <c r="M9" s="85">
        <f t="shared" si="1"/>
        <v>0.78</v>
      </c>
      <c r="N9" s="144" t="s">
        <v>1622</v>
      </c>
      <c r="O9" s="161"/>
      <c r="P9" s="126">
        <v>1</v>
      </c>
      <c r="Q9" s="127">
        <v>0.95</v>
      </c>
      <c r="R9" s="85">
        <f t="shared" si="2"/>
        <v>0.95</v>
      </c>
      <c r="S9" s="128" t="s">
        <v>1633</v>
      </c>
      <c r="T9" s="161"/>
      <c r="U9" s="79"/>
      <c r="V9" s="80"/>
      <c r="W9" s="81">
        <f t="shared" si="3"/>
        <v>0</v>
      </c>
      <c r="X9" s="78"/>
      <c r="Y9" s="161"/>
      <c r="Z9" s="79"/>
      <c r="AA9" s="80"/>
      <c r="AB9" s="81">
        <f t="shared" si="4"/>
        <v>0</v>
      </c>
      <c r="AC9" s="78"/>
      <c r="AD9" s="161"/>
      <c r="AE9" s="79"/>
      <c r="AF9" s="80"/>
      <c r="AG9" s="81">
        <f t="shared" si="5"/>
        <v>0</v>
      </c>
      <c r="AH9" s="78"/>
      <c r="AI9" s="161"/>
      <c r="AJ9" s="79"/>
      <c r="AK9" s="80"/>
      <c r="AL9" s="81">
        <f t="shared" si="6"/>
        <v>0</v>
      </c>
      <c r="AM9" s="78"/>
      <c r="AN9" s="161"/>
      <c r="AO9" s="126">
        <v>1</v>
      </c>
      <c r="AP9" s="129">
        <v>0.1</v>
      </c>
      <c r="AQ9" s="85">
        <f t="shared" si="7"/>
        <v>0.1</v>
      </c>
      <c r="AR9" s="128" t="s">
        <v>1611</v>
      </c>
      <c r="AS9" s="73"/>
    </row>
    <row r="10" spans="1:45" ht="126" x14ac:dyDescent="0.25">
      <c r="A10" s="73">
        <v>7</v>
      </c>
      <c r="B10" s="78" t="s">
        <v>3</v>
      </c>
      <c r="C10" s="78" t="s">
        <v>4</v>
      </c>
      <c r="D10" s="78" t="s">
        <v>36</v>
      </c>
      <c r="E10" s="161"/>
      <c r="F10" s="79"/>
      <c r="G10" s="80"/>
      <c r="H10" s="81">
        <f t="shared" si="0"/>
        <v>0</v>
      </c>
      <c r="I10" s="82"/>
      <c r="J10" s="161"/>
      <c r="K10" s="83">
        <v>1</v>
      </c>
      <c r="L10" s="84">
        <v>0.75</v>
      </c>
      <c r="M10" s="85">
        <f t="shared" si="1"/>
        <v>0.75</v>
      </c>
      <c r="N10" s="87" t="s">
        <v>1181</v>
      </c>
      <c r="O10" s="161"/>
      <c r="P10" s="83">
        <v>1</v>
      </c>
      <c r="Q10" s="84">
        <v>0.7</v>
      </c>
      <c r="R10" s="85">
        <f t="shared" si="2"/>
        <v>0.7</v>
      </c>
      <c r="S10" s="86" t="s">
        <v>1184</v>
      </c>
      <c r="T10" s="161"/>
      <c r="U10" s="79"/>
      <c r="V10" s="80"/>
      <c r="W10" s="81">
        <f t="shared" si="3"/>
        <v>0</v>
      </c>
      <c r="X10" s="82"/>
      <c r="Y10" s="161"/>
      <c r="Z10" s="79"/>
      <c r="AA10" s="80"/>
      <c r="AB10" s="81">
        <f t="shared" si="4"/>
        <v>0</v>
      </c>
      <c r="AC10" s="82"/>
      <c r="AD10" s="161"/>
      <c r="AE10" s="79"/>
      <c r="AF10" s="80"/>
      <c r="AG10" s="81">
        <f t="shared" si="5"/>
        <v>0</v>
      </c>
      <c r="AH10" s="82"/>
      <c r="AI10" s="161"/>
      <c r="AJ10" s="79"/>
      <c r="AK10" s="80"/>
      <c r="AL10" s="81">
        <f t="shared" si="6"/>
        <v>0</v>
      </c>
      <c r="AM10" s="82"/>
      <c r="AN10" s="161"/>
      <c r="AO10" s="83">
        <v>1</v>
      </c>
      <c r="AP10" s="118">
        <v>0.2</v>
      </c>
      <c r="AQ10" s="85">
        <f t="shared" si="7"/>
        <v>0.2</v>
      </c>
      <c r="AR10" s="86" t="s">
        <v>1191</v>
      </c>
      <c r="AS10" s="73"/>
    </row>
    <row r="11" spans="1:45" ht="78.75" x14ac:dyDescent="0.25">
      <c r="A11" s="73">
        <v>8</v>
      </c>
      <c r="B11" s="78" t="s">
        <v>3</v>
      </c>
      <c r="C11" s="78" t="s">
        <v>4</v>
      </c>
      <c r="D11" s="78" t="s">
        <v>64</v>
      </c>
      <c r="E11" s="161"/>
      <c r="F11" s="79"/>
      <c r="G11" s="80"/>
      <c r="H11" s="81">
        <f t="shared" si="0"/>
        <v>0</v>
      </c>
      <c r="I11" s="78"/>
      <c r="J11" s="161"/>
      <c r="K11" s="126">
        <v>1</v>
      </c>
      <c r="L11" s="127">
        <v>1</v>
      </c>
      <c r="M11" s="85">
        <f t="shared" si="1"/>
        <v>1</v>
      </c>
      <c r="N11" s="144"/>
      <c r="O11" s="161"/>
      <c r="P11" s="126">
        <v>1</v>
      </c>
      <c r="Q11" s="127">
        <v>0.9</v>
      </c>
      <c r="R11" s="85">
        <f t="shared" si="2"/>
        <v>0.9</v>
      </c>
      <c r="S11" s="128" t="s">
        <v>1185</v>
      </c>
      <c r="T11" s="161"/>
      <c r="U11" s="79"/>
      <c r="V11" s="80"/>
      <c r="W11" s="81">
        <f t="shared" si="3"/>
        <v>0</v>
      </c>
      <c r="X11" s="82"/>
      <c r="Y11" s="161"/>
      <c r="Z11" s="79"/>
      <c r="AA11" s="80"/>
      <c r="AB11" s="81">
        <f t="shared" si="4"/>
        <v>0</v>
      </c>
      <c r="AC11" s="82"/>
      <c r="AD11" s="161"/>
      <c r="AE11" s="79"/>
      <c r="AF11" s="80"/>
      <c r="AG11" s="81">
        <f t="shared" si="5"/>
        <v>0</v>
      </c>
      <c r="AH11" s="82"/>
      <c r="AI11" s="161"/>
      <c r="AJ11" s="79"/>
      <c r="AK11" s="80"/>
      <c r="AL11" s="81">
        <f t="shared" si="6"/>
        <v>0</v>
      </c>
      <c r="AM11" s="82"/>
      <c r="AN11" s="161"/>
      <c r="AO11" s="126">
        <v>1</v>
      </c>
      <c r="AP11" s="129">
        <v>0.15</v>
      </c>
      <c r="AQ11" s="85">
        <f t="shared" si="7"/>
        <v>0.15</v>
      </c>
      <c r="AR11" s="128" t="s">
        <v>1192</v>
      </c>
      <c r="AS11" s="73"/>
    </row>
    <row r="12" spans="1:45" ht="63" x14ac:dyDescent="0.25">
      <c r="A12" s="73">
        <v>9</v>
      </c>
      <c r="B12" s="78" t="s">
        <v>3</v>
      </c>
      <c r="C12" s="78" t="s">
        <v>5</v>
      </c>
      <c r="D12" s="78" t="s">
        <v>37</v>
      </c>
      <c r="E12" s="161"/>
      <c r="F12" s="79"/>
      <c r="G12" s="80"/>
      <c r="H12" s="81">
        <f t="shared" si="0"/>
        <v>0</v>
      </c>
      <c r="I12" s="82"/>
      <c r="J12" s="161"/>
      <c r="K12" s="83">
        <v>1</v>
      </c>
      <c r="L12" s="99">
        <v>0.6</v>
      </c>
      <c r="M12" s="85">
        <f t="shared" si="1"/>
        <v>0.6</v>
      </c>
      <c r="N12" s="87" t="s">
        <v>1198</v>
      </c>
      <c r="O12" s="161"/>
      <c r="P12" s="83">
        <v>1</v>
      </c>
      <c r="Q12" s="84">
        <v>1</v>
      </c>
      <c r="R12" s="85">
        <f t="shared" si="2"/>
        <v>1</v>
      </c>
      <c r="S12" s="86"/>
      <c r="T12" s="161"/>
      <c r="U12" s="79"/>
      <c r="V12" s="80"/>
      <c r="W12" s="81">
        <f t="shared" si="3"/>
        <v>0</v>
      </c>
      <c r="X12" s="82"/>
      <c r="Y12" s="161"/>
      <c r="Z12" s="79"/>
      <c r="AA12" s="80"/>
      <c r="AB12" s="81">
        <f t="shared" si="4"/>
        <v>0</v>
      </c>
      <c r="AC12" s="82"/>
      <c r="AD12" s="161"/>
      <c r="AE12" s="79"/>
      <c r="AF12" s="80"/>
      <c r="AG12" s="81">
        <f t="shared" si="5"/>
        <v>0</v>
      </c>
      <c r="AH12" s="82"/>
      <c r="AI12" s="161"/>
      <c r="AJ12" s="79"/>
      <c r="AK12" s="80"/>
      <c r="AL12" s="81">
        <f t="shared" si="6"/>
        <v>0</v>
      </c>
      <c r="AM12" s="82"/>
      <c r="AN12" s="161"/>
      <c r="AO12" s="83">
        <v>1</v>
      </c>
      <c r="AP12" s="118">
        <v>0.15</v>
      </c>
      <c r="AQ12" s="85">
        <f t="shared" si="7"/>
        <v>0.15</v>
      </c>
      <c r="AR12" s="86" t="s">
        <v>1193</v>
      </c>
      <c r="AS12" s="73"/>
    </row>
    <row r="13" spans="1:45" ht="126" x14ac:dyDescent="0.25">
      <c r="A13" s="73">
        <v>10</v>
      </c>
      <c r="B13" s="78" t="s">
        <v>3</v>
      </c>
      <c r="C13" s="78" t="s">
        <v>5</v>
      </c>
      <c r="D13" s="78" t="s">
        <v>38</v>
      </c>
      <c r="E13" s="161"/>
      <c r="F13" s="79"/>
      <c r="G13" s="80"/>
      <c r="H13" s="81">
        <f t="shared" si="0"/>
        <v>0</v>
      </c>
      <c r="I13" s="82"/>
      <c r="J13" s="161"/>
      <c r="K13" s="126">
        <v>1</v>
      </c>
      <c r="L13" s="127">
        <v>0.6</v>
      </c>
      <c r="M13" s="85">
        <f t="shared" si="1"/>
        <v>0.6</v>
      </c>
      <c r="N13" s="144" t="s">
        <v>1198</v>
      </c>
      <c r="O13" s="161"/>
      <c r="P13" s="126">
        <v>1</v>
      </c>
      <c r="Q13" s="127">
        <v>0.9</v>
      </c>
      <c r="R13" s="85">
        <f t="shared" si="2"/>
        <v>0.9</v>
      </c>
      <c r="S13" s="128" t="s">
        <v>1201</v>
      </c>
      <c r="T13" s="161"/>
      <c r="U13" s="79"/>
      <c r="V13" s="80"/>
      <c r="W13" s="81">
        <f t="shared" si="3"/>
        <v>0</v>
      </c>
      <c r="X13" s="82"/>
      <c r="Y13" s="161"/>
      <c r="Z13" s="79"/>
      <c r="AA13" s="80"/>
      <c r="AB13" s="81">
        <f t="shared" si="4"/>
        <v>0</v>
      </c>
      <c r="AC13" s="82"/>
      <c r="AD13" s="161"/>
      <c r="AE13" s="79"/>
      <c r="AF13" s="80"/>
      <c r="AG13" s="81">
        <f t="shared" si="5"/>
        <v>0</v>
      </c>
      <c r="AH13" s="82"/>
      <c r="AI13" s="161"/>
      <c r="AJ13" s="79"/>
      <c r="AK13" s="80"/>
      <c r="AL13" s="81">
        <f t="shared" si="6"/>
        <v>0</v>
      </c>
      <c r="AM13" s="82"/>
      <c r="AN13" s="161"/>
      <c r="AO13" s="126">
        <v>1</v>
      </c>
      <c r="AP13" s="129">
        <v>0.25</v>
      </c>
      <c r="AQ13" s="85">
        <f t="shared" si="7"/>
        <v>0.25</v>
      </c>
      <c r="AR13" s="128" t="s">
        <v>1194</v>
      </c>
      <c r="AS13" s="73"/>
    </row>
    <row r="14" spans="1:45" ht="94.5" x14ac:dyDescent="0.25">
      <c r="A14" s="73">
        <v>11</v>
      </c>
      <c r="B14" s="78" t="s">
        <v>3</v>
      </c>
      <c r="C14" s="78" t="s">
        <v>31</v>
      </c>
      <c r="D14" s="78" t="s">
        <v>39</v>
      </c>
      <c r="E14" s="161"/>
      <c r="F14" s="79"/>
      <c r="G14" s="80"/>
      <c r="H14" s="81">
        <f t="shared" si="0"/>
        <v>0</v>
      </c>
      <c r="I14" s="82"/>
      <c r="J14" s="161"/>
      <c r="K14" s="83">
        <v>1</v>
      </c>
      <c r="L14" s="84">
        <v>0.85</v>
      </c>
      <c r="M14" s="85">
        <f t="shared" si="1"/>
        <v>0.85</v>
      </c>
      <c r="N14" s="87" t="s">
        <v>1199</v>
      </c>
      <c r="O14" s="161"/>
      <c r="P14" s="83">
        <v>1</v>
      </c>
      <c r="Q14" s="84">
        <v>1</v>
      </c>
      <c r="R14" s="85">
        <f t="shared" si="2"/>
        <v>1</v>
      </c>
      <c r="S14" s="86"/>
      <c r="T14" s="161"/>
      <c r="U14" s="79"/>
      <c r="V14" s="80"/>
      <c r="W14" s="81">
        <f t="shared" si="3"/>
        <v>0</v>
      </c>
      <c r="X14" s="82"/>
      <c r="Y14" s="161"/>
      <c r="Z14" s="79"/>
      <c r="AA14" s="80"/>
      <c r="AB14" s="81">
        <f t="shared" si="4"/>
        <v>0</v>
      </c>
      <c r="AC14" s="82"/>
      <c r="AD14" s="161"/>
      <c r="AE14" s="79"/>
      <c r="AF14" s="80"/>
      <c r="AG14" s="81">
        <f t="shared" si="5"/>
        <v>0</v>
      </c>
      <c r="AH14" s="82"/>
      <c r="AI14" s="161"/>
      <c r="AJ14" s="79"/>
      <c r="AK14" s="80"/>
      <c r="AL14" s="81">
        <f t="shared" si="6"/>
        <v>0</v>
      </c>
      <c r="AM14" s="82"/>
      <c r="AN14" s="161"/>
      <c r="AO14" s="83">
        <v>1</v>
      </c>
      <c r="AP14" s="118">
        <v>0.15</v>
      </c>
      <c r="AQ14" s="85">
        <f t="shared" si="7"/>
        <v>0.15</v>
      </c>
      <c r="AR14" s="86" t="s">
        <v>1195</v>
      </c>
      <c r="AS14" s="73"/>
    </row>
    <row r="15" spans="1:45" ht="47.25" x14ac:dyDescent="0.25">
      <c r="A15" s="73">
        <v>12</v>
      </c>
      <c r="B15" s="78" t="s">
        <v>3</v>
      </c>
      <c r="C15" s="78" t="s">
        <v>31</v>
      </c>
      <c r="D15" s="78" t="s">
        <v>40</v>
      </c>
      <c r="E15" s="161"/>
      <c r="F15" s="79"/>
      <c r="G15" s="80"/>
      <c r="H15" s="81">
        <f t="shared" si="0"/>
        <v>0</v>
      </c>
      <c r="I15" s="82"/>
      <c r="J15" s="161"/>
      <c r="K15" s="126">
        <v>1</v>
      </c>
      <c r="L15" s="127">
        <v>1</v>
      </c>
      <c r="M15" s="85">
        <f t="shared" si="1"/>
        <v>1</v>
      </c>
      <c r="N15" s="144"/>
      <c r="O15" s="161"/>
      <c r="P15" s="126">
        <v>1</v>
      </c>
      <c r="Q15" s="127">
        <v>0.95</v>
      </c>
      <c r="R15" s="85">
        <f t="shared" si="2"/>
        <v>0.95</v>
      </c>
      <c r="S15" s="128" t="s">
        <v>1187</v>
      </c>
      <c r="T15" s="161"/>
      <c r="U15" s="79"/>
      <c r="V15" s="80"/>
      <c r="W15" s="81">
        <f t="shared" si="3"/>
        <v>0</v>
      </c>
      <c r="X15" s="82"/>
      <c r="Y15" s="161"/>
      <c r="Z15" s="79"/>
      <c r="AA15" s="80"/>
      <c r="AB15" s="81">
        <f t="shared" si="4"/>
        <v>0</v>
      </c>
      <c r="AC15" s="82"/>
      <c r="AD15" s="161"/>
      <c r="AE15" s="79"/>
      <c r="AF15" s="80"/>
      <c r="AG15" s="81">
        <f t="shared" si="5"/>
        <v>0</v>
      </c>
      <c r="AH15" s="82"/>
      <c r="AI15" s="161"/>
      <c r="AJ15" s="79"/>
      <c r="AK15" s="80"/>
      <c r="AL15" s="81">
        <f t="shared" si="6"/>
        <v>0</v>
      </c>
      <c r="AM15" s="82"/>
      <c r="AN15" s="161"/>
      <c r="AO15" s="126">
        <v>1</v>
      </c>
      <c r="AP15" s="129">
        <v>0.5</v>
      </c>
      <c r="AQ15" s="85">
        <f t="shared" si="7"/>
        <v>0.5</v>
      </c>
      <c r="AR15" s="128" t="s">
        <v>1196</v>
      </c>
      <c r="AS15" s="73"/>
    </row>
    <row r="16" spans="1:45" ht="362.25" x14ac:dyDescent="0.25">
      <c r="A16" s="73">
        <v>13</v>
      </c>
      <c r="B16" s="78" t="s">
        <v>6</v>
      </c>
      <c r="C16" s="78" t="s">
        <v>7</v>
      </c>
      <c r="D16" s="78" t="s">
        <v>41</v>
      </c>
      <c r="E16" s="161"/>
      <c r="F16" s="79"/>
      <c r="G16" s="80"/>
      <c r="H16" s="81">
        <f t="shared" si="0"/>
        <v>0</v>
      </c>
      <c r="I16" s="82"/>
      <c r="J16" s="161"/>
      <c r="K16" s="100">
        <v>1</v>
      </c>
      <c r="L16" s="101">
        <v>1</v>
      </c>
      <c r="M16" s="85">
        <f t="shared" si="1"/>
        <v>1</v>
      </c>
      <c r="N16" s="102" t="s">
        <v>200</v>
      </c>
      <c r="O16" s="161"/>
      <c r="P16" s="100">
        <v>1</v>
      </c>
      <c r="Q16" s="101">
        <v>0.75</v>
      </c>
      <c r="R16" s="85">
        <f t="shared" si="2"/>
        <v>0.75</v>
      </c>
      <c r="S16" s="102" t="s">
        <v>218</v>
      </c>
      <c r="T16" s="161"/>
      <c r="U16" s="79"/>
      <c r="V16" s="80"/>
      <c r="W16" s="81">
        <f t="shared" si="3"/>
        <v>0</v>
      </c>
      <c r="X16" s="82"/>
      <c r="Y16" s="161"/>
      <c r="Z16" s="79"/>
      <c r="AA16" s="80"/>
      <c r="AB16" s="81">
        <f t="shared" si="4"/>
        <v>0</v>
      </c>
      <c r="AC16" s="82"/>
      <c r="AD16" s="161"/>
      <c r="AE16" s="79"/>
      <c r="AF16" s="80"/>
      <c r="AG16" s="81">
        <f t="shared" si="5"/>
        <v>0</v>
      </c>
      <c r="AH16" s="82"/>
      <c r="AI16" s="161"/>
      <c r="AJ16" s="79"/>
      <c r="AK16" s="80"/>
      <c r="AL16" s="81">
        <f t="shared" si="6"/>
        <v>0</v>
      </c>
      <c r="AM16" s="82"/>
      <c r="AN16" s="161"/>
      <c r="AO16" s="100">
        <v>1</v>
      </c>
      <c r="AP16" s="101">
        <v>0.75</v>
      </c>
      <c r="AQ16" s="85">
        <f t="shared" si="7"/>
        <v>0.75</v>
      </c>
      <c r="AR16" s="102" t="s">
        <v>237</v>
      </c>
      <c r="AS16" s="73"/>
    </row>
    <row r="17" spans="1:45" ht="189" x14ac:dyDescent="0.25">
      <c r="A17" s="73">
        <v>14</v>
      </c>
      <c r="B17" s="78" t="s">
        <v>6</v>
      </c>
      <c r="C17" s="78" t="s">
        <v>7</v>
      </c>
      <c r="D17" s="78" t="s">
        <v>130</v>
      </c>
      <c r="E17" s="161"/>
      <c r="F17" s="79"/>
      <c r="G17" s="80"/>
      <c r="H17" s="81">
        <f t="shared" si="0"/>
        <v>0</v>
      </c>
      <c r="I17" s="82"/>
      <c r="J17" s="161"/>
      <c r="K17" s="100">
        <v>1</v>
      </c>
      <c r="L17" s="101">
        <v>1</v>
      </c>
      <c r="M17" s="85">
        <f t="shared" si="1"/>
        <v>1</v>
      </c>
      <c r="N17" s="102" t="s">
        <v>1300</v>
      </c>
      <c r="O17" s="161"/>
      <c r="P17" s="100">
        <v>1</v>
      </c>
      <c r="Q17" s="101">
        <v>0.45</v>
      </c>
      <c r="R17" s="85">
        <f t="shared" si="2"/>
        <v>0.45</v>
      </c>
      <c r="S17" s="102" t="s">
        <v>219</v>
      </c>
      <c r="T17" s="161"/>
      <c r="U17" s="79"/>
      <c r="V17" s="80"/>
      <c r="W17" s="81">
        <f t="shared" si="3"/>
        <v>0</v>
      </c>
      <c r="X17" s="82"/>
      <c r="Y17" s="161"/>
      <c r="Z17" s="79"/>
      <c r="AA17" s="80"/>
      <c r="AB17" s="81">
        <f t="shared" si="4"/>
        <v>0</v>
      </c>
      <c r="AC17" s="82"/>
      <c r="AD17" s="161"/>
      <c r="AE17" s="79"/>
      <c r="AF17" s="80"/>
      <c r="AG17" s="81">
        <f t="shared" si="5"/>
        <v>0</v>
      </c>
      <c r="AH17" s="82"/>
      <c r="AI17" s="161"/>
      <c r="AJ17" s="79"/>
      <c r="AK17" s="80"/>
      <c r="AL17" s="81">
        <f t="shared" si="6"/>
        <v>0</v>
      </c>
      <c r="AM17" s="82"/>
      <c r="AN17" s="161"/>
      <c r="AO17" s="100">
        <v>1</v>
      </c>
      <c r="AP17" s="101">
        <v>0.55000000000000004</v>
      </c>
      <c r="AQ17" s="85">
        <f t="shared" si="7"/>
        <v>0.55000000000000004</v>
      </c>
      <c r="AR17" s="102" t="s">
        <v>1309</v>
      </c>
      <c r="AS17" s="73"/>
    </row>
    <row r="18" spans="1:45" ht="94.5" x14ac:dyDescent="0.25">
      <c r="A18" s="73">
        <v>15</v>
      </c>
      <c r="B18" s="78" t="s">
        <v>6</v>
      </c>
      <c r="C18" s="78" t="s">
        <v>7</v>
      </c>
      <c r="D18" s="78" t="s">
        <v>131</v>
      </c>
      <c r="E18" s="161"/>
      <c r="F18" s="79"/>
      <c r="G18" s="80"/>
      <c r="H18" s="81">
        <f t="shared" si="0"/>
        <v>0</v>
      </c>
      <c r="I18" s="82"/>
      <c r="J18" s="161"/>
      <c r="K18" s="100">
        <v>1</v>
      </c>
      <c r="L18" s="101">
        <v>1</v>
      </c>
      <c r="M18" s="85">
        <f t="shared" si="1"/>
        <v>1</v>
      </c>
      <c r="N18" s="102" t="s">
        <v>201</v>
      </c>
      <c r="O18" s="161"/>
      <c r="P18" s="100">
        <v>1</v>
      </c>
      <c r="Q18" s="101">
        <v>1</v>
      </c>
      <c r="R18" s="85">
        <f t="shared" si="2"/>
        <v>1</v>
      </c>
      <c r="S18" s="78" t="s">
        <v>220</v>
      </c>
      <c r="T18" s="161"/>
      <c r="U18" s="79"/>
      <c r="V18" s="80"/>
      <c r="W18" s="81">
        <f t="shared" si="3"/>
        <v>0</v>
      </c>
      <c r="X18" s="82"/>
      <c r="Y18" s="161"/>
      <c r="Z18" s="79"/>
      <c r="AA18" s="80"/>
      <c r="AB18" s="81">
        <f t="shared" si="4"/>
        <v>0</v>
      </c>
      <c r="AC18" s="82"/>
      <c r="AD18" s="161"/>
      <c r="AE18" s="79"/>
      <c r="AF18" s="80"/>
      <c r="AG18" s="81">
        <f t="shared" si="5"/>
        <v>0</v>
      </c>
      <c r="AH18" s="82"/>
      <c r="AI18" s="161"/>
      <c r="AJ18" s="79"/>
      <c r="AK18" s="80"/>
      <c r="AL18" s="81">
        <f t="shared" si="6"/>
        <v>0</v>
      </c>
      <c r="AM18" s="82"/>
      <c r="AN18" s="161"/>
      <c r="AO18" s="100">
        <v>1</v>
      </c>
      <c r="AP18" s="101">
        <v>0.95</v>
      </c>
      <c r="AQ18" s="85">
        <f t="shared" si="7"/>
        <v>0.95</v>
      </c>
      <c r="AR18" s="78" t="s">
        <v>238</v>
      </c>
      <c r="AS18" s="73"/>
    </row>
    <row r="19" spans="1:45" ht="94.5" x14ac:dyDescent="0.25">
      <c r="A19" s="73">
        <v>16</v>
      </c>
      <c r="B19" s="78" t="s">
        <v>6</v>
      </c>
      <c r="C19" s="78" t="s">
        <v>7</v>
      </c>
      <c r="D19" s="78" t="s">
        <v>42</v>
      </c>
      <c r="E19" s="161"/>
      <c r="F19" s="79"/>
      <c r="G19" s="80"/>
      <c r="H19" s="81">
        <f t="shared" si="0"/>
        <v>0</v>
      </c>
      <c r="I19" s="82"/>
      <c r="J19" s="161"/>
      <c r="K19" s="100">
        <v>1</v>
      </c>
      <c r="L19" s="101">
        <v>1</v>
      </c>
      <c r="M19" s="85">
        <f t="shared" si="1"/>
        <v>1</v>
      </c>
      <c r="N19" s="102" t="s">
        <v>202</v>
      </c>
      <c r="O19" s="161"/>
      <c r="P19" s="100">
        <v>1</v>
      </c>
      <c r="Q19" s="101">
        <v>0.97</v>
      </c>
      <c r="R19" s="85">
        <f t="shared" si="2"/>
        <v>0.97</v>
      </c>
      <c r="S19" s="78" t="s">
        <v>221</v>
      </c>
      <c r="T19" s="161"/>
      <c r="U19" s="79"/>
      <c r="V19" s="80"/>
      <c r="W19" s="81">
        <f t="shared" si="3"/>
        <v>0</v>
      </c>
      <c r="X19" s="82"/>
      <c r="Y19" s="161"/>
      <c r="Z19" s="79"/>
      <c r="AA19" s="80"/>
      <c r="AB19" s="81">
        <f t="shared" si="4"/>
        <v>0</v>
      </c>
      <c r="AC19" s="82"/>
      <c r="AD19" s="161"/>
      <c r="AE19" s="79"/>
      <c r="AF19" s="80"/>
      <c r="AG19" s="81">
        <f t="shared" si="5"/>
        <v>0</v>
      </c>
      <c r="AH19" s="82"/>
      <c r="AI19" s="161"/>
      <c r="AJ19" s="79"/>
      <c r="AK19" s="80"/>
      <c r="AL19" s="81">
        <f t="shared" si="6"/>
        <v>0</v>
      </c>
      <c r="AM19" s="82"/>
      <c r="AN19" s="161"/>
      <c r="AO19" s="100">
        <v>1</v>
      </c>
      <c r="AP19" s="101">
        <v>0.95</v>
      </c>
      <c r="AQ19" s="85">
        <f t="shared" si="7"/>
        <v>0.95</v>
      </c>
      <c r="AR19" s="78" t="s">
        <v>239</v>
      </c>
      <c r="AS19" s="73"/>
    </row>
    <row r="20" spans="1:45" ht="204.75" x14ac:dyDescent="0.25">
      <c r="A20" s="73">
        <v>17</v>
      </c>
      <c r="B20" s="78" t="s">
        <v>6</v>
      </c>
      <c r="C20" s="78" t="s">
        <v>7</v>
      </c>
      <c r="D20" s="78" t="s">
        <v>43</v>
      </c>
      <c r="E20" s="161"/>
      <c r="F20" s="79"/>
      <c r="G20" s="80"/>
      <c r="H20" s="81">
        <f t="shared" si="0"/>
        <v>0</v>
      </c>
      <c r="I20" s="82"/>
      <c r="J20" s="161"/>
      <c r="K20" s="100">
        <v>1</v>
      </c>
      <c r="L20" s="101">
        <v>0.73</v>
      </c>
      <c r="M20" s="85">
        <f t="shared" si="1"/>
        <v>0.73</v>
      </c>
      <c r="N20" s="102" t="s">
        <v>203</v>
      </c>
      <c r="O20" s="161"/>
      <c r="P20" s="100">
        <v>1</v>
      </c>
      <c r="Q20" s="101">
        <v>0.88</v>
      </c>
      <c r="R20" s="85">
        <f t="shared" si="2"/>
        <v>0.88</v>
      </c>
      <c r="S20" s="102" t="s">
        <v>222</v>
      </c>
      <c r="T20" s="161"/>
      <c r="U20" s="79"/>
      <c r="V20" s="80"/>
      <c r="W20" s="81">
        <f t="shared" si="3"/>
        <v>0</v>
      </c>
      <c r="X20" s="82"/>
      <c r="Y20" s="161"/>
      <c r="Z20" s="79"/>
      <c r="AA20" s="80"/>
      <c r="AB20" s="81">
        <f t="shared" si="4"/>
        <v>0</v>
      </c>
      <c r="AC20" s="82"/>
      <c r="AD20" s="161"/>
      <c r="AE20" s="79"/>
      <c r="AF20" s="80"/>
      <c r="AG20" s="81">
        <f t="shared" si="5"/>
        <v>0</v>
      </c>
      <c r="AH20" s="82"/>
      <c r="AI20" s="161"/>
      <c r="AJ20" s="79"/>
      <c r="AK20" s="80"/>
      <c r="AL20" s="81">
        <f t="shared" si="6"/>
        <v>0</v>
      </c>
      <c r="AM20" s="82"/>
      <c r="AN20" s="161"/>
      <c r="AO20" s="100">
        <v>1</v>
      </c>
      <c r="AP20" s="101">
        <v>0.65</v>
      </c>
      <c r="AQ20" s="85">
        <f>AO20*AP20</f>
        <v>0.65</v>
      </c>
      <c r="AR20" s="102" t="s">
        <v>240</v>
      </c>
      <c r="AS20" s="73"/>
    </row>
    <row r="21" spans="1:45" ht="204.75" x14ac:dyDescent="0.25">
      <c r="A21" s="73">
        <v>18</v>
      </c>
      <c r="B21" s="78" t="s">
        <v>6</v>
      </c>
      <c r="C21" s="78" t="s">
        <v>7</v>
      </c>
      <c r="D21" s="78" t="s">
        <v>44</v>
      </c>
      <c r="E21" s="161"/>
      <c r="F21" s="79"/>
      <c r="G21" s="80"/>
      <c r="H21" s="81">
        <f t="shared" si="0"/>
        <v>0</v>
      </c>
      <c r="I21" s="82"/>
      <c r="J21" s="161"/>
      <c r="K21" s="100">
        <v>1</v>
      </c>
      <c r="L21" s="101">
        <v>0.75</v>
      </c>
      <c r="M21" s="85">
        <f t="shared" si="1"/>
        <v>0.75</v>
      </c>
      <c r="N21" s="102" t="s">
        <v>204</v>
      </c>
      <c r="O21" s="161"/>
      <c r="P21" s="100">
        <v>1</v>
      </c>
      <c r="Q21" s="101">
        <v>0.75</v>
      </c>
      <c r="R21" s="85">
        <f t="shared" si="2"/>
        <v>0.75</v>
      </c>
      <c r="S21" s="102" t="s">
        <v>1297</v>
      </c>
      <c r="T21" s="161"/>
      <c r="U21" s="79"/>
      <c r="V21" s="80"/>
      <c r="W21" s="81">
        <f t="shared" si="3"/>
        <v>0</v>
      </c>
      <c r="X21" s="82"/>
      <c r="Y21" s="161"/>
      <c r="Z21" s="79"/>
      <c r="AA21" s="80"/>
      <c r="AB21" s="81">
        <f t="shared" si="4"/>
        <v>0</v>
      </c>
      <c r="AC21" s="82"/>
      <c r="AD21" s="161"/>
      <c r="AE21" s="79"/>
      <c r="AF21" s="80"/>
      <c r="AG21" s="81">
        <f t="shared" si="5"/>
        <v>0</v>
      </c>
      <c r="AH21" s="82"/>
      <c r="AI21" s="161"/>
      <c r="AJ21" s="79"/>
      <c r="AK21" s="80"/>
      <c r="AL21" s="81">
        <f t="shared" si="6"/>
        <v>0</v>
      </c>
      <c r="AM21" s="82"/>
      <c r="AN21" s="161"/>
      <c r="AO21" s="100">
        <v>1</v>
      </c>
      <c r="AP21" s="101">
        <v>0.72</v>
      </c>
      <c r="AQ21" s="85">
        <f t="shared" ref="AQ21:AQ27" si="8">AO21*AP21</f>
        <v>0.72</v>
      </c>
      <c r="AR21" s="102" t="s">
        <v>241</v>
      </c>
      <c r="AS21" s="73"/>
    </row>
    <row r="22" spans="1:45" ht="141.75" x14ac:dyDescent="0.25">
      <c r="A22" s="73">
        <v>19</v>
      </c>
      <c r="B22" s="78" t="s">
        <v>6</v>
      </c>
      <c r="C22" s="78" t="s">
        <v>7</v>
      </c>
      <c r="D22" s="78" t="s">
        <v>45</v>
      </c>
      <c r="E22" s="161"/>
      <c r="F22" s="79"/>
      <c r="G22" s="80"/>
      <c r="H22" s="81">
        <f t="shared" si="0"/>
        <v>0</v>
      </c>
      <c r="I22" s="82"/>
      <c r="J22" s="161"/>
      <c r="K22" s="100">
        <v>1</v>
      </c>
      <c r="L22" s="101">
        <v>0.7</v>
      </c>
      <c r="M22" s="85">
        <f t="shared" si="1"/>
        <v>0.7</v>
      </c>
      <c r="N22" s="102" t="s">
        <v>205</v>
      </c>
      <c r="O22" s="161"/>
      <c r="P22" s="100">
        <v>1</v>
      </c>
      <c r="Q22" s="101">
        <v>0.6</v>
      </c>
      <c r="R22" s="85">
        <f t="shared" si="2"/>
        <v>0.6</v>
      </c>
      <c r="S22" s="102" t="s">
        <v>1298</v>
      </c>
      <c r="T22" s="161"/>
      <c r="U22" s="79"/>
      <c r="V22" s="80"/>
      <c r="W22" s="81">
        <f t="shared" si="3"/>
        <v>0</v>
      </c>
      <c r="X22" s="82"/>
      <c r="Y22" s="161"/>
      <c r="Z22" s="79"/>
      <c r="AA22" s="80"/>
      <c r="AB22" s="81">
        <f t="shared" si="4"/>
        <v>0</v>
      </c>
      <c r="AC22" s="82"/>
      <c r="AD22" s="161"/>
      <c r="AE22" s="79"/>
      <c r="AF22" s="80"/>
      <c r="AG22" s="81">
        <f t="shared" si="5"/>
        <v>0</v>
      </c>
      <c r="AH22" s="82"/>
      <c r="AI22" s="161"/>
      <c r="AJ22" s="79"/>
      <c r="AK22" s="80"/>
      <c r="AL22" s="81">
        <f t="shared" si="6"/>
        <v>0</v>
      </c>
      <c r="AM22" s="82"/>
      <c r="AN22" s="161"/>
      <c r="AO22" s="100">
        <v>1</v>
      </c>
      <c r="AP22" s="101">
        <v>0.35</v>
      </c>
      <c r="AQ22" s="85">
        <f t="shared" si="8"/>
        <v>0.35</v>
      </c>
      <c r="AR22" s="102" t="s">
        <v>242</v>
      </c>
      <c r="AS22" s="73"/>
    </row>
    <row r="23" spans="1:45" ht="126" x14ac:dyDescent="0.25">
      <c r="A23" s="73">
        <v>20</v>
      </c>
      <c r="B23" s="78" t="s">
        <v>6</v>
      </c>
      <c r="C23" s="78" t="s">
        <v>7</v>
      </c>
      <c r="D23" s="78" t="s">
        <v>46</v>
      </c>
      <c r="E23" s="161"/>
      <c r="F23" s="79"/>
      <c r="G23" s="80"/>
      <c r="H23" s="81">
        <f t="shared" si="0"/>
        <v>0</v>
      </c>
      <c r="I23" s="82"/>
      <c r="J23" s="161"/>
      <c r="K23" s="100">
        <v>1</v>
      </c>
      <c r="L23" s="101">
        <v>0.75</v>
      </c>
      <c r="M23" s="85">
        <f t="shared" si="1"/>
        <v>0.75</v>
      </c>
      <c r="N23" s="102" t="s">
        <v>206</v>
      </c>
      <c r="O23" s="161"/>
      <c r="P23" s="100">
        <v>1</v>
      </c>
      <c r="Q23" s="101">
        <v>0.45</v>
      </c>
      <c r="R23" s="85">
        <f t="shared" si="2"/>
        <v>0.45</v>
      </c>
      <c r="S23" s="102" t="s">
        <v>223</v>
      </c>
      <c r="T23" s="161"/>
      <c r="U23" s="79"/>
      <c r="V23" s="80"/>
      <c r="W23" s="81">
        <f t="shared" si="3"/>
        <v>0</v>
      </c>
      <c r="X23" s="82"/>
      <c r="Y23" s="161"/>
      <c r="Z23" s="79"/>
      <c r="AA23" s="80"/>
      <c r="AB23" s="81">
        <f t="shared" si="4"/>
        <v>0</v>
      </c>
      <c r="AC23" s="82"/>
      <c r="AD23" s="161"/>
      <c r="AE23" s="79"/>
      <c r="AF23" s="80"/>
      <c r="AG23" s="81">
        <f t="shared" si="5"/>
        <v>0</v>
      </c>
      <c r="AH23" s="82"/>
      <c r="AI23" s="161"/>
      <c r="AJ23" s="79"/>
      <c r="AK23" s="80"/>
      <c r="AL23" s="81">
        <f t="shared" si="6"/>
        <v>0</v>
      </c>
      <c r="AM23" s="82"/>
      <c r="AN23" s="161"/>
      <c r="AO23" s="100">
        <v>1</v>
      </c>
      <c r="AP23" s="101">
        <v>0.3</v>
      </c>
      <c r="AQ23" s="85">
        <f t="shared" si="8"/>
        <v>0.3</v>
      </c>
      <c r="AR23" s="102" t="s">
        <v>243</v>
      </c>
      <c r="AS23" s="73"/>
    </row>
    <row r="24" spans="1:45" ht="150" customHeight="1" x14ac:dyDescent="0.25">
      <c r="A24" s="73">
        <v>21</v>
      </c>
      <c r="B24" s="78" t="s">
        <v>6</v>
      </c>
      <c r="C24" s="78" t="s">
        <v>7</v>
      </c>
      <c r="D24" s="78" t="s">
        <v>47</v>
      </c>
      <c r="E24" s="161"/>
      <c r="F24" s="79"/>
      <c r="G24" s="80"/>
      <c r="H24" s="81">
        <f t="shared" si="0"/>
        <v>0</v>
      </c>
      <c r="I24" s="82"/>
      <c r="J24" s="161" t="s">
        <v>30</v>
      </c>
      <c r="K24" s="100">
        <v>1</v>
      </c>
      <c r="L24" s="101">
        <v>0.98</v>
      </c>
      <c r="M24" s="85">
        <f t="shared" si="1"/>
        <v>0.98</v>
      </c>
      <c r="N24" s="102" t="s">
        <v>142</v>
      </c>
      <c r="O24" s="161"/>
      <c r="P24" s="100">
        <v>1</v>
      </c>
      <c r="Q24" s="101">
        <v>0.9</v>
      </c>
      <c r="R24" s="85">
        <f t="shared" si="2"/>
        <v>0.9</v>
      </c>
      <c r="S24" s="102" t="s">
        <v>224</v>
      </c>
      <c r="T24" s="161"/>
      <c r="U24" s="79"/>
      <c r="V24" s="80"/>
      <c r="W24" s="81">
        <f t="shared" si="3"/>
        <v>0</v>
      </c>
      <c r="X24" s="82"/>
      <c r="Y24" s="161"/>
      <c r="Z24" s="79"/>
      <c r="AA24" s="80"/>
      <c r="AB24" s="81">
        <f t="shared" si="4"/>
        <v>0</v>
      </c>
      <c r="AC24" s="82"/>
      <c r="AD24" s="161"/>
      <c r="AE24" s="79"/>
      <c r="AF24" s="80"/>
      <c r="AG24" s="81">
        <f t="shared" si="5"/>
        <v>0</v>
      </c>
      <c r="AH24" s="82"/>
      <c r="AI24" s="161"/>
      <c r="AJ24" s="79"/>
      <c r="AK24" s="80"/>
      <c r="AL24" s="81">
        <f t="shared" si="6"/>
        <v>0</v>
      </c>
      <c r="AM24" s="82"/>
      <c r="AN24" s="161"/>
      <c r="AO24" s="100">
        <v>1</v>
      </c>
      <c r="AP24" s="101">
        <v>0.95</v>
      </c>
      <c r="AQ24" s="85">
        <f t="shared" si="8"/>
        <v>0.95</v>
      </c>
      <c r="AR24" s="102" t="s">
        <v>185</v>
      </c>
      <c r="AS24" s="73"/>
    </row>
    <row r="25" spans="1:45" s="73" customFormat="1" ht="157.5" x14ac:dyDescent="0.25">
      <c r="A25" s="73">
        <v>22</v>
      </c>
      <c r="B25" s="78" t="s">
        <v>6</v>
      </c>
      <c r="C25" s="78" t="s">
        <v>8</v>
      </c>
      <c r="D25" s="78" t="s">
        <v>48</v>
      </c>
      <c r="E25" s="161"/>
      <c r="F25" s="79"/>
      <c r="G25" s="80"/>
      <c r="H25" s="81">
        <f t="shared" si="0"/>
        <v>0</v>
      </c>
      <c r="I25" s="82"/>
      <c r="J25" s="161"/>
      <c r="K25" s="100">
        <v>1</v>
      </c>
      <c r="L25" s="101">
        <v>1</v>
      </c>
      <c r="M25" s="85">
        <f t="shared" si="1"/>
        <v>1</v>
      </c>
      <c r="N25" s="102" t="s">
        <v>207</v>
      </c>
      <c r="O25" s="161"/>
      <c r="P25" s="100">
        <v>1</v>
      </c>
      <c r="Q25" s="101">
        <v>1</v>
      </c>
      <c r="R25" s="85">
        <f t="shared" si="2"/>
        <v>1</v>
      </c>
      <c r="S25" s="102" t="s">
        <v>164</v>
      </c>
      <c r="T25" s="161"/>
      <c r="U25" s="79"/>
      <c r="V25" s="80"/>
      <c r="W25" s="81">
        <f t="shared" si="3"/>
        <v>0</v>
      </c>
      <c r="X25" s="82"/>
      <c r="Y25" s="161"/>
      <c r="Z25" s="79"/>
      <c r="AA25" s="80"/>
      <c r="AB25" s="81">
        <f t="shared" si="4"/>
        <v>0</v>
      </c>
      <c r="AC25" s="82"/>
      <c r="AD25" s="161"/>
      <c r="AE25" s="79"/>
      <c r="AF25" s="80"/>
      <c r="AG25" s="81">
        <f t="shared" si="5"/>
        <v>0</v>
      </c>
      <c r="AH25" s="82"/>
      <c r="AI25" s="161"/>
      <c r="AJ25" s="79"/>
      <c r="AK25" s="80"/>
      <c r="AL25" s="81">
        <f t="shared" si="6"/>
        <v>0</v>
      </c>
      <c r="AM25" s="82"/>
      <c r="AN25" s="161"/>
      <c r="AO25" s="100">
        <v>1</v>
      </c>
      <c r="AP25" s="101">
        <v>0.5</v>
      </c>
      <c r="AQ25" s="85">
        <f t="shared" si="8"/>
        <v>0.5</v>
      </c>
      <c r="AR25" s="102" t="s">
        <v>186</v>
      </c>
    </row>
    <row r="26" spans="1:45" ht="126" x14ac:dyDescent="0.25">
      <c r="A26" s="73">
        <v>23</v>
      </c>
      <c r="B26" s="78" t="s">
        <v>6</v>
      </c>
      <c r="C26" s="78" t="s">
        <v>8</v>
      </c>
      <c r="D26" s="78" t="s">
        <v>49</v>
      </c>
      <c r="E26" s="161"/>
      <c r="F26" s="79"/>
      <c r="G26" s="80"/>
      <c r="H26" s="81">
        <f t="shared" si="0"/>
        <v>0</v>
      </c>
      <c r="I26" s="82"/>
      <c r="J26" s="161"/>
      <c r="K26" s="100">
        <v>1</v>
      </c>
      <c r="L26" s="101">
        <v>1</v>
      </c>
      <c r="M26" s="85">
        <f t="shared" si="1"/>
        <v>1</v>
      </c>
      <c r="N26" s="102" t="s">
        <v>208</v>
      </c>
      <c r="O26" s="161"/>
      <c r="P26" s="100">
        <v>1</v>
      </c>
      <c r="Q26" s="101">
        <v>1</v>
      </c>
      <c r="R26" s="85">
        <f t="shared" si="2"/>
        <v>1</v>
      </c>
      <c r="S26" s="102" t="s">
        <v>225</v>
      </c>
      <c r="T26" s="161"/>
      <c r="U26" s="79"/>
      <c r="V26" s="80"/>
      <c r="W26" s="81">
        <f t="shared" si="3"/>
        <v>0</v>
      </c>
      <c r="X26" s="82"/>
      <c r="Y26" s="161"/>
      <c r="Z26" s="79"/>
      <c r="AA26" s="80"/>
      <c r="AB26" s="81">
        <f t="shared" si="4"/>
        <v>0</v>
      </c>
      <c r="AC26" s="82"/>
      <c r="AD26" s="161"/>
      <c r="AE26" s="79"/>
      <c r="AF26" s="80"/>
      <c r="AG26" s="81">
        <f t="shared" si="5"/>
        <v>0</v>
      </c>
      <c r="AH26" s="82"/>
      <c r="AI26" s="161"/>
      <c r="AJ26" s="79"/>
      <c r="AK26" s="80"/>
      <c r="AL26" s="81">
        <f t="shared" si="6"/>
        <v>0</v>
      </c>
      <c r="AM26" s="82"/>
      <c r="AN26" s="161"/>
      <c r="AO26" s="100">
        <v>1</v>
      </c>
      <c r="AP26" s="101">
        <v>0.7</v>
      </c>
      <c r="AQ26" s="85">
        <f t="shared" si="8"/>
        <v>0.7</v>
      </c>
      <c r="AR26" s="102" t="s">
        <v>244</v>
      </c>
      <c r="AS26" s="73"/>
    </row>
    <row r="27" spans="1:45" ht="126" x14ac:dyDescent="0.25">
      <c r="A27" s="73">
        <v>24</v>
      </c>
      <c r="B27" s="78" t="s">
        <v>6</v>
      </c>
      <c r="C27" s="78" t="s">
        <v>8</v>
      </c>
      <c r="D27" s="78" t="s">
        <v>50</v>
      </c>
      <c r="E27" s="161"/>
      <c r="F27" s="79"/>
      <c r="G27" s="80"/>
      <c r="H27" s="81">
        <f t="shared" si="0"/>
        <v>0</v>
      </c>
      <c r="I27" s="82"/>
      <c r="J27" s="161"/>
      <c r="K27" s="100">
        <v>1</v>
      </c>
      <c r="L27" s="101">
        <v>0.99</v>
      </c>
      <c r="M27" s="85">
        <f t="shared" si="1"/>
        <v>0.99</v>
      </c>
      <c r="N27" s="102" t="s">
        <v>209</v>
      </c>
      <c r="O27" s="161"/>
      <c r="P27" s="100">
        <v>1</v>
      </c>
      <c r="Q27" s="101">
        <v>1</v>
      </c>
      <c r="R27" s="85">
        <f t="shared" si="2"/>
        <v>1</v>
      </c>
      <c r="S27" s="102" t="s">
        <v>226</v>
      </c>
      <c r="T27" s="161"/>
      <c r="U27" s="79"/>
      <c r="V27" s="80"/>
      <c r="W27" s="81">
        <f t="shared" si="3"/>
        <v>0</v>
      </c>
      <c r="X27" s="82"/>
      <c r="Y27" s="161"/>
      <c r="Z27" s="79"/>
      <c r="AA27" s="80"/>
      <c r="AB27" s="81">
        <f t="shared" si="4"/>
        <v>0</v>
      </c>
      <c r="AC27" s="82"/>
      <c r="AD27" s="161"/>
      <c r="AE27" s="79"/>
      <c r="AF27" s="80"/>
      <c r="AG27" s="81">
        <f t="shared" si="5"/>
        <v>0</v>
      </c>
      <c r="AH27" s="82"/>
      <c r="AI27" s="161"/>
      <c r="AJ27" s="79"/>
      <c r="AK27" s="80"/>
      <c r="AL27" s="81">
        <f t="shared" si="6"/>
        <v>0</v>
      </c>
      <c r="AM27" s="82"/>
      <c r="AN27" s="161"/>
      <c r="AO27" s="100">
        <v>1</v>
      </c>
      <c r="AP27" s="101">
        <v>0.7</v>
      </c>
      <c r="AQ27" s="85">
        <f t="shared" si="8"/>
        <v>0.7</v>
      </c>
      <c r="AR27" s="102" t="s">
        <v>245</v>
      </c>
      <c r="AS27" s="73"/>
    </row>
    <row r="28" spans="1:45" ht="409.5" x14ac:dyDescent="0.25">
      <c r="A28" s="73">
        <v>25</v>
      </c>
      <c r="B28" s="78" t="s">
        <v>6</v>
      </c>
      <c r="C28" s="78" t="s">
        <v>8</v>
      </c>
      <c r="D28" s="78" t="s">
        <v>51</v>
      </c>
      <c r="E28" s="161"/>
      <c r="F28" s="79"/>
      <c r="G28" s="80"/>
      <c r="H28" s="81">
        <f t="shared" si="0"/>
        <v>0</v>
      </c>
      <c r="I28" s="82"/>
      <c r="J28" s="161"/>
      <c r="K28" s="100">
        <v>1</v>
      </c>
      <c r="L28" s="101">
        <v>0.7</v>
      </c>
      <c r="M28" s="85">
        <f t="shared" si="1"/>
        <v>0.7</v>
      </c>
      <c r="N28" s="102" t="s">
        <v>210</v>
      </c>
      <c r="O28" s="161"/>
      <c r="P28" s="100">
        <v>1</v>
      </c>
      <c r="Q28" s="101">
        <v>0.6</v>
      </c>
      <c r="R28" s="85">
        <f t="shared" si="2"/>
        <v>0.6</v>
      </c>
      <c r="S28" s="102" t="s">
        <v>1299</v>
      </c>
      <c r="T28" s="161"/>
      <c r="U28" s="79"/>
      <c r="V28" s="80"/>
      <c r="W28" s="81">
        <f t="shared" si="3"/>
        <v>0</v>
      </c>
      <c r="X28" s="82"/>
      <c r="Y28" s="161"/>
      <c r="Z28" s="79"/>
      <c r="AA28" s="80"/>
      <c r="AB28" s="81">
        <f t="shared" si="4"/>
        <v>0</v>
      </c>
      <c r="AC28" s="82"/>
      <c r="AD28" s="161"/>
      <c r="AE28" s="79"/>
      <c r="AF28" s="80"/>
      <c r="AG28" s="81">
        <f t="shared" si="5"/>
        <v>0</v>
      </c>
      <c r="AH28" s="82"/>
      <c r="AI28" s="161"/>
      <c r="AJ28" s="79"/>
      <c r="AK28" s="80"/>
      <c r="AL28" s="81">
        <f t="shared" si="6"/>
        <v>0</v>
      </c>
      <c r="AM28" s="82"/>
      <c r="AN28" s="161"/>
      <c r="AO28" s="100">
        <v>1</v>
      </c>
      <c r="AP28" s="101">
        <v>0.6</v>
      </c>
      <c r="AQ28" s="85">
        <f t="shared" si="7"/>
        <v>0.6</v>
      </c>
      <c r="AR28" s="102" t="s">
        <v>246</v>
      </c>
      <c r="AS28" s="73"/>
    </row>
    <row r="29" spans="1:45" ht="126" x14ac:dyDescent="0.25">
      <c r="A29" s="73">
        <v>26</v>
      </c>
      <c r="B29" s="78" t="s">
        <v>6</v>
      </c>
      <c r="C29" s="78" t="s">
        <v>8</v>
      </c>
      <c r="D29" s="78" t="s">
        <v>52</v>
      </c>
      <c r="E29" s="161"/>
      <c r="F29" s="79"/>
      <c r="G29" s="80"/>
      <c r="H29" s="81">
        <f t="shared" si="0"/>
        <v>0</v>
      </c>
      <c r="I29" s="82"/>
      <c r="J29" s="161"/>
      <c r="K29" s="100">
        <v>1</v>
      </c>
      <c r="L29" s="101">
        <v>1</v>
      </c>
      <c r="M29" s="85">
        <f t="shared" si="1"/>
        <v>1</v>
      </c>
      <c r="N29" s="102" t="s">
        <v>147</v>
      </c>
      <c r="O29" s="161"/>
      <c r="P29" s="100">
        <v>1</v>
      </c>
      <c r="Q29" s="101">
        <v>0.65</v>
      </c>
      <c r="R29" s="85">
        <f t="shared" si="2"/>
        <v>0.65</v>
      </c>
      <c r="S29" s="102" t="s">
        <v>227</v>
      </c>
      <c r="T29" s="161"/>
      <c r="U29" s="79"/>
      <c r="V29" s="80"/>
      <c r="W29" s="81">
        <f t="shared" si="3"/>
        <v>0</v>
      </c>
      <c r="X29" s="78"/>
      <c r="Y29" s="161"/>
      <c r="Z29" s="79"/>
      <c r="AA29" s="80"/>
      <c r="AB29" s="81">
        <f t="shared" si="4"/>
        <v>0</v>
      </c>
      <c r="AC29" s="78"/>
      <c r="AD29" s="161"/>
      <c r="AE29" s="79"/>
      <c r="AF29" s="80"/>
      <c r="AG29" s="81">
        <f t="shared" si="5"/>
        <v>0</v>
      </c>
      <c r="AH29" s="78"/>
      <c r="AI29" s="161"/>
      <c r="AJ29" s="79"/>
      <c r="AK29" s="80"/>
      <c r="AL29" s="81">
        <f t="shared" si="6"/>
        <v>0</v>
      </c>
      <c r="AM29" s="78"/>
      <c r="AN29" s="161"/>
      <c r="AO29" s="100">
        <v>1</v>
      </c>
      <c r="AP29" s="101">
        <v>0.75</v>
      </c>
      <c r="AQ29" s="85">
        <f t="shared" si="7"/>
        <v>0.75</v>
      </c>
      <c r="AR29" s="102" t="s">
        <v>247</v>
      </c>
      <c r="AS29" s="73"/>
    </row>
    <row r="30" spans="1:45" ht="330.75" x14ac:dyDescent="0.25">
      <c r="A30" s="73">
        <v>27</v>
      </c>
      <c r="B30" s="78" t="s">
        <v>6</v>
      </c>
      <c r="C30" s="78" t="s">
        <v>8</v>
      </c>
      <c r="D30" s="78" t="s">
        <v>53</v>
      </c>
      <c r="E30" s="161"/>
      <c r="F30" s="79"/>
      <c r="G30" s="80"/>
      <c r="H30" s="81">
        <f t="shared" si="0"/>
        <v>0</v>
      </c>
      <c r="I30" s="82"/>
      <c r="J30" s="161"/>
      <c r="K30" s="100">
        <v>1</v>
      </c>
      <c r="L30" s="107">
        <v>1</v>
      </c>
      <c r="M30" s="85">
        <f t="shared" si="1"/>
        <v>1</v>
      </c>
      <c r="N30" s="102"/>
      <c r="O30" s="161"/>
      <c r="P30" s="100">
        <v>1</v>
      </c>
      <c r="Q30" s="101">
        <v>0.6</v>
      </c>
      <c r="R30" s="85">
        <f t="shared" si="2"/>
        <v>0.6</v>
      </c>
      <c r="S30" s="102" t="s">
        <v>228</v>
      </c>
      <c r="T30" s="161"/>
      <c r="U30" s="79"/>
      <c r="V30" s="80"/>
      <c r="W30" s="81">
        <f t="shared" si="3"/>
        <v>0</v>
      </c>
      <c r="X30" s="82"/>
      <c r="Y30" s="161"/>
      <c r="Z30" s="79"/>
      <c r="AA30" s="80"/>
      <c r="AB30" s="81">
        <f t="shared" si="4"/>
        <v>0</v>
      </c>
      <c r="AC30" s="82"/>
      <c r="AD30" s="161"/>
      <c r="AE30" s="79"/>
      <c r="AF30" s="80"/>
      <c r="AG30" s="81">
        <f t="shared" si="5"/>
        <v>0</v>
      </c>
      <c r="AH30" s="82"/>
      <c r="AI30" s="161"/>
      <c r="AJ30" s="79"/>
      <c r="AK30" s="80"/>
      <c r="AL30" s="81">
        <f t="shared" si="6"/>
        <v>0</v>
      </c>
      <c r="AM30" s="82"/>
      <c r="AN30" s="161"/>
      <c r="AO30" s="100">
        <v>1</v>
      </c>
      <c r="AP30" s="101">
        <v>1</v>
      </c>
      <c r="AQ30" s="85">
        <f t="shared" si="7"/>
        <v>1</v>
      </c>
      <c r="AR30" s="102"/>
      <c r="AS30" s="73"/>
    </row>
    <row r="31" spans="1:45" ht="110.25" x14ac:dyDescent="0.25">
      <c r="A31" s="73">
        <v>28</v>
      </c>
      <c r="B31" s="78" t="s">
        <v>6</v>
      </c>
      <c r="C31" s="78" t="s">
        <v>8</v>
      </c>
      <c r="D31" s="78" t="s">
        <v>54</v>
      </c>
      <c r="E31" s="161"/>
      <c r="F31" s="79"/>
      <c r="G31" s="80"/>
      <c r="H31" s="81">
        <f t="shared" si="0"/>
        <v>0</v>
      </c>
      <c r="I31" s="82"/>
      <c r="J31" s="161"/>
      <c r="K31" s="100">
        <v>1</v>
      </c>
      <c r="L31" s="101">
        <v>1</v>
      </c>
      <c r="M31" s="85">
        <f t="shared" si="1"/>
        <v>1</v>
      </c>
      <c r="N31" s="102" t="s">
        <v>211</v>
      </c>
      <c r="O31" s="161"/>
      <c r="P31" s="100">
        <v>1</v>
      </c>
      <c r="Q31" s="101">
        <v>1</v>
      </c>
      <c r="R31" s="85">
        <f t="shared" si="2"/>
        <v>1</v>
      </c>
      <c r="S31" s="102" t="s">
        <v>229</v>
      </c>
      <c r="T31" s="161"/>
      <c r="U31" s="79"/>
      <c r="V31" s="80"/>
      <c r="W31" s="81">
        <f t="shared" si="3"/>
        <v>0</v>
      </c>
      <c r="X31" s="82"/>
      <c r="Y31" s="161"/>
      <c r="Z31" s="79"/>
      <c r="AA31" s="80"/>
      <c r="AB31" s="81">
        <f t="shared" si="4"/>
        <v>0</v>
      </c>
      <c r="AC31" s="82"/>
      <c r="AD31" s="161"/>
      <c r="AE31" s="79"/>
      <c r="AF31" s="80"/>
      <c r="AG31" s="81">
        <f t="shared" si="5"/>
        <v>0</v>
      </c>
      <c r="AH31" s="82"/>
      <c r="AI31" s="161"/>
      <c r="AJ31" s="79"/>
      <c r="AK31" s="80"/>
      <c r="AL31" s="81">
        <f t="shared" si="6"/>
        <v>0</v>
      </c>
      <c r="AM31" s="82"/>
      <c r="AN31" s="161"/>
      <c r="AO31" s="100">
        <v>1</v>
      </c>
      <c r="AP31" s="101">
        <v>1</v>
      </c>
      <c r="AQ31" s="85">
        <f t="shared" si="7"/>
        <v>1</v>
      </c>
      <c r="AR31" s="102" t="s">
        <v>248</v>
      </c>
      <c r="AS31" s="73"/>
    </row>
    <row r="32" spans="1:45" ht="126" x14ac:dyDescent="0.25">
      <c r="A32" s="73">
        <v>29</v>
      </c>
      <c r="B32" s="78" t="s">
        <v>6</v>
      </c>
      <c r="C32" s="78" t="s">
        <v>8</v>
      </c>
      <c r="D32" s="78" t="s">
        <v>55</v>
      </c>
      <c r="E32" s="161"/>
      <c r="F32" s="79"/>
      <c r="G32" s="80"/>
      <c r="H32" s="81">
        <f t="shared" si="0"/>
        <v>0</v>
      </c>
      <c r="I32" s="82"/>
      <c r="J32" s="161"/>
      <c r="K32" s="100">
        <v>1</v>
      </c>
      <c r="L32" s="101">
        <v>0.95</v>
      </c>
      <c r="M32" s="85">
        <f t="shared" si="1"/>
        <v>0.95</v>
      </c>
      <c r="N32" s="102" t="s">
        <v>212</v>
      </c>
      <c r="O32" s="161"/>
      <c r="P32" s="100">
        <v>1</v>
      </c>
      <c r="Q32" s="101">
        <v>0.95</v>
      </c>
      <c r="R32" s="85">
        <f t="shared" si="2"/>
        <v>0.95</v>
      </c>
      <c r="S32" s="102" t="s">
        <v>230</v>
      </c>
      <c r="T32" s="161"/>
      <c r="U32" s="79"/>
      <c r="V32" s="80"/>
      <c r="W32" s="81">
        <f t="shared" si="3"/>
        <v>0</v>
      </c>
      <c r="X32" s="82"/>
      <c r="Y32" s="161"/>
      <c r="Z32" s="79"/>
      <c r="AA32" s="80"/>
      <c r="AB32" s="81">
        <f t="shared" si="4"/>
        <v>0</v>
      </c>
      <c r="AC32" s="82"/>
      <c r="AD32" s="161"/>
      <c r="AE32" s="79"/>
      <c r="AF32" s="80"/>
      <c r="AG32" s="81">
        <f t="shared" si="5"/>
        <v>0</v>
      </c>
      <c r="AH32" s="82"/>
      <c r="AI32" s="161"/>
      <c r="AJ32" s="79"/>
      <c r="AK32" s="80"/>
      <c r="AL32" s="81">
        <f t="shared" si="6"/>
        <v>0</v>
      </c>
      <c r="AM32" s="82"/>
      <c r="AN32" s="161"/>
      <c r="AO32" s="100">
        <v>1</v>
      </c>
      <c r="AP32" s="101">
        <v>0.95</v>
      </c>
      <c r="AQ32" s="85">
        <f t="shared" si="7"/>
        <v>0.95</v>
      </c>
      <c r="AR32" s="102" t="s">
        <v>249</v>
      </c>
      <c r="AS32" s="73"/>
    </row>
    <row r="33" spans="1:45" ht="126" x14ac:dyDescent="0.25">
      <c r="A33" s="73">
        <v>30</v>
      </c>
      <c r="B33" s="78" t="s">
        <v>6</v>
      </c>
      <c r="C33" s="78" t="s">
        <v>8</v>
      </c>
      <c r="D33" s="78" t="s">
        <v>56</v>
      </c>
      <c r="E33" s="161"/>
      <c r="F33" s="79"/>
      <c r="G33" s="80"/>
      <c r="H33" s="81">
        <f t="shared" si="0"/>
        <v>0</v>
      </c>
      <c r="I33" s="82"/>
      <c r="J33" s="161"/>
      <c r="K33" s="100">
        <v>1</v>
      </c>
      <c r="L33" s="101">
        <v>1</v>
      </c>
      <c r="M33" s="85">
        <f t="shared" si="1"/>
        <v>1</v>
      </c>
      <c r="N33" s="102" t="s">
        <v>213</v>
      </c>
      <c r="O33" s="161"/>
      <c r="P33" s="100">
        <v>1</v>
      </c>
      <c r="Q33" s="101">
        <v>0.5</v>
      </c>
      <c r="R33" s="85">
        <f t="shared" si="2"/>
        <v>0.5</v>
      </c>
      <c r="S33" s="102" t="s">
        <v>172</v>
      </c>
      <c r="T33" s="161"/>
      <c r="U33" s="79"/>
      <c r="V33" s="80"/>
      <c r="W33" s="81">
        <f t="shared" si="3"/>
        <v>0</v>
      </c>
      <c r="X33" s="82"/>
      <c r="Y33" s="161"/>
      <c r="Z33" s="79"/>
      <c r="AA33" s="80"/>
      <c r="AB33" s="81">
        <f t="shared" si="4"/>
        <v>0</v>
      </c>
      <c r="AC33" s="82"/>
      <c r="AD33" s="161"/>
      <c r="AE33" s="79"/>
      <c r="AF33" s="80"/>
      <c r="AG33" s="81">
        <f t="shared" si="5"/>
        <v>0</v>
      </c>
      <c r="AH33" s="82"/>
      <c r="AI33" s="161"/>
      <c r="AJ33" s="79"/>
      <c r="AK33" s="80"/>
      <c r="AL33" s="81">
        <f t="shared" si="6"/>
        <v>0</v>
      </c>
      <c r="AM33" s="82"/>
      <c r="AN33" s="161"/>
      <c r="AO33" s="100">
        <v>1</v>
      </c>
      <c r="AP33" s="101">
        <v>0.5</v>
      </c>
      <c r="AQ33" s="85">
        <f t="shared" si="7"/>
        <v>0.5</v>
      </c>
      <c r="AR33" s="102" t="s">
        <v>193</v>
      </c>
      <c r="AS33" s="73"/>
    </row>
    <row r="34" spans="1:45" ht="94.5" customHeight="1" x14ac:dyDescent="0.25">
      <c r="A34" s="73">
        <v>31</v>
      </c>
      <c r="B34" s="180" t="s">
        <v>6</v>
      </c>
      <c r="C34" s="180" t="s">
        <v>9</v>
      </c>
      <c r="D34" s="181" t="s">
        <v>57</v>
      </c>
      <c r="E34" s="161"/>
      <c r="F34" s="79"/>
      <c r="G34" s="80"/>
      <c r="H34" s="81">
        <f t="shared" si="0"/>
        <v>0</v>
      </c>
      <c r="I34" s="82"/>
      <c r="J34" s="161"/>
      <c r="K34" s="100">
        <v>1</v>
      </c>
      <c r="L34" s="101">
        <v>0.65</v>
      </c>
      <c r="M34" s="85">
        <f t="shared" si="1"/>
        <v>0.65</v>
      </c>
      <c r="N34" s="102" t="s">
        <v>214</v>
      </c>
      <c r="O34" s="161"/>
      <c r="P34" s="100">
        <v>1</v>
      </c>
      <c r="Q34" s="101">
        <v>0.3</v>
      </c>
      <c r="R34" s="85">
        <f t="shared" si="2"/>
        <v>0.3</v>
      </c>
      <c r="S34" s="102" t="s">
        <v>173</v>
      </c>
      <c r="T34" s="161"/>
      <c r="U34" s="79"/>
      <c r="V34" s="80"/>
      <c r="W34" s="81">
        <f t="shared" si="3"/>
        <v>0</v>
      </c>
      <c r="X34" s="82"/>
      <c r="Y34" s="161"/>
      <c r="Z34" s="79"/>
      <c r="AA34" s="80"/>
      <c r="AB34" s="81">
        <f t="shared" si="4"/>
        <v>0</v>
      </c>
      <c r="AC34" s="82"/>
      <c r="AD34" s="161"/>
      <c r="AE34" s="79"/>
      <c r="AF34" s="80"/>
      <c r="AG34" s="81">
        <f t="shared" si="5"/>
        <v>0</v>
      </c>
      <c r="AH34" s="82"/>
      <c r="AI34" s="161"/>
      <c r="AJ34" s="79"/>
      <c r="AK34" s="80"/>
      <c r="AL34" s="81">
        <f t="shared" si="6"/>
        <v>0</v>
      </c>
      <c r="AM34" s="82"/>
      <c r="AN34" s="161"/>
      <c r="AO34" s="100">
        <v>1</v>
      </c>
      <c r="AP34" s="101">
        <v>0.5</v>
      </c>
      <c r="AQ34" s="85">
        <f t="shared" si="7"/>
        <v>0.5</v>
      </c>
      <c r="AR34" s="102" t="s">
        <v>250</v>
      </c>
      <c r="AS34" s="73"/>
    </row>
    <row r="35" spans="1:45" ht="126" x14ac:dyDescent="0.25">
      <c r="A35" s="73">
        <v>32</v>
      </c>
      <c r="B35" s="78" t="s">
        <v>6</v>
      </c>
      <c r="C35" s="78" t="s">
        <v>9</v>
      </c>
      <c r="D35" s="102" t="s">
        <v>58</v>
      </c>
      <c r="E35" s="161"/>
      <c r="F35" s="79"/>
      <c r="G35" s="80"/>
      <c r="H35" s="81">
        <f t="shared" si="0"/>
        <v>0</v>
      </c>
      <c r="I35" s="78"/>
      <c r="J35" s="161"/>
      <c r="K35" s="100">
        <v>1</v>
      </c>
      <c r="L35" s="101">
        <v>0.9</v>
      </c>
      <c r="M35" s="85">
        <f t="shared" si="1"/>
        <v>0.9</v>
      </c>
      <c r="N35" s="102" t="s">
        <v>152</v>
      </c>
      <c r="O35" s="161"/>
      <c r="P35" s="100">
        <v>1</v>
      </c>
      <c r="Q35" s="101">
        <v>0.7</v>
      </c>
      <c r="R35" s="85">
        <f t="shared" si="2"/>
        <v>0.7</v>
      </c>
      <c r="S35" s="102" t="s">
        <v>231</v>
      </c>
      <c r="T35" s="161"/>
      <c r="U35" s="79"/>
      <c r="V35" s="80"/>
      <c r="W35" s="81">
        <f t="shared" si="3"/>
        <v>0</v>
      </c>
      <c r="X35" s="82"/>
      <c r="Y35" s="161"/>
      <c r="Z35" s="79"/>
      <c r="AA35" s="80"/>
      <c r="AB35" s="81">
        <f t="shared" si="4"/>
        <v>0</v>
      </c>
      <c r="AC35" s="82"/>
      <c r="AD35" s="161"/>
      <c r="AE35" s="79"/>
      <c r="AF35" s="80"/>
      <c r="AG35" s="81">
        <f t="shared" si="5"/>
        <v>0</v>
      </c>
      <c r="AH35" s="82"/>
      <c r="AI35" s="161"/>
      <c r="AJ35" s="79"/>
      <c r="AK35" s="80"/>
      <c r="AL35" s="81">
        <f t="shared" si="6"/>
        <v>0</v>
      </c>
      <c r="AM35" s="82"/>
      <c r="AN35" s="161"/>
      <c r="AO35" s="100">
        <v>1</v>
      </c>
      <c r="AP35" s="101">
        <v>0.5</v>
      </c>
      <c r="AQ35" s="85">
        <f t="shared" si="7"/>
        <v>0.5</v>
      </c>
      <c r="AR35" s="102" t="s">
        <v>251</v>
      </c>
      <c r="AS35" s="73"/>
    </row>
    <row r="36" spans="1:45" ht="189" x14ac:dyDescent="0.25">
      <c r="A36" s="73">
        <v>33</v>
      </c>
      <c r="B36" s="78" t="s">
        <v>6</v>
      </c>
      <c r="C36" s="78" t="s">
        <v>9</v>
      </c>
      <c r="D36" s="78" t="s">
        <v>59</v>
      </c>
      <c r="E36" s="161"/>
      <c r="F36" s="79"/>
      <c r="G36" s="80"/>
      <c r="H36" s="81">
        <f t="shared" si="0"/>
        <v>0</v>
      </c>
      <c r="I36" s="82"/>
      <c r="J36" s="161"/>
      <c r="K36" s="100">
        <v>1</v>
      </c>
      <c r="L36" s="101">
        <v>1</v>
      </c>
      <c r="M36" s="85">
        <f t="shared" si="1"/>
        <v>1</v>
      </c>
      <c r="N36" s="102"/>
      <c r="O36" s="161"/>
      <c r="P36" s="100">
        <v>1</v>
      </c>
      <c r="Q36" s="101">
        <v>0.5</v>
      </c>
      <c r="R36" s="85">
        <f t="shared" si="2"/>
        <v>0.5</v>
      </c>
      <c r="S36" s="102" t="s">
        <v>232</v>
      </c>
      <c r="T36" s="161"/>
      <c r="U36" s="79"/>
      <c r="V36" s="80"/>
      <c r="W36" s="81">
        <f t="shared" si="3"/>
        <v>0</v>
      </c>
      <c r="X36" s="82"/>
      <c r="Y36" s="161"/>
      <c r="Z36" s="79"/>
      <c r="AA36" s="80"/>
      <c r="AB36" s="81">
        <f t="shared" si="4"/>
        <v>0</v>
      </c>
      <c r="AC36" s="82"/>
      <c r="AD36" s="161"/>
      <c r="AE36" s="79"/>
      <c r="AF36" s="80"/>
      <c r="AG36" s="81">
        <f t="shared" si="5"/>
        <v>0</v>
      </c>
      <c r="AH36" s="82"/>
      <c r="AI36" s="161"/>
      <c r="AJ36" s="79"/>
      <c r="AK36" s="80"/>
      <c r="AL36" s="81">
        <f t="shared" si="6"/>
        <v>0</v>
      </c>
      <c r="AM36" s="82"/>
      <c r="AN36" s="161"/>
      <c r="AO36" s="100">
        <v>1</v>
      </c>
      <c r="AP36" s="101">
        <v>0.8</v>
      </c>
      <c r="AQ36" s="85">
        <f t="shared" si="7"/>
        <v>0.8</v>
      </c>
      <c r="AR36" s="102" t="s">
        <v>196</v>
      </c>
      <c r="AS36" s="73"/>
    </row>
    <row r="37" spans="1:45" ht="173.25" x14ac:dyDescent="0.25">
      <c r="A37" s="73">
        <v>34</v>
      </c>
      <c r="B37" s="78" t="s">
        <v>6</v>
      </c>
      <c r="C37" s="78" t="s">
        <v>9</v>
      </c>
      <c r="D37" s="78" t="s">
        <v>60</v>
      </c>
      <c r="E37" s="161"/>
      <c r="F37" s="79"/>
      <c r="G37" s="80"/>
      <c r="H37" s="81">
        <f t="shared" si="0"/>
        <v>0</v>
      </c>
      <c r="I37" s="82"/>
      <c r="J37" s="161"/>
      <c r="K37" s="100">
        <v>1</v>
      </c>
      <c r="L37" s="101">
        <v>0.96</v>
      </c>
      <c r="M37" s="85">
        <f t="shared" si="1"/>
        <v>0.96</v>
      </c>
      <c r="N37" s="102" t="s">
        <v>215</v>
      </c>
      <c r="O37" s="161"/>
      <c r="P37" s="100">
        <v>1</v>
      </c>
      <c r="Q37" s="101">
        <v>1</v>
      </c>
      <c r="R37" s="85">
        <f t="shared" si="2"/>
        <v>1</v>
      </c>
      <c r="S37" s="102" t="s">
        <v>233</v>
      </c>
      <c r="T37" s="161"/>
      <c r="U37" s="79"/>
      <c r="V37" s="80"/>
      <c r="W37" s="81">
        <f t="shared" si="3"/>
        <v>0</v>
      </c>
      <c r="X37" s="82"/>
      <c r="Y37" s="161"/>
      <c r="Z37" s="79"/>
      <c r="AA37" s="80"/>
      <c r="AB37" s="81">
        <f t="shared" si="4"/>
        <v>0</v>
      </c>
      <c r="AC37" s="82"/>
      <c r="AD37" s="161"/>
      <c r="AE37" s="79"/>
      <c r="AF37" s="80"/>
      <c r="AG37" s="81">
        <f t="shared" si="5"/>
        <v>0</v>
      </c>
      <c r="AH37" s="82"/>
      <c r="AI37" s="161"/>
      <c r="AJ37" s="79"/>
      <c r="AK37" s="80"/>
      <c r="AL37" s="81">
        <f t="shared" si="6"/>
        <v>0</v>
      </c>
      <c r="AM37" s="82"/>
      <c r="AN37" s="161"/>
      <c r="AO37" s="100">
        <v>0</v>
      </c>
      <c r="AP37" s="101">
        <v>0</v>
      </c>
      <c r="AQ37" s="85">
        <f t="shared" si="7"/>
        <v>0</v>
      </c>
      <c r="AR37" s="102" t="s">
        <v>252</v>
      </c>
      <c r="AS37" s="73"/>
    </row>
    <row r="38" spans="1:45" ht="330.75" x14ac:dyDescent="0.25">
      <c r="A38" s="73">
        <v>35</v>
      </c>
      <c r="B38" s="78" t="s">
        <v>6</v>
      </c>
      <c r="C38" s="78" t="s">
        <v>9</v>
      </c>
      <c r="D38" s="78" t="s">
        <v>61</v>
      </c>
      <c r="E38" s="161"/>
      <c r="F38" s="79"/>
      <c r="G38" s="80"/>
      <c r="H38" s="81">
        <f t="shared" si="0"/>
        <v>0</v>
      </c>
      <c r="I38" s="82"/>
      <c r="J38" s="161"/>
      <c r="K38" s="100">
        <v>1</v>
      </c>
      <c r="L38" s="101">
        <v>0.9</v>
      </c>
      <c r="M38" s="85">
        <f t="shared" si="1"/>
        <v>0.9</v>
      </c>
      <c r="N38" s="102" t="s">
        <v>1301</v>
      </c>
      <c r="O38" s="161"/>
      <c r="P38" s="100">
        <v>1</v>
      </c>
      <c r="Q38" s="101">
        <v>0.98</v>
      </c>
      <c r="R38" s="85">
        <f t="shared" si="2"/>
        <v>0.98</v>
      </c>
      <c r="S38" s="102" t="s">
        <v>234</v>
      </c>
      <c r="T38" s="161"/>
      <c r="U38" s="79"/>
      <c r="V38" s="80"/>
      <c r="W38" s="81">
        <f t="shared" si="3"/>
        <v>0</v>
      </c>
      <c r="X38" s="82"/>
      <c r="Y38" s="161"/>
      <c r="Z38" s="79"/>
      <c r="AA38" s="80"/>
      <c r="AB38" s="81">
        <f t="shared" si="4"/>
        <v>0</v>
      </c>
      <c r="AC38" s="82"/>
      <c r="AD38" s="161"/>
      <c r="AE38" s="79"/>
      <c r="AF38" s="80"/>
      <c r="AG38" s="81">
        <f t="shared" si="5"/>
        <v>0</v>
      </c>
      <c r="AH38" s="82"/>
      <c r="AI38" s="161"/>
      <c r="AJ38" s="79"/>
      <c r="AK38" s="80"/>
      <c r="AL38" s="81">
        <f t="shared" si="6"/>
        <v>0</v>
      </c>
      <c r="AM38" s="82"/>
      <c r="AN38" s="161"/>
      <c r="AO38" s="100">
        <v>1</v>
      </c>
      <c r="AP38" s="101">
        <v>0.65</v>
      </c>
      <c r="AQ38" s="85">
        <f t="shared" si="7"/>
        <v>0.65</v>
      </c>
      <c r="AR38" s="102" t="s">
        <v>1310</v>
      </c>
      <c r="AS38" s="73"/>
    </row>
    <row r="39" spans="1:45" ht="299.25" x14ac:dyDescent="0.25">
      <c r="A39" s="73">
        <v>36</v>
      </c>
      <c r="B39" s="78" t="s">
        <v>6</v>
      </c>
      <c r="C39" s="78" t="s">
        <v>9</v>
      </c>
      <c r="D39" s="78" t="s">
        <v>62</v>
      </c>
      <c r="E39" s="161"/>
      <c r="F39" s="79"/>
      <c r="G39" s="80"/>
      <c r="H39" s="81">
        <f t="shared" si="0"/>
        <v>0</v>
      </c>
      <c r="I39" s="82"/>
      <c r="J39" s="161"/>
      <c r="K39" s="100">
        <v>1</v>
      </c>
      <c r="L39" s="101">
        <v>0.9</v>
      </c>
      <c r="M39" s="85">
        <f t="shared" si="1"/>
        <v>0.9</v>
      </c>
      <c r="N39" s="102" t="s">
        <v>216</v>
      </c>
      <c r="O39" s="161"/>
      <c r="P39" s="100">
        <v>1</v>
      </c>
      <c r="Q39" s="101">
        <v>0.96</v>
      </c>
      <c r="R39" s="85">
        <f t="shared" si="2"/>
        <v>0.96</v>
      </c>
      <c r="S39" s="102" t="s">
        <v>235</v>
      </c>
      <c r="T39" s="161"/>
      <c r="U39" s="79"/>
      <c r="V39" s="80"/>
      <c r="W39" s="81">
        <f t="shared" si="3"/>
        <v>0</v>
      </c>
      <c r="X39" s="82"/>
      <c r="Y39" s="161"/>
      <c r="Z39" s="79"/>
      <c r="AA39" s="80"/>
      <c r="AB39" s="81">
        <f t="shared" si="4"/>
        <v>0</v>
      </c>
      <c r="AC39" s="82"/>
      <c r="AD39" s="161"/>
      <c r="AE39" s="79"/>
      <c r="AF39" s="80"/>
      <c r="AG39" s="81">
        <f t="shared" si="5"/>
        <v>0</v>
      </c>
      <c r="AH39" s="82"/>
      <c r="AI39" s="161"/>
      <c r="AJ39" s="79"/>
      <c r="AK39" s="80"/>
      <c r="AL39" s="81">
        <f t="shared" si="6"/>
        <v>0</v>
      </c>
      <c r="AM39" s="82"/>
      <c r="AN39" s="161"/>
      <c r="AO39" s="100">
        <v>1</v>
      </c>
      <c r="AP39" s="101">
        <v>0.6</v>
      </c>
      <c r="AQ39" s="85">
        <f t="shared" si="7"/>
        <v>0.6</v>
      </c>
      <c r="AR39" s="102" t="s">
        <v>198</v>
      </c>
      <c r="AS39" s="73"/>
    </row>
    <row r="40" spans="1:45" ht="141.75" x14ac:dyDescent="0.25">
      <c r="A40" s="73">
        <v>37</v>
      </c>
      <c r="B40" s="78" t="s">
        <v>6</v>
      </c>
      <c r="C40" s="78" t="s">
        <v>9</v>
      </c>
      <c r="D40" s="78" t="s">
        <v>63</v>
      </c>
      <c r="E40" s="161"/>
      <c r="F40" s="79"/>
      <c r="G40" s="80"/>
      <c r="H40" s="81">
        <f t="shared" si="0"/>
        <v>0</v>
      </c>
      <c r="I40" s="82"/>
      <c r="J40" s="161"/>
      <c r="K40" s="100">
        <v>1</v>
      </c>
      <c r="L40" s="101">
        <v>0.65</v>
      </c>
      <c r="M40" s="85">
        <f t="shared" si="1"/>
        <v>0.65</v>
      </c>
      <c r="N40" s="102" t="s">
        <v>217</v>
      </c>
      <c r="O40" s="161"/>
      <c r="P40" s="100">
        <v>1</v>
      </c>
      <c r="Q40" s="101">
        <v>0.98</v>
      </c>
      <c r="R40" s="85">
        <f t="shared" si="2"/>
        <v>0.98</v>
      </c>
      <c r="S40" s="102" t="s">
        <v>236</v>
      </c>
      <c r="T40" s="161"/>
      <c r="U40" s="79"/>
      <c r="V40" s="80"/>
      <c r="W40" s="81">
        <f t="shared" si="3"/>
        <v>0</v>
      </c>
      <c r="X40" s="82"/>
      <c r="Y40" s="161"/>
      <c r="Z40" s="79"/>
      <c r="AA40" s="80"/>
      <c r="AB40" s="81">
        <f t="shared" si="4"/>
        <v>0</v>
      </c>
      <c r="AC40" s="82"/>
      <c r="AD40" s="161"/>
      <c r="AE40" s="79"/>
      <c r="AF40" s="80"/>
      <c r="AG40" s="81">
        <f t="shared" si="5"/>
        <v>0</v>
      </c>
      <c r="AH40" s="82"/>
      <c r="AI40" s="161"/>
      <c r="AJ40" s="79"/>
      <c r="AK40" s="80"/>
      <c r="AL40" s="81">
        <f t="shared" si="6"/>
        <v>0</v>
      </c>
      <c r="AM40" s="82"/>
      <c r="AN40" s="161"/>
      <c r="AO40" s="100">
        <v>1</v>
      </c>
      <c r="AP40" s="101">
        <v>0.6</v>
      </c>
      <c r="AQ40" s="85">
        <f t="shared" si="7"/>
        <v>0.6</v>
      </c>
      <c r="AR40" s="102" t="s">
        <v>199</v>
      </c>
      <c r="AS40" s="73"/>
    </row>
    <row r="41" spans="1:45" ht="141.75" x14ac:dyDescent="0.25">
      <c r="A41" s="73">
        <v>38</v>
      </c>
      <c r="B41" s="78" t="s">
        <v>10</v>
      </c>
      <c r="C41" s="78" t="s">
        <v>11</v>
      </c>
      <c r="D41" s="78" t="s">
        <v>65</v>
      </c>
      <c r="E41" s="161"/>
      <c r="F41" s="79"/>
      <c r="G41" s="80"/>
      <c r="H41" s="81">
        <f t="shared" si="0"/>
        <v>0</v>
      </c>
      <c r="I41" s="82"/>
      <c r="J41" s="161"/>
      <c r="K41" s="100">
        <v>1</v>
      </c>
      <c r="L41" s="101">
        <v>0.9</v>
      </c>
      <c r="M41" s="85">
        <f t="shared" si="1"/>
        <v>0.9</v>
      </c>
      <c r="N41" s="102" t="s">
        <v>1302</v>
      </c>
      <c r="O41" s="161"/>
      <c r="P41" s="100">
        <v>1</v>
      </c>
      <c r="Q41" s="101">
        <v>0.77</v>
      </c>
      <c r="R41" s="85">
        <f t="shared" si="2"/>
        <v>0.77</v>
      </c>
      <c r="S41" s="78" t="s">
        <v>1304</v>
      </c>
      <c r="T41" s="161"/>
      <c r="U41" s="79"/>
      <c r="V41" s="80"/>
      <c r="W41" s="81">
        <f t="shared" si="3"/>
        <v>0</v>
      </c>
      <c r="X41" s="82"/>
      <c r="Y41" s="161"/>
      <c r="Z41" s="79"/>
      <c r="AA41" s="80"/>
      <c r="AB41" s="81">
        <f t="shared" si="4"/>
        <v>0</v>
      </c>
      <c r="AC41" s="82"/>
      <c r="AD41" s="161"/>
      <c r="AE41" s="79"/>
      <c r="AF41" s="80"/>
      <c r="AG41" s="81">
        <f t="shared" si="5"/>
        <v>0</v>
      </c>
      <c r="AH41" s="82"/>
      <c r="AI41" s="161"/>
      <c r="AJ41" s="79"/>
      <c r="AK41" s="80"/>
      <c r="AL41" s="81">
        <f t="shared" si="6"/>
        <v>0</v>
      </c>
      <c r="AM41" s="82"/>
      <c r="AN41" s="161"/>
      <c r="AO41" s="100">
        <v>1</v>
      </c>
      <c r="AP41" s="101">
        <v>0.7</v>
      </c>
      <c r="AQ41" s="85">
        <f t="shared" si="7"/>
        <v>0.7</v>
      </c>
      <c r="AR41" s="78" t="s">
        <v>1313</v>
      </c>
      <c r="AS41" s="73"/>
    </row>
    <row r="42" spans="1:45" ht="105.75" customHeight="1" x14ac:dyDescent="0.25">
      <c r="A42" s="73">
        <v>39</v>
      </c>
      <c r="B42" s="78" t="s">
        <v>10</v>
      </c>
      <c r="C42" s="78" t="s">
        <v>11</v>
      </c>
      <c r="D42" s="78" t="s">
        <v>66</v>
      </c>
      <c r="E42" s="161"/>
      <c r="F42" s="79"/>
      <c r="G42" s="80"/>
      <c r="H42" s="81">
        <f t="shared" si="0"/>
        <v>0</v>
      </c>
      <c r="I42" s="82"/>
      <c r="J42" s="161"/>
      <c r="K42" s="100">
        <v>1</v>
      </c>
      <c r="L42" s="101">
        <v>1</v>
      </c>
      <c r="M42" s="85">
        <f t="shared" si="1"/>
        <v>1</v>
      </c>
      <c r="N42" s="102" t="s">
        <v>1067</v>
      </c>
      <c r="O42" s="161"/>
      <c r="P42" s="100">
        <v>1</v>
      </c>
      <c r="Q42" s="101">
        <v>1</v>
      </c>
      <c r="R42" s="85">
        <f t="shared" si="2"/>
        <v>1</v>
      </c>
      <c r="S42" s="78" t="s">
        <v>1064</v>
      </c>
      <c r="T42" s="161"/>
      <c r="U42" s="79"/>
      <c r="V42" s="80"/>
      <c r="W42" s="81">
        <f t="shared" si="3"/>
        <v>0</v>
      </c>
      <c r="X42" s="82"/>
      <c r="Y42" s="161"/>
      <c r="Z42" s="79"/>
      <c r="AA42" s="80"/>
      <c r="AB42" s="81">
        <f t="shared" si="4"/>
        <v>0</v>
      </c>
      <c r="AC42" s="82"/>
      <c r="AD42" s="161"/>
      <c r="AE42" s="79"/>
      <c r="AF42" s="80"/>
      <c r="AG42" s="81">
        <f t="shared" si="5"/>
        <v>0</v>
      </c>
      <c r="AH42" s="82"/>
      <c r="AI42" s="161"/>
      <c r="AJ42" s="79"/>
      <c r="AK42" s="80"/>
      <c r="AL42" s="81">
        <f t="shared" si="6"/>
        <v>0</v>
      </c>
      <c r="AM42" s="82"/>
      <c r="AN42" s="161"/>
      <c r="AO42" s="100">
        <v>1</v>
      </c>
      <c r="AP42" s="101">
        <v>1</v>
      </c>
      <c r="AQ42" s="85">
        <f t="shared" si="7"/>
        <v>1</v>
      </c>
      <c r="AR42" s="78" t="s">
        <v>1066</v>
      </c>
      <c r="AS42" s="73"/>
    </row>
    <row r="43" spans="1:45" ht="45.75" customHeight="1" x14ac:dyDescent="0.25">
      <c r="A43" s="73">
        <v>40</v>
      </c>
      <c r="B43" s="78" t="s">
        <v>10</v>
      </c>
      <c r="C43" s="78" t="s">
        <v>11</v>
      </c>
      <c r="D43" s="78" t="s">
        <v>67</v>
      </c>
      <c r="E43" s="161"/>
      <c r="F43" s="79"/>
      <c r="G43" s="80"/>
      <c r="H43" s="81">
        <f t="shared" si="0"/>
        <v>0</v>
      </c>
      <c r="I43" s="82"/>
      <c r="J43" s="161"/>
      <c r="K43" s="100">
        <v>1</v>
      </c>
      <c r="L43" s="101">
        <v>0.8</v>
      </c>
      <c r="M43" s="85">
        <f t="shared" si="1"/>
        <v>0.8</v>
      </c>
      <c r="N43" s="102" t="s">
        <v>1303</v>
      </c>
      <c r="O43" s="161"/>
      <c r="P43" s="100">
        <v>1</v>
      </c>
      <c r="Q43" s="101">
        <v>0.9</v>
      </c>
      <c r="R43" s="85">
        <f t="shared" si="2"/>
        <v>0.9</v>
      </c>
      <c r="S43" s="78" t="s">
        <v>1305</v>
      </c>
      <c r="T43" s="161"/>
      <c r="U43" s="79"/>
      <c r="V43" s="80"/>
      <c r="W43" s="81">
        <f t="shared" si="3"/>
        <v>0</v>
      </c>
      <c r="X43" s="82"/>
      <c r="Y43" s="161"/>
      <c r="Z43" s="79"/>
      <c r="AA43" s="80"/>
      <c r="AB43" s="81">
        <f t="shared" si="4"/>
        <v>0</v>
      </c>
      <c r="AC43" s="82"/>
      <c r="AD43" s="161"/>
      <c r="AE43" s="79"/>
      <c r="AF43" s="80"/>
      <c r="AG43" s="81">
        <f t="shared" si="5"/>
        <v>0</v>
      </c>
      <c r="AH43" s="82"/>
      <c r="AI43" s="161"/>
      <c r="AJ43" s="79"/>
      <c r="AK43" s="80"/>
      <c r="AL43" s="81">
        <f t="shared" si="6"/>
        <v>0</v>
      </c>
      <c r="AM43" s="82"/>
      <c r="AN43" s="161"/>
      <c r="AO43" s="100">
        <v>1</v>
      </c>
      <c r="AP43" s="101">
        <v>0.5</v>
      </c>
      <c r="AQ43" s="85">
        <f t="shared" si="7"/>
        <v>0.5</v>
      </c>
      <c r="AR43" s="78" t="s">
        <v>1314</v>
      </c>
      <c r="AS43" s="73"/>
    </row>
    <row r="44" spans="1:45" ht="126" x14ac:dyDescent="0.25">
      <c r="A44" s="73">
        <v>41</v>
      </c>
      <c r="B44" s="78" t="s">
        <v>10</v>
      </c>
      <c r="C44" s="78" t="s">
        <v>11</v>
      </c>
      <c r="D44" s="78" t="s">
        <v>68</v>
      </c>
      <c r="E44" s="161"/>
      <c r="F44" s="79"/>
      <c r="G44" s="80"/>
      <c r="H44" s="81">
        <f t="shared" si="0"/>
        <v>0</v>
      </c>
      <c r="I44" s="82"/>
      <c r="J44" s="161"/>
      <c r="K44" s="100">
        <v>1</v>
      </c>
      <c r="L44" s="101">
        <v>1</v>
      </c>
      <c r="M44" s="85">
        <f t="shared" si="1"/>
        <v>1</v>
      </c>
      <c r="N44" s="102" t="s">
        <v>1059</v>
      </c>
      <c r="O44" s="161"/>
      <c r="P44" s="100">
        <v>1</v>
      </c>
      <c r="Q44" s="101">
        <v>0.83</v>
      </c>
      <c r="R44" s="85">
        <f t="shared" si="2"/>
        <v>0.83</v>
      </c>
      <c r="S44" s="78" t="s">
        <v>1306</v>
      </c>
      <c r="T44" s="161"/>
      <c r="U44" s="79"/>
      <c r="V44" s="80"/>
      <c r="W44" s="81">
        <f t="shared" si="3"/>
        <v>0</v>
      </c>
      <c r="X44" s="82"/>
      <c r="Y44" s="161"/>
      <c r="Z44" s="79"/>
      <c r="AA44" s="80"/>
      <c r="AB44" s="81">
        <f t="shared" si="4"/>
        <v>0</v>
      </c>
      <c r="AC44" s="82"/>
      <c r="AD44" s="161"/>
      <c r="AE44" s="79"/>
      <c r="AF44" s="80"/>
      <c r="AG44" s="81">
        <f t="shared" si="5"/>
        <v>0</v>
      </c>
      <c r="AH44" s="82"/>
      <c r="AI44" s="161"/>
      <c r="AJ44" s="79"/>
      <c r="AK44" s="80"/>
      <c r="AL44" s="81">
        <f t="shared" si="6"/>
        <v>0</v>
      </c>
      <c r="AM44" s="82"/>
      <c r="AN44" s="161"/>
      <c r="AO44" s="100">
        <v>1</v>
      </c>
      <c r="AP44" s="101">
        <v>0.83</v>
      </c>
      <c r="AQ44" s="85">
        <f t="shared" si="7"/>
        <v>0.83</v>
      </c>
      <c r="AR44" s="78" t="s">
        <v>1315</v>
      </c>
      <c r="AS44" s="73"/>
    </row>
    <row r="45" spans="1:45" ht="63" x14ac:dyDescent="0.25">
      <c r="A45" s="73">
        <v>42</v>
      </c>
      <c r="B45" s="78" t="s">
        <v>10</v>
      </c>
      <c r="C45" s="78" t="s">
        <v>11</v>
      </c>
      <c r="D45" s="78" t="s">
        <v>69</v>
      </c>
      <c r="E45" s="161"/>
      <c r="F45" s="79"/>
      <c r="G45" s="80"/>
      <c r="H45" s="81">
        <f t="shared" si="0"/>
        <v>0</v>
      </c>
      <c r="I45" s="82"/>
      <c r="J45" s="161"/>
      <c r="K45" s="100">
        <v>1</v>
      </c>
      <c r="L45" s="101">
        <v>1</v>
      </c>
      <c r="M45" s="85">
        <f t="shared" si="1"/>
        <v>1</v>
      </c>
      <c r="N45" s="102" t="s">
        <v>1063</v>
      </c>
      <c r="O45" s="161"/>
      <c r="P45" s="100">
        <v>1</v>
      </c>
      <c r="Q45" s="101">
        <v>0.7</v>
      </c>
      <c r="R45" s="85">
        <f t="shared" si="2"/>
        <v>0.7</v>
      </c>
      <c r="S45" s="78" t="s">
        <v>1276</v>
      </c>
      <c r="T45" s="161"/>
      <c r="U45" s="79"/>
      <c r="V45" s="80"/>
      <c r="W45" s="81">
        <f t="shared" si="3"/>
        <v>0</v>
      </c>
      <c r="X45" s="82"/>
      <c r="Y45" s="161"/>
      <c r="Z45" s="79"/>
      <c r="AA45" s="80"/>
      <c r="AB45" s="81">
        <f t="shared" si="4"/>
        <v>0</v>
      </c>
      <c r="AC45" s="82"/>
      <c r="AD45" s="161"/>
      <c r="AE45" s="79"/>
      <c r="AF45" s="80"/>
      <c r="AG45" s="81">
        <f t="shared" si="5"/>
        <v>0</v>
      </c>
      <c r="AH45" s="82"/>
      <c r="AI45" s="161"/>
      <c r="AJ45" s="79"/>
      <c r="AK45" s="80"/>
      <c r="AL45" s="81">
        <f t="shared" si="6"/>
        <v>0</v>
      </c>
      <c r="AM45" s="82"/>
      <c r="AN45" s="161"/>
      <c r="AO45" s="100">
        <v>1</v>
      </c>
      <c r="AP45" s="101">
        <v>0.95</v>
      </c>
      <c r="AQ45" s="85">
        <f t="shared" si="7"/>
        <v>0.95</v>
      </c>
      <c r="AR45" s="78" t="s">
        <v>1277</v>
      </c>
      <c r="AS45" s="73"/>
    </row>
    <row r="46" spans="1:45" ht="78.75" x14ac:dyDescent="0.25">
      <c r="A46" s="73">
        <v>43</v>
      </c>
      <c r="B46" s="78" t="s">
        <v>10</v>
      </c>
      <c r="C46" s="78" t="s">
        <v>11</v>
      </c>
      <c r="D46" s="78" t="s">
        <v>70</v>
      </c>
      <c r="E46" s="161"/>
      <c r="F46" s="79"/>
      <c r="G46" s="80"/>
      <c r="H46" s="81">
        <f t="shared" si="0"/>
        <v>0</v>
      </c>
      <c r="I46" s="82"/>
      <c r="J46" s="161"/>
      <c r="K46" s="100">
        <v>1</v>
      </c>
      <c r="L46" s="101">
        <v>1</v>
      </c>
      <c r="M46" s="85">
        <f t="shared" si="1"/>
        <v>1</v>
      </c>
      <c r="N46" s="102" t="s">
        <v>1061</v>
      </c>
      <c r="O46" s="161"/>
      <c r="P46" s="100">
        <v>1</v>
      </c>
      <c r="Q46" s="101">
        <v>0.85</v>
      </c>
      <c r="R46" s="85">
        <f t="shared" si="2"/>
        <v>0.85</v>
      </c>
      <c r="S46" s="78" t="s">
        <v>1307</v>
      </c>
      <c r="T46" s="161"/>
      <c r="U46" s="79"/>
      <c r="V46" s="80"/>
      <c r="W46" s="81">
        <f t="shared" si="3"/>
        <v>0</v>
      </c>
      <c r="X46" s="82"/>
      <c r="Y46" s="161"/>
      <c r="Z46" s="79"/>
      <c r="AA46" s="80"/>
      <c r="AB46" s="81">
        <f t="shared" si="4"/>
        <v>0</v>
      </c>
      <c r="AC46" s="82"/>
      <c r="AD46" s="161"/>
      <c r="AE46" s="79"/>
      <c r="AF46" s="80"/>
      <c r="AG46" s="81">
        <f t="shared" si="5"/>
        <v>0</v>
      </c>
      <c r="AH46" s="82"/>
      <c r="AI46" s="161"/>
      <c r="AJ46" s="79"/>
      <c r="AK46" s="80"/>
      <c r="AL46" s="81">
        <f t="shared" si="6"/>
        <v>0</v>
      </c>
      <c r="AM46" s="82"/>
      <c r="AN46" s="161"/>
      <c r="AO46" s="100">
        <v>1</v>
      </c>
      <c r="AP46" s="101">
        <v>1</v>
      </c>
      <c r="AQ46" s="85">
        <f t="shared" si="7"/>
        <v>1</v>
      </c>
      <c r="AR46" s="78" t="s">
        <v>1068</v>
      </c>
      <c r="AS46" s="73"/>
    </row>
    <row r="47" spans="1:45" ht="63" x14ac:dyDescent="0.25">
      <c r="A47" s="73">
        <v>44</v>
      </c>
      <c r="B47" s="78" t="s">
        <v>10</v>
      </c>
      <c r="C47" s="78" t="s">
        <v>11</v>
      </c>
      <c r="D47" s="78" t="s">
        <v>12</v>
      </c>
      <c r="E47" s="161"/>
      <c r="F47" s="79"/>
      <c r="G47" s="80"/>
      <c r="H47" s="81">
        <f t="shared" si="0"/>
        <v>0</v>
      </c>
      <c r="I47" s="82"/>
      <c r="J47" s="161"/>
      <c r="K47" s="100">
        <v>1</v>
      </c>
      <c r="L47" s="101">
        <v>1</v>
      </c>
      <c r="M47" s="85">
        <f t="shared" si="1"/>
        <v>1</v>
      </c>
      <c r="N47" s="102" t="s">
        <v>1062</v>
      </c>
      <c r="O47" s="161"/>
      <c r="P47" s="100">
        <v>1</v>
      </c>
      <c r="Q47" s="101">
        <v>1</v>
      </c>
      <c r="R47" s="85">
        <f t="shared" si="2"/>
        <v>1</v>
      </c>
      <c r="S47" s="116" t="s">
        <v>1065</v>
      </c>
      <c r="T47" s="161"/>
      <c r="U47" s="79"/>
      <c r="V47" s="80"/>
      <c r="W47" s="81">
        <f t="shared" si="3"/>
        <v>0</v>
      </c>
      <c r="X47" s="82"/>
      <c r="Y47" s="161"/>
      <c r="Z47" s="79"/>
      <c r="AA47" s="80"/>
      <c r="AB47" s="81">
        <f t="shared" si="4"/>
        <v>0</v>
      </c>
      <c r="AC47" s="82"/>
      <c r="AD47" s="161"/>
      <c r="AE47" s="79"/>
      <c r="AF47" s="80"/>
      <c r="AG47" s="81">
        <f t="shared" si="5"/>
        <v>0</v>
      </c>
      <c r="AH47" s="82"/>
      <c r="AI47" s="161"/>
      <c r="AJ47" s="79"/>
      <c r="AK47" s="80"/>
      <c r="AL47" s="81">
        <f t="shared" si="6"/>
        <v>0</v>
      </c>
      <c r="AM47" s="82"/>
      <c r="AN47" s="161"/>
      <c r="AO47" s="100">
        <v>1</v>
      </c>
      <c r="AP47" s="101">
        <v>1</v>
      </c>
      <c r="AQ47" s="85">
        <f t="shared" si="7"/>
        <v>1</v>
      </c>
      <c r="AR47" s="78" t="s">
        <v>1058</v>
      </c>
      <c r="AS47" s="73"/>
    </row>
    <row r="48" spans="1:45" ht="94.5" x14ac:dyDescent="0.25">
      <c r="A48" s="73">
        <v>45</v>
      </c>
      <c r="B48" s="78" t="s">
        <v>10</v>
      </c>
      <c r="C48" s="78" t="s">
        <v>71</v>
      </c>
      <c r="D48" s="78" t="s">
        <v>72</v>
      </c>
      <c r="E48" s="161"/>
      <c r="F48" s="79"/>
      <c r="G48" s="80"/>
      <c r="H48" s="81">
        <f t="shared" si="0"/>
        <v>0</v>
      </c>
      <c r="I48" s="82"/>
      <c r="J48" s="161"/>
      <c r="K48" s="100">
        <v>1</v>
      </c>
      <c r="L48" s="101">
        <v>0.95</v>
      </c>
      <c r="M48" s="85">
        <f t="shared" si="1"/>
        <v>0.95</v>
      </c>
      <c r="N48" s="102" t="s">
        <v>1280</v>
      </c>
      <c r="O48" s="161"/>
      <c r="P48" s="100">
        <v>1</v>
      </c>
      <c r="Q48" s="101">
        <v>0.85</v>
      </c>
      <c r="R48" s="85">
        <f t="shared" si="2"/>
        <v>0.85</v>
      </c>
      <c r="S48" s="78" t="s">
        <v>1308</v>
      </c>
      <c r="T48" s="161"/>
      <c r="U48" s="79"/>
      <c r="V48" s="80"/>
      <c r="W48" s="81">
        <f t="shared" si="3"/>
        <v>0</v>
      </c>
      <c r="X48" s="82"/>
      <c r="Y48" s="161"/>
      <c r="Z48" s="79"/>
      <c r="AA48" s="80"/>
      <c r="AB48" s="81">
        <f t="shared" si="4"/>
        <v>0</v>
      </c>
      <c r="AC48" s="82"/>
      <c r="AD48" s="161"/>
      <c r="AE48" s="79"/>
      <c r="AF48" s="80"/>
      <c r="AG48" s="81">
        <f t="shared" si="5"/>
        <v>0</v>
      </c>
      <c r="AH48" s="82"/>
      <c r="AI48" s="161"/>
      <c r="AJ48" s="79"/>
      <c r="AK48" s="80"/>
      <c r="AL48" s="81">
        <f t="shared" si="6"/>
        <v>0</v>
      </c>
      <c r="AM48" s="82"/>
      <c r="AN48" s="161"/>
      <c r="AO48" s="100">
        <v>1</v>
      </c>
      <c r="AP48" s="101">
        <v>0.65</v>
      </c>
      <c r="AQ48" s="85">
        <f t="shared" si="7"/>
        <v>0.65</v>
      </c>
      <c r="AR48" s="78" t="s">
        <v>1316</v>
      </c>
      <c r="AS48" s="73"/>
    </row>
    <row r="49" spans="1:45" ht="47.25" x14ac:dyDescent="0.25">
      <c r="A49" s="73">
        <v>46</v>
      </c>
      <c r="B49" s="78" t="s">
        <v>10</v>
      </c>
      <c r="C49" s="78" t="s">
        <v>11</v>
      </c>
      <c r="D49" s="78" t="s">
        <v>13</v>
      </c>
      <c r="E49" s="161"/>
      <c r="F49" s="79"/>
      <c r="G49" s="80"/>
      <c r="H49" s="81">
        <f t="shared" si="0"/>
        <v>0</v>
      </c>
      <c r="I49" s="82"/>
      <c r="J49" s="161"/>
      <c r="K49" s="100">
        <v>1</v>
      </c>
      <c r="L49" s="101">
        <v>1</v>
      </c>
      <c r="M49" s="85">
        <f t="shared" si="1"/>
        <v>1</v>
      </c>
      <c r="N49" s="102" t="s">
        <v>1063</v>
      </c>
      <c r="O49" s="161"/>
      <c r="P49" s="100">
        <v>1</v>
      </c>
      <c r="Q49" s="101">
        <v>1</v>
      </c>
      <c r="R49" s="85">
        <f t="shared" si="2"/>
        <v>1</v>
      </c>
      <c r="S49" s="78" t="s">
        <v>1062</v>
      </c>
      <c r="T49" s="161"/>
      <c r="U49" s="79"/>
      <c r="V49" s="80"/>
      <c r="W49" s="81">
        <f t="shared" si="3"/>
        <v>0</v>
      </c>
      <c r="X49" s="82"/>
      <c r="Y49" s="161"/>
      <c r="Z49" s="79"/>
      <c r="AA49" s="80"/>
      <c r="AB49" s="81">
        <f t="shared" si="4"/>
        <v>0</v>
      </c>
      <c r="AC49" s="82"/>
      <c r="AD49" s="161"/>
      <c r="AE49" s="79"/>
      <c r="AF49" s="80"/>
      <c r="AG49" s="81">
        <f t="shared" si="5"/>
        <v>0</v>
      </c>
      <c r="AH49" s="82"/>
      <c r="AI49" s="161"/>
      <c r="AJ49" s="79"/>
      <c r="AK49" s="80"/>
      <c r="AL49" s="81">
        <f t="shared" si="6"/>
        <v>0</v>
      </c>
      <c r="AM49" s="82"/>
      <c r="AN49" s="161"/>
      <c r="AO49" s="100">
        <v>1</v>
      </c>
      <c r="AP49" s="101">
        <v>1</v>
      </c>
      <c r="AQ49" s="85">
        <f t="shared" si="7"/>
        <v>1</v>
      </c>
      <c r="AR49" s="78" t="s">
        <v>1062</v>
      </c>
      <c r="AS49" s="73"/>
    </row>
    <row r="50" spans="1:45" ht="126" x14ac:dyDescent="0.25">
      <c r="A50" s="73">
        <v>47</v>
      </c>
      <c r="B50" s="78" t="s">
        <v>14</v>
      </c>
      <c r="C50" s="78" t="s">
        <v>14</v>
      </c>
      <c r="D50" s="78" t="s">
        <v>15</v>
      </c>
      <c r="E50" s="161"/>
      <c r="F50" s="79"/>
      <c r="G50" s="80"/>
      <c r="H50" s="81">
        <f t="shared" si="0"/>
        <v>0</v>
      </c>
      <c r="I50" s="82"/>
      <c r="J50" s="161"/>
      <c r="K50" s="100">
        <v>1</v>
      </c>
      <c r="L50" s="101">
        <v>0.55000000000000004</v>
      </c>
      <c r="M50" s="85">
        <f t="shared" si="1"/>
        <v>0.55000000000000004</v>
      </c>
      <c r="N50" s="102" t="s">
        <v>1093</v>
      </c>
      <c r="O50" s="161"/>
      <c r="P50" s="100">
        <v>1</v>
      </c>
      <c r="Q50" s="101">
        <v>0.55000000000000004</v>
      </c>
      <c r="R50" s="85">
        <f t="shared" si="2"/>
        <v>0.55000000000000004</v>
      </c>
      <c r="S50" s="78" t="s">
        <v>1296</v>
      </c>
      <c r="T50" s="161"/>
      <c r="U50" s="79"/>
      <c r="V50" s="80"/>
      <c r="W50" s="81">
        <f t="shared" si="3"/>
        <v>0</v>
      </c>
      <c r="X50" s="82"/>
      <c r="Y50" s="161"/>
      <c r="Z50" s="79"/>
      <c r="AA50" s="80"/>
      <c r="AB50" s="81">
        <f t="shared" si="4"/>
        <v>0</v>
      </c>
      <c r="AC50" s="82"/>
      <c r="AD50" s="161"/>
      <c r="AE50" s="79"/>
      <c r="AF50" s="80"/>
      <c r="AG50" s="81">
        <f t="shared" si="5"/>
        <v>0</v>
      </c>
      <c r="AH50" s="82"/>
      <c r="AI50" s="161"/>
      <c r="AJ50" s="79"/>
      <c r="AK50" s="80"/>
      <c r="AL50" s="81">
        <f t="shared" si="6"/>
        <v>0</v>
      </c>
      <c r="AM50" s="82"/>
      <c r="AN50" s="161"/>
      <c r="AO50" s="100">
        <v>1</v>
      </c>
      <c r="AP50" s="101">
        <v>1</v>
      </c>
      <c r="AQ50" s="85">
        <f t="shared" si="7"/>
        <v>1</v>
      </c>
      <c r="AR50" s="116" t="s">
        <v>1087</v>
      </c>
      <c r="AS50" s="73"/>
    </row>
    <row r="51" spans="1:45" ht="142.5" customHeight="1" x14ac:dyDescent="0.25">
      <c r="A51" s="73">
        <v>48</v>
      </c>
      <c r="B51" s="78" t="s">
        <v>14</v>
      </c>
      <c r="C51" s="78" t="s">
        <v>14</v>
      </c>
      <c r="D51" s="78" t="s">
        <v>73</v>
      </c>
      <c r="E51" s="161"/>
      <c r="F51" s="79"/>
      <c r="G51" s="80"/>
      <c r="H51" s="81">
        <f t="shared" si="0"/>
        <v>0</v>
      </c>
      <c r="I51" s="82"/>
      <c r="J51" s="161"/>
      <c r="K51" s="100">
        <v>1</v>
      </c>
      <c r="L51" s="101">
        <v>0.85</v>
      </c>
      <c r="M51" s="85">
        <f t="shared" si="1"/>
        <v>0.85</v>
      </c>
      <c r="N51" s="102" t="s">
        <v>1094</v>
      </c>
      <c r="O51" s="161"/>
      <c r="P51" s="100">
        <v>1</v>
      </c>
      <c r="Q51" s="101">
        <v>0.95</v>
      </c>
      <c r="R51" s="85">
        <f t="shared" si="2"/>
        <v>0.95</v>
      </c>
      <c r="S51" s="78" t="s">
        <v>1096</v>
      </c>
      <c r="T51" s="161"/>
      <c r="U51" s="79"/>
      <c r="V51" s="80"/>
      <c r="W51" s="81">
        <f t="shared" si="3"/>
        <v>0</v>
      </c>
      <c r="X51" s="82"/>
      <c r="Y51" s="161"/>
      <c r="Z51" s="79"/>
      <c r="AA51" s="80"/>
      <c r="AB51" s="81">
        <f t="shared" si="4"/>
        <v>0</v>
      </c>
      <c r="AC51" s="82"/>
      <c r="AD51" s="161"/>
      <c r="AE51" s="79"/>
      <c r="AF51" s="80"/>
      <c r="AG51" s="81">
        <f t="shared" si="5"/>
        <v>0</v>
      </c>
      <c r="AH51" s="82"/>
      <c r="AI51" s="161"/>
      <c r="AJ51" s="79"/>
      <c r="AK51" s="80"/>
      <c r="AL51" s="81">
        <f t="shared" si="6"/>
        <v>0</v>
      </c>
      <c r="AM51" s="82"/>
      <c r="AN51" s="161"/>
      <c r="AO51" s="100">
        <v>1</v>
      </c>
      <c r="AP51" s="101">
        <v>0.4</v>
      </c>
      <c r="AQ51" s="85">
        <f t="shared" si="7"/>
        <v>0.4</v>
      </c>
      <c r="AR51" s="78" t="s">
        <v>1311</v>
      </c>
      <c r="AS51" s="73"/>
    </row>
    <row r="52" spans="1:45" ht="124.5" customHeight="1" x14ac:dyDescent="0.25">
      <c r="A52" s="73">
        <v>49</v>
      </c>
      <c r="B52" s="78" t="s">
        <v>14</v>
      </c>
      <c r="C52" s="78" t="s">
        <v>14</v>
      </c>
      <c r="D52" s="78" t="s">
        <v>74</v>
      </c>
      <c r="E52" s="161"/>
      <c r="F52" s="79"/>
      <c r="G52" s="80"/>
      <c r="H52" s="81">
        <f t="shared" si="0"/>
        <v>0</v>
      </c>
      <c r="I52" s="82"/>
      <c r="J52" s="161"/>
      <c r="K52" s="100">
        <v>1</v>
      </c>
      <c r="L52" s="101">
        <v>0.5</v>
      </c>
      <c r="M52" s="85">
        <f t="shared" si="1"/>
        <v>0.5</v>
      </c>
      <c r="N52" s="102" t="s">
        <v>1095</v>
      </c>
      <c r="O52" s="161"/>
      <c r="P52" s="100">
        <v>1</v>
      </c>
      <c r="Q52" s="101">
        <v>0.85</v>
      </c>
      <c r="R52" s="85">
        <f t="shared" si="2"/>
        <v>0.85</v>
      </c>
      <c r="S52" s="78" t="s">
        <v>1089</v>
      </c>
      <c r="T52" s="161"/>
      <c r="U52" s="79"/>
      <c r="V52" s="80"/>
      <c r="W52" s="81">
        <f t="shared" si="3"/>
        <v>0</v>
      </c>
      <c r="X52" s="82"/>
      <c r="Y52" s="161"/>
      <c r="Z52" s="79"/>
      <c r="AA52" s="80"/>
      <c r="AB52" s="81">
        <f t="shared" si="4"/>
        <v>0</v>
      </c>
      <c r="AC52" s="82"/>
      <c r="AD52" s="161"/>
      <c r="AE52" s="79"/>
      <c r="AF52" s="80"/>
      <c r="AG52" s="81">
        <f t="shared" si="5"/>
        <v>0</v>
      </c>
      <c r="AH52" s="82"/>
      <c r="AI52" s="161"/>
      <c r="AJ52" s="79"/>
      <c r="AK52" s="80"/>
      <c r="AL52" s="81">
        <f t="shared" si="6"/>
        <v>0</v>
      </c>
      <c r="AM52" s="82"/>
      <c r="AN52" s="161"/>
      <c r="AO52" s="100">
        <v>1</v>
      </c>
      <c r="AP52" s="101">
        <v>0.15</v>
      </c>
      <c r="AQ52" s="85">
        <f t="shared" si="7"/>
        <v>0.15</v>
      </c>
      <c r="AR52" s="78" t="s">
        <v>1312</v>
      </c>
      <c r="AS52" s="73"/>
    </row>
    <row r="53" spans="1:45" ht="138" customHeight="1" x14ac:dyDescent="0.25">
      <c r="A53" s="73">
        <v>50</v>
      </c>
      <c r="B53" s="78" t="s">
        <v>14</v>
      </c>
      <c r="C53" s="78" t="s">
        <v>14</v>
      </c>
      <c r="D53" s="78" t="s">
        <v>75</v>
      </c>
      <c r="E53" s="161"/>
      <c r="F53" s="79"/>
      <c r="G53" s="80"/>
      <c r="H53" s="81">
        <f t="shared" si="0"/>
        <v>0</v>
      </c>
      <c r="I53" s="82"/>
      <c r="J53" s="161"/>
      <c r="K53" s="100">
        <v>1</v>
      </c>
      <c r="L53" s="101">
        <v>0.7</v>
      </c>
      <c r="M53" s="85">
        <f t="shared" si="1"/>
        <v>0.7</v>
      </c>
      <c r="N53" s="102" t="s">
        <v>1086</v>
      </c>
      <c r="O53" s="161"/>
      <c r="P53" s="100">
        <v>1</v>
      </c>
      <c r="Q53" s="101">
        <v>0.7</v>
      </c>
      <c r="R53" s="85">
        <f t="shared" si="2"/>
        <v>0.7</v>
      </c>
      <c r="S53" s="78" t="s">
        <v>1086</v>
      </c>
      <c r="T53" s="161"/>
      <c r="U53" s="79"/>
      <c r="V53" s="80"/>
      <c r="W53" s="81">
        <f t="shared" si="3"/>
        <v>0</v>
      </c>
      <c r="X53" s="82"/>
      <c r="Y53" s="161"/>
      <c r="Z53" s="79"/>
      <c r="AA53" s="80"/>
      <c r="AB53" s="81">
        <f t="shared" si="4"/>
        <v>0</v>
      </c>
      <c r="AC53" s="82"/>
      <c r="AD53" s="161"/>
      <c r="AE53" s="79"/>
      <c r="AF53" s="80"/>
      <c r="AG53" s="81">
        <f t="shared" si="5"/>
        <v>0</v>
      </c>
      <c r="AH53" s="82"/>
      <c r="AI53" s="161"/>
      <c r="AJ53" s="79"/>
      <c r="AK53" s="80"/>
      <c r="AL53" s="81">
        <f t="shared" si="6"/>
        <v>0</v>
      </c>
      <c r="AM53" s="82"/>
      <c r="AN53" s="161"/>
      <c r="AO53" s="100">
        <v>1</v>
      </c>
      <c r="AP53" s="101">
        <v>0.7</v>
      </c>
      <c r="AQ53" s="85">
        <f t="shared" si="7"/>
        <v>0.7</v>
      </c>
      <c r="AR53" s="78" t="s">
        <v>1086</v>
      </c>
      <c r="AS53" s="73"/>
    </row>
    <row r="54" spans="1:45" ht="109.5" customHeight="1" x14ac:dyDescent="0.25">
      <c r="A54" s="73">
        <v>51</v>
      </c>
      <c r="B54" s="78" t="s">
        <v>14</v>
      </c>
      <c r="C54" s="78" t="s">
        <v>14</v>
      </c>
      <c r="D54" s="78" t="s">
        <v>76</v>
      </c>
      <c r="E54" s="161"/>
      <c r="F54" s="79"/>
      <c r="G54" s="80"/>
      <c r="H54" s="81">
        <f t="shared" si="0"/>
        <v>0</v>
      </c>
      <c r="I54" s="82"/>
      <c r="J54" s="161"/>
      <c r="K54" s="100">
        <v>1</v>
      </c>
      <c r="L54" s="101">
        <v>1</v>
      </c>
      <c r="M54" s="85">
        <f t="shared" si="1"/>
        <v>1</v>
      </c>
      <c r="N54" s="102" t="s">
        <v>1087</v>
      </c>
      <c r="O54" s="161"/>
      <c r="P54" s="100">
        <v>1</v>
      </c>
      <c r="Q54" s="101">
        <v>1</v>
      </c>
      <c r="R54" s="85">
        <f t="shared" si="2"/>
        <v>1</v>
      </c>
      <c r="S54" s="78" t="s">
        <v>1087</v>
      </c>
      <c r="T54" s="161"/>
      <c r="U54" s="79"/>
      <c r="V54" s="80"/>
      <c r="W54" s="81">
        <f t="shared" si="3"/>
        <v>0</v>
      </c>
      <c r="X54" s="82"/>
      <c r="Y54" s="161"/>
      <c r="Z54" s="79"/>
      <c r="AA54" s="80"/>
      <c r="AB54" s="81">
        <f t="shared" si="4"/>
        <v>0</v>
      </c>
      <c r="AC54" s="82"/>
      <c r="AD54" s="161"/>
      <c r="AE54" s="79"/>
      <c r="AF54" s="80"/>
      <c r="AG54" s="81">
        <f t="shared" si="5"/>
        <v>0</v>
      </c>
      <c r="AH54" s="82"/>
      <c r="AI54" s="161"/>
      <c r="AJ54" s="79"/>
      <c r="AK54" s="80"/>
      <c r="AL54" s="81">
        <f t="shared" si="6"/>
        <v>0</v>
      </c>
      <c r="AM54" s="82"/>
      <c r="AN54" s="161"/>
      <c r="AO54" s="100">
        <v>1</v>
      </c>
      <c r="AP54" s="101">
        <v>1</v>
      </c>
      <c r="AQ54" s="85">
        <f t="shared" si="7"/>
        <v>1</v>
      </c>
      <c r="AR54" s="78" t="s">
        <v>1087</v>
      </c>
      <c r="AS54" s="73"/>
    </row>
    <row r="55" spans="1:45" ht="110.25" x14ac:dyDescent="0.25">
      <c r="A55" s="73">
        <v>52</v>
      </c>
      <c r="B55" s="78" t="s">
        <v>14</v>
      </c>
      <c r="C55" s="78" t="s">
        <v>14</v>
      </c>
      <c r="D55" s="78" t="s">
        <v>77</v>
      </c>
      <c r="E55" s="161"/>
      <c r="F55" s="79"/>
      <c r="G55" s="80"/>
      <c r="H55" s="81">
        <f t="shared" si="0"/>
        <v>0</v>
      </c>
      <c r="I55" s="82"/>
      <c r="J55" s="161"/>
      <c r="K55" s="100">
        <v>1</v>
      </c>
      <c r="L55" s="101">
        <v>1</v>
      </c>
      <c r="M55" s="85">
        <f t="shared" si="1"/>
        <v>1</v>
      </c>
      <c r="N55" s="102" t="s">
        <v>1087</v>
      </c>
      <c r="O55" s="161"/>
      <c r="P55" s="100">
        <v>1</v>
      </c>
      <c r="Q55" s="101">
        <v>0.9</v>
      </c>
      <c r="R55" s="85">
        <f t="shared" si="2"/>
        <v>0.9</v>
      </c>
      <c r="S55" s="78" t="s">
        <v>1090</v>
      </c>
      <c r="T55" s="161"/>
      <c r="U55" s="79"/>
      <c r="V55" s="80"/>
      <c r="W55" s="81">
        <f t="shared" si="3"/>
        <v>0</v>
      </c>
      <c r="X55" s="82"/>
      <c r="Y55" s="161"/>
      <c r="Z55" s="79"/>
      <c r="AA55" s="80"/>
      <c r="AB55" s="81">
        <f t="shared" si="4"/>
        <v>0</v>
      </c>
      <c r="AC55" s="82"/>
      <c r="AD55" s="161"/>
      <c r="AE55" s="79"/>
      <c r="AF55" s="80"/>
      <c r="AG55" s="81">
        <f t="shared" si="5"/>
        <v>0</v>
      </c>
      <c r="AH55" s="82"/>
      <c r="AI55" s="161"/>
      <c r="AJ55" s="79"/>
      <c r="AK55" s="80"/>
      <c r="AL55" s="81">
        <f t="shared" si="6"/>
        <v>0</v>
      </c>
      <c r="AM55" s="82"/>
      <c r="AN55" s="161"/>
      <c r="AO55" s="100">
        <v>1</v>
      </c>
      <c r="AP55" s="101">
        <v>0.75</v>
      </c>
      <c r="AQ55" s="85">
        <f t="shared" si="7"/>
        <v>0.75</v>
      </c>
      <c r="AR55" s="78" t="s">
        <v>1092</v>
      </c>
      <c r="AS55" s="73"/>
    </row>
    <row r="56" spans="1:45" ht="79.5" customHeight="1" x14ac:dyDescent="0.25">
      <c r="A56" s="73">
        <v>53</v>
      </c>
      <c r="B56" s="78" t="s">
        <v>14</v>
      </c>
      <c r="C56" s="78" t="s">
        <v>14</v>
      </c>
      <c r="D56" s="78" t="s">
        <v>78</v>
      </c>
      <c r="E56" s="161"/>
      <c r="F56" s="79">
        <v>1</v>
      </c>
      <c r="G56" s="80"/>
      <c r="H56" s="81">
        <f t="shared" si="0"/>
        <v>0</v>
      </c>
      <c r="I56" s="82"/>
      <c r="J56" s="161"/>
      <c r="K56" s="100">
        <v>1</v>
      </c>
      <c r="L56" s="101">
        <v>1</v>
      </c>
      <c r="M56" s="85">
        <f t="shared" si="1"/>
        <v>1</v>
      </c>
      <c r="N56" s="102" t="s">
        <v>1087</v>
      </c>
      <c r="O56" s="161"/>
      <c r="P56" s="100">
        <v>1</v>
      </c>
      <c r="Q56" s="101">
        <v>0.9</v>
      </c>
      <c r="R56" s="85">
        <f t="shared" si="2"/>
        <v>0.9</v>
      </c>
      <c r="S56" s="78" t="s">
        <v>1097</v>
      </c>
      <c r="T56" s="161"/>
      <c r="U56" s="79"/>
      <c r="V56" s="80"/>
      <c r="W56" s="81">
        <f t="shared" si="3"/>
        <v>0</v>
      </c>
      <c r="X56" s="77"/>
      <c r="Y56" s="161"/>
      <c r="Z56" s="79"/>
      <c r="AA56" s="80"/>
      <c r="AB56" s="81">
        <f t="shared" si="4"/>
        <v>0</v>
      </c>
      <c r="AC56" s="77"/>
      <c r="AD56" s="161"/>
      <c r="AE56" s="79"/>
      <c r="AF56" s="80"/>
      <c r="AG56" s="81">
        <f t="shared" si="5"/>
        <v>0</v>
      </c>
      <c r="AH56" s="77"/>
      <c r="AI56" s="161"/>
      <c r="AJ56" s="79"/>
      <c r="AK56" s="80"/>
      <c r="AL56" s="81">
        <f t="shared" si="6"/>
        <v>0</v>
      </c>
      <c r="AM56" s="77"/>
      <c r="AN56" s="161"/>
      <c r="AO56" s="100">
        <v>1</v>
      </c>
      <c r="AP56" s="101">
        <v>1</v>
      </c>
      <c r="AQ56" s="85">
        <f t="shared" si="7"/>
        <v>1</v>
      </c>
      <c r="AR56" s="117" t="s">
        <v>1087</v>
      </c>
      <c r="AS56" s="73"/>
    </row>
    <row r="57" spans="1:45" x14ac:dyDescent="0.25">
      <c r="B57" s="73"/>
      <c r="C57" s="73"/>
      <c r="D57" s="73"/>
      <c r="E57" s="73"/>
      <c r="F57" s="73"/>
      <c r="G57" s="73"/>
      <c r="H57" s="73"/>
      <c r="I57" s="183"/>
      <c r="J57" s="73"/>
      <c r="K57" s="73"/>
      <c r="L57" s="73"/>
      <c r="M57" s="73"/>
      <c r="N57" s="73"/>
      <c r="O57" s="73"/>
      <c r="P57" s="73"/>
      <c r="Q57" s="73"/>
      <c r="R57" s="73"/>
      <c r="S57" s="73"/>
      <c r="T57" s="73"/>
      <c r="U57" s="73"/>
      <c r="V57" s="73"/>
      <c r="W57" s="73"/>
      <c r="X57" s="73"/>
      <c r="Y57" s="73"/>
      <c r="Z57" s="73"/>
      <c r="AA57" s="73"/>
      <c r="AB57" s="73"/>
      <c r="AC57" s="73"/>
      <c r="AD57" s="73"/>
      <c r="AE57" s="73"/>
      <c r="AF57" s="73"/>
      <c r="AG57" s="73"/>
      <c r="AH57" s="73"/>
      <c r="AI57" s="73"/>
      <c r="AJ57" s="73"/>
      <c r="AK57" s="73"/>
      <c r="AL57" s="73"/>
      <c r="AM57" s="73"/>
      <c r="AN57" s="73"/>
      <c r="AO57" s="73"/>
      <c r="AP57" s="73"/>
      <c r="AQ57" s="73"/>
      <c r="AR57" s="73"/>
      <c r="AS57" s="73"/>
    </row>
    <row r="58" spans="1:45" x14ac:dyDescent="0.25">
      <c r="B58" s="73"/>
      <c r="C58" s="73"/>
      <c r="D58" s="73"/>
      <c r="E58" s="73"/>
      <c r="F58" s="73"/>
      <c r="G58" s="73"/>
      <c r="H58" s="73"/>
      <c r="I58" s="183"/>
      <c r="J58" s="73"/>
      <c r="K58" s="73"/>
      <c r="L58" s="73"/>
      <c r="M58" s="73"/>
      <c r="N58" s="73"/>
      <c r="O58" s="73"/>
      <c r="P58" s="73"/>
      <c r="Q58" s="73"/>
      <c r="R58" s="73"/>
      <c r="S58" s="73"/>
      <c r="T58" s="73"/>
      <c r="U58" s="73"/>
      <c r="V58" s="73"/>
      <c r="W58" s="73"/>
      <c r="X58" s="73"/>
      <c r="Y58" s="73"/>
      <c r="Z58" s="73"/>
      <c r="AA58" s="73"/>
      <c r="AB58" s="73"/>
      <c r="AC58" s="73"/>
      <c r="AD58" s="73"/>
      <c r="AE58" s="73"/>
      <c r="AF58" s="73"/>
      <c r="AG58" s="73"/>
      <c r="AH58" s="73"/>
      <c r="AI58" s="73"/>
      <c r="AJ58" s="73"/>
      <c r="AK58" s="73"/>
      <c r="AL58" s="73"/>
      <c r="AM58" s="73"/>
      <c r="AN58" s="73"/>
      <c r="AO58" s="73"/>
      <c r="AP58" s="73"/>
      <c r="AQ58" s="73"/>
      <c r="AR58" s="73"/>
      <c r="AS58" s="73"/>
    </row>
    <row r="59" spans="1:45" x14ac:dyDescent="0.25">
      <c r="B59" s="73"/>
      <c r="C59" s="73"/>
      <c r="D59" s="73"/>
      <c r="E59" s="73"/>
      <c r="F59" s="73"/>
      <c r="G59" s="73"/>
      <c r="H59" s="73"/>
      <c r="I59" s="183"/>
      <c r="J59" s="73"/>
      <c r="K59" s="73"/>
      <c r="L59" s="73"/>
      <c r="M59" s="73"/>
      <c r="N59" s="73"/>
      <c r="O59" s="73"/>
      <c r="P59" s="73"/>
      <c r="Q59" s="73"/>
      <c r="R59" s="73"/>
      <c r="S59" s="73"/>
      <c r="T59" s="73"/>
      <c r="U59" s="73"/>
      <c r="V59" s="73"/>
      <c r="W59" s="73"/>
      <c r="X59" s="73"/>
      <c r="Y59" s="73"/>
      <c r="Z59" s="73"/>
      <c r="AA59" s="73"/>
      <c r="AB59" s="73"/>
      <c r="AC59" s="73"/>
      <c r="AD59" s="73"/>
      <c r="AE59" s="73"/>
      <c r="AF59" s="73"/>
      <c r="AG59" s="73"/>
      <c r="AH59" s="73"/>
      <c r="AI59" s="73"/>
      <c r="AJ59" s="73"/>
      <c r="AK59" s="73"/>
      <c r="AL59" s="73"/>
      <c r="AM59" s="73"/>
      <c r="AN59" s="73"/>
      <c r="AO59" s="73"/>
      <c r="AP59" s="73"/>
      <c r="AQ59" s="73"/>
      <c r="AR59" s="73"/>
      <c r="AS59" s="73"/>
    </row>
    <row r="60" spans="1:45" x14ac:dyDescent="0.25">
      <c r="B60" s="73"/>
      <c r="C60" s="73"/>
      <c r="D60" s="73"/>
      <c r="E60" s="73"/>
      <c r="F60" s="73"/>
      <c r="G60" s="73"/>
      <c r="H60" s="73"/>
      <c r="I60" s="18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row>
    <row r="61" spans="1:45" x14ac:dyDescent="0.25">
      <c r="B61" s="73"/>
      <c r="C61" s="73"/>
      <c r="D61" s="73"/>
      <c r="E61" s="73"/>
      <c r="F61" s="73"/>
      <c r="G61" s="73"/>
      <c r="H61" s="73"/>
      <c r="I61" s="18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row>
    <row r="62" spans="1:45" x14ac:dyDescent="0.25">
      <c r="B62" s="73"/>
      <c r="C62" s="73"/>
      <c r="D62" s="73"/>
      <c r="E62" s="73"/>
      <c r="F62" s="73"/>
      <c r="G62" s="73"/>
      <c r="H62" s="73"/>
      <c r="I62" s="183"/>
      <c r="J62" s="73"/>
      <c r="K62" s="73"/>
      <c r="L62" s="73"/>
      <c r="M62" s="73"/>
      <c r="N62" s="73"/>
      <c r="O62" s="73"/>
      <c r="P62" s="73"/>
      <c r="Q62" s="73"/>
      <c r="R62" s="73"/>
      <c r="S62" s="73"/>
      <c r="T62" s="73"/>
      <c r="U62" s="73"/>
      <c r="V62" s="73"/>
      <c r="W62" s="73"/>
      <c r="X62" s="73"/>
      <c r="Y62" s="73"/>
      <c r="Z62" s="73"/>
      <c r="AA62" s="73"/>
      <c r="AB62" s="73"/>
      <c r="AC62" s="73"/>
      <c r="AD62" s="73"/>
      <c r="AE62" s="73"/>
      <c r="AF62" s="73"/>
      <c r="AG62" s="73"/>
      <c r="AH62" s="73"/>
      <c r="AI62" s="73"/>
      <c r="AJ62" s="73"/>
      <c r="AK62" s="73"/>
      <c r="AL62" s="73"/>
      <c r="AM62" s="73"/>
      <c r="AN62" s="73"/>
      <c r="AO62" s="73"/>
      <c r="AP62" s="73"/>
      <c r="AQ62" s="73"/>
      <c r="AR62" s="73"/>
      <c r="AS62" s="73"/>
    </row>
    <row r="63" spans="1:45" x14ac:dyDescent="0.25">
      <c r="B63" s="73"/>
      <c r="C63" s="73"/>
      <c r="D63" s="73"/>
      <c r="E63" s="73"/>
      <c r="F63" s="73"/>
      <c r="G63" s="73"/>
      <c r="H63" s="73"/>
      <c r="I63" s="18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3"/>
      <c r="AL63" s="73"/>
      <c r="AM63" s="73"/>
      <c r="AN63" s="73"/>
      <c r="AO63" s="73"/>
      <c r="AP63" s="73"/>
      <c r="AQ63" s="73"/>
      <c r="AR63" s="73"/>
      <c r="AS63" s="73"/>
    </row>
    <row r="64" spans="1:45" x14ac:dyDescent="0.25">
      <c r="B64" s="73"/>
      <c r="C64" s="73"/>
      <c r="D64" s="73"/>
      <c r="E64" s="73"/>
      <c r="F64" s="73"/>
      <c r="G64" s="73"/>
      <c r="H64" s="73"/>
      <c r="I64" s="183"/>
      <c r="J64" s="73"/>
      <c r="K64" s="73"/>
      <c r="L64" s="73"/>
      <c r="M64" s="73"/>
      <c r="N64" s="73"/>
      <c r="O64" s="73"/>
      <c r="P64" s="73"/>
      <c r="Q64" s="73"/>
      <c r="R64" s="73"/>
      <c r="S64" s="73"/>
      <c r="T64" s="73"/>
      <c r="U64" s="73"/>
      <c r="V64" s="73"/>
      <c r="W64" s="73"/>
      <c r="X64" s="73"/>
      <c r="Y64" s="73"/>
      <c r="Z64" s="73"/>
      <c r="AA64" s="73"/>
      <c r="AB64" s="73"/>
      <c r="AC64" s="73"/>
      <c r="AD64" s="73"/>
      <c r="AE64" s="73"/>
      <c r="AF64" s="73"/>
      <c r="AG64" s="73"/>
      <c r="AH64" s="73"/>
      <c r="AI64" s="73"/>
      <c r="AJ64" s="73"/>
      <c r="AK64" s="73"/>
      <c r="AL64" s="73"/>
      <c r="AM64" s="73"/>
      <c r="AN64" s="73"/>
      <c r="AO64" s="73"/>
      <c r="AP64" s="73"/>
      <c r="AQ64" s="73"/>
      <c r="AR64" s="73"/>
      <c r="AS64" s="73"/>
    </row>
    <row r="65" spans="2:45" x14ac:dyDescent="0.25">
      <c r="B65" s="73"/>
      <c r="C65" s="73"/>
      <c r="D65" s="73"/>
      <c r="E65" s="73"/>
      <c r="F65" s="73"/>
      <c r="G65" s="73"/>
      <c r="H65" s="73"/>
      <c r="I65" s="183"/>
      <c r="J65" s="73"/>
      <c r="K65" s="73"/>
      <c r="L65" s="73"/>
      <c r="M65" s="73"/>
      <c r="N65" s="73"/>
      <c r="O65" s="73"/>
      <c r="P65" s="73"/>
      <c r="Q65" s="73"/>
      <c r="R65" s="73"/>
      <c r="S65" s="73"/>
      <c r="T65" s="73"/>
      <c r="U65" s="73"/>
      <c r="V65" s="73"/>
      <c r="W65" s="73"/>
      <c r="X65" s="73"/>
      <c r="Y65" s="73"/>
      <c r="Z65" s="73"/>
      <c r="AA65" s="73"/>
      <c r="AB65" s="73"/>
      <c r="AC65" s="73"/>
      <c r="AD65" s="73"/>
      <c r="AE65" s="73"/>
      <c r="AF65" s="73"/>
      <c r="AG65" s="73"/>
      <c r="AH65" s="73"/>
      <c r="AI65" s="73"/>
      <c r="AJ65" s="73"/>
      <c r="AK65" s="73"/>
      <c r="AL65" s="73"/>
      <c r="AM65" s="73"/>
      <c r="AN65" s="73"/>
      <c r="AO65" s="73"/>
      <c r="AP65" s="73"/>
      <c r="AQ65" s="73"/>
      <c r="AR65" s="73"/>
      <c r="AS65" s="73"/>
    </row>
    <row r="66" spans="2:45" x14ac:dyDescent="0.25">
      <c r="B66" s="73"/>
      <c r="C66" s="73"/>
      <c r="D66" s="73"/>
      <c r="E66" s="73"/>
      <c r="F66" s="73"/>
      <c r="G66" s="73"/>
      <c r="H66" s="73"/>
      <c r="I66" s="18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73"/>
      <c r="AL66" s="73"/>
      <c r="AM66" s="73"/>
      <c r="AN66" s="73"/>
      <c r="AO66" s="73"/>
      <c r="AP66" s="73"/>
      <c r="AQ66" s="73"/>
      <c r="AR66" s="73"/>
      <c r="AS66" s="73"/>
    </row>
    <row r="67" spans="2:45" x14ac:dyDescent="0.25">
      <c r="B67" s="73"/>
      <c r="C67" s="73"/>
      <c r="D67" s="73"/>
      <c r="E67" s="73"/>
      <c r="F67" s="73"/>
      <c r="G67" s="73"/>
      <c r="H67" s="73"/>
      <c r="I67" s="183"/>
      <c r="J67" s="73"/>
      <c r="K67" s="73"/>
      <c r="L67" s="73"/>
      <c r="M67" s="73"/>
      <c r="N67" s="73"/>
      <c r="O67" s="73"/>
      <c r="P67" s="73"/>
      <c r="Q67" s="73"/>
      <c r="R67" s="73"/>
      <c r="S67" s="73"/>
      <c r="T67" s="73"/>
      <c r="U67" s="73"/>
      <c r="V67" s="73"/>
      <c r="W67" s="73"/>
      <c r="X67" s="73"/>
      <c r="Y67" s="73"/>
      <c r="Z67" s="73"/>
      <c r="AA67" s="73"/>
      <c r="AB67" s="73"/>
      <c r="AC67" s="73"/>
      <c r="AD67" s="73"/>
      <c r="AE67" s="73"/>
      <c r="AF67" s="73"/>
      <c r="AG67" s="73"/>
      <c r="AH67" s="73"/>
      <c r="AI67" s="73"/>
      <c r="AJ67" s="73"/>
      <c r="AK67" s="73"/>
      <c r="AL67" s="73"/>
      <c r="AM67" s="73"/>
      <c r="AN67" s="73"/>
      <c r="AO67" s="73"/>
      <c r="AP67" s="73"/>
      <c r="AQ67" s="73"/>
      <c r="AR67" s="73"/>
      <c r="AS67" s="73"/>
    </row>
    <row r="68" spans="2:45" x14ac:dyDescent="0.25">
      <c r="B68" s="73"/>
      <c r="C68" s="73"/>
      <c r="D68" s="73"/>
      <c r="E68" s="73"/>
      <c r="F68" s="73"/>
      <c r="G68" s="73"/>
      <c r="H68" s="73"/>
      <c r="I68" s="183"/>
      <c r="J68" s="73"/>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73"/>
      <c r="AL68" s="73"/>
      <c r="AM68" s="73"/>
      <c r="AN68" s="73"/>
      <c r="AO68" s="73"/>
      <c r="AP68" s="73"/>
      <c r="AQ68" s="73"/>
      <c r="AR68" s="73"/>
      <c r="AS68" s="73"/>
    </row>
    <row r="69" spans="2:45" x14ac:dyDescent="0.25">
      <c r="B69" s="73"/>
      <c r="C69" s="73"/>
      <c r="D69" s="73"/>
      <c r="E69" s="73"/>
      <c r="F69" s="73"/>
      <c r="G69" s="73"/>
      <c r="H69" s="73"/>
      <c r="I69" s="183"/>
      <c r="J69" s="73"/>
      <c r="K69" s="73"/>
      <c r="L69" s="73"/>
      <c r="M69" s="73"/>
      <c r="N69" s="73"/>
      <c r="O69" s="73"/>
      <c r="P69" s="73"/>
      <c r="Q69" s="73"/>
      <c r="R69" s="73"/>
      <c r="S69" s="73"/>
      <c r="T69" s="73"/>
      <c r="U69" s="73"/>
      <c r="V69" s="73"/>
      <c r="W69" s="73"/>
      <c r="X69" s="73"/>
      <c r="Y69" s="73"/>
      <c r="Z69" s="73"/>
      <c r="AA69" s="73"/>
      <c r="AB69" s="73"/>
      <c r="AC69" s="73"/>
      <c r="AD69" s="73"/>
      <c r="AE69" s="73"/>
      <c r="AF69" s="73"/>
      <c r="AG69" s="73"/>
      <c r="AH69" s="73"/>
      <c r="AI69" s="73"/>
      <c r="AJ69" s="73"/>
      <c r="AK69" s="73"/>
      <c r="AL69" s="73"/>
      <c r="AM69" s="73"/>
      <c r="AN69" s="73"/>
      <c r="AO69" s="73"/>
      <c r="AP69" s="73"/>
      <c r="AQ69" s="73"/>
      <c r="AR69" s="73"/>
      <c r="AS69" s="73"/>
    </row>
    <row r="70" spans="2:45" x14ac:dyDescent="0.25">
      <c r="B70" s="73"/>
      <c r="C70" s="73"/>
      <c r="D70" s="73"/>
      <c r="E70" s="73"/>
      <c r="F70" s="73"/>
      <c r="G70" s="73"/>
      <c r="H70" s="73"/>
      <c r="I70" s="18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73"/>
      <c r="AL70" s="73"/>
      <c r="AM70" s="73"/>
      <c r="AN70" s="73"/>
      <c r="AO70" s="73"/>
      <c r="AP70" s="73"/>
      <c r="AQ70" s="73"/>
      <c r="AR70" s="73"/>
      <c r="AS70" s="73"/>
    </row>
    <row r="71" spans="2:45" x14ac:dyDescent="0.25">
      <c r="B71" s="73"/>
      <c r="C71" s="73"/>
      <c r="D71" s="73"/>
      <c r="E71" s="73"/>
      <c r="F71" s="73"/>
      <c r="G71" s="73"/>
      <c r="H71" s="73"/>
      <c r="I71" s="18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L71" s="73"/>
      <c r="AM71" s="73"/>
      <c r="AN71" s="73"/>
      <c r="AO71" s="73"/>
      <c r="AP71" s="73"/>
      <c r="AQ71" s="73"/>
      <c r="AR71" s="73"/>
      <c r="AS71" s="73"/>
    </row>
    <row r="72" spans="2:45" x14ac:dyDescent="0.25">
      <c r="B72" s="73"/>
      <c r="C72" s="73"/>
      <c r="D72" s="73"/>
      <c r="E72" s="73"/>
      <c r="F72" s="73"/>
      <c r="G72" s="73"/>
      <c r="H72" s="73"/>
      <c r="I72" s="18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L72" s="73"/>
      <c r="AM72" s="73"/>
      <c r="AN72" s="73"/>
      <c r="AO72" s="73"/>
      <c r="AP72" s="73"/>
      <c r="AQ72" s="73"/>
      <c r="AR72" s="73"/>
      <c r="AS72" s="73"/>
    </row>
    <row r="73" spans="2:45" x14ac:dyDescent="0.25">
      <c r="B73" s="73"/>
      <c r="C73" s="73"/>
      <c r="D73" s="73"/>
      <c r="E73" s="73"/>
      <c r="F73" s="73"/>
      <c r="G73" s="73"/>
      <c r="H73" s="73"/>
      <c r="I73" s="18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73"/>
      <c r="AN73" s="73"/>
      <c r="AO73" s="73"/>
      <c r="AP73" s="73"/>
      <c r="AQ73" s="73"/>
      <c r="AR73" s="73"/>
      <c r="AS73" s="73"/>
    </row>
    <row r="74" spans="2:45" x14ac:dyDescent="0.25">
      <c r="B74" s="73"/>
      <c r="C74" s="73"/>
      <c r="D74" s="73"/>
      <c r="E74" s="73"/>
      <c r="F74" s="73"/>
      <c r="G74" s="73"/>
      <c r="H74" s="73"/>
      <c r="I74" s="18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73"/>
      <c r="AL74" s="73"/>
      <c r="AM74" s="73"/>
      <c r="AN74" s="73"/>
      <c r="AO74" s="73"/>
      <c r="AP74" s="73"/>
      <c r="AQ74" s="73"/>
      <c r="AR74" s="73"/>
      <c r="AS74" s="73"/>
    </row>
    <row r="75" spans="2:45" x14ac:dyDescent="0.25">
      <c r="B75" s="73"/>
      <c r="C75" s="73"/>
      <c r="D75" s="73"/>
      <c r="E75" s="73"/>
      <c r="F75" s="73"/>
      <c r="G75" s="73"/>
      <c r="H75" s="73"/>
      <c r="I75" s="18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3"/>
      <c r="AI75" s="73"/>
      <c r="AJ75" s="73"/>
      <c r="AK75" s="73"/>
      <c r="AL75" s="73"/>
      <c r="AM75" s="73"/>
      <c r="AN75" s="73"/>
      <c r="AO75" s="73"/>
      <c r="AP75" s="73"/>
      <c r="AQ75" s="73"/>
      <c r="AR75" s="73"/>
      <c r="AS75" s="73"/>
    </row>
    <row r="76" spans="2:45" x14ac:dyDescent="0.25">
      <c r="B76" s="73"/>
      <c r="C76" s="73"/>
      <c r="D76" s="73"/>
      <c r="E76" s="73"/>
      <c r="F76" s="73"/>
      <c r="G76" s="73"/>
      <c r="H76" s="73"/>
      <c r="I76" s="18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c r="AI76" s="73"/>
      <c r="AJ76" s="73"/>
      <c r="AK76" s="73"/>
      <c r="AL76" s="73"/>
      <c r="AM76" s="73"/>
      <c r="AN76" s="73"/>
      <c r="AO76" s="73"/>
      <c r="AP76" s="73"/>
      <c r="AQ76" s="73"/>
      <c r="AR76" s="73"/>
      <c r="AS76" s="73"/>
    </row>
    <row r="77" spans="2:45" x14ac:dyDescent="0.25">
      <c r="B77" s="73"/>
      <c r="C77" s="73"/>
      <c r="D77" s="73"/>
      <c r="E77" s="73"/>
      <c r="F77" s="73"/>
      <c r="G77" s="73"/>
      <c r="H77" s="73"/>
      <c r="I77" s="18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73"/>
      <c r="AL77" s="73"/>
      <c r="AM77" s="73"/>
      <c r="AN77" s="73"/>
      <c r="AO77" s="73"/>
      <c r="AP77" s="73"/>
      <c r="AQ77" s="73"/>
      <c r="AR77" s="73"/>
      <c r="AS77" s="73"/>
    </row>
    <row r="78" spans="2:45" x14ac:dyDescent="0.25">
      <c r="B78" s="73"/>
      <c r="C78" s="73"/>
      <c r="D78" s="73"/>
      <c r="E78" s="73"/>
      <c r="F78" s="73"/>
      <c r="G78" s="73"/>
      <c r="H78" s="73"/>
      <c r="I78" s="18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73"/>
      <c r="AL78" s="73"/>
      <c r="AM78" s="73"/>
      <c r="AN78" s="73"/>
      <c r="AO78" s="73"/>
      <c r="AP78" s="73"/>
      <c r="AQ78" s="73"/>
      <c r="AR78" s="73"/>
      <c r="AS78" s="73"/>
    </row>
    <row r="79" spans="2:45" x14ac:dyDescent="0.25">
      <c r="B79" s="73"/>
      <c r="C79" s="73"/>
      <c r="D79" s="73"/>
      <c r="E79" s="73"/>
      <c r="F79" s="73"/>
      <c r="G79" s="73"/>
      <c r="H79" s="73"/>
      <c r="I79" s="18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73"/>
      <c r="AL79" s="73"/>
      <c r="AM79" s="73"/>
      <c r="AN79" s="73"/>
      <c r="AO79" s="73"/>
      <c r="AP79" s="73"/>
      <c r="AQ79" s="73"/>
      <c r="AR79" s="73"/>
      <c r="AS79" s="73"/>
    </row>
    <row r="80" spans="2:45" x14ac:dyDescent="0.25">
      <c r="B80" s="73"/>
      <c r="C80" s="73"/>
      <c r="D80" s="73"/>
      <c r="E80" s="73"/>
      <c r="F80" s="73"/>
      <c r="G80" s="73"/>
      <c r="H80" s="73"/>
      <c r="I80" s="183"/>
      <c r="J80" s="73"/>
      <c r="K80" s="73"/>
      <c r="L80" s="73"/>
      <c r="M80" s="73"/>
      <c r="N80" s="73"/>
      <c r="O80" s="73"/>
      <c r="P80" s="73"/>
      <c r="Q80" s="73"/>
      <c r="R80" s="73"/>
      <c r="S80" s="73"/>
      <c r="T80" s="73"/>
      <c r="U80" s="73"/>
      <c r="V80" s="73"/>
      <c r="W80" s="73"/>
      <c r="X80" s="73"/>
      <c r="Y80" s="73"/>
      <c r="Z80" s="73"/>
      <c r="AA80" s="73"/>
      <c r="AB80" s="73"/>
      <c r="AC80" s="73"/>
      <c r="AD80" s="73"/>
      <c r="AE80" s="73"/>
      <c r="AF80" s="73"/>
      <c r="AG80" s="73"/>
      <c r="AH80" s="73"/>
      <c r="AI80" s="73"/>
      <c r="AJ80" s="73"/>
      <c r="AK80" s="73"/>
      <c r="AL80" s="73"/>
      <c r="AM80" s="73"/>
      <c r="AN80" s="73"/>
      <c r="AO80" s="73"/>
      <c r="AP80" s="73"/>
      <c r="AQ80" s="73"/>
      <c r="AR80" s="73"/>
      <c r="AS80" s="73"/>
    </row>
    <row r="81" spans="2:45" x14ac:dyDescent="0.25">
      <c r="B81" s="73"/>
      <c r="C81" s="73"/>
      <c r="D81" s="73"/>
      <c r="E81" s="73"/>
      <c r="F81" s="73"/>
      <c r="G81" s="73"/>
      <c r="H81" s="73"/>
      <c r="I81" s="18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73"/>
      <c r="AL81" s="73"/>
      <c r="AM81" s="73"/>
      <c r="AN81" s="73"/>
      <c r="AO81" s="73"/>
      <c r="AP81" s="73"/>
      <c r="AQ81" s="73"/>
      <c r="AR81" s="73"/>
      <c r="AS81" s="73"/>
    </row>
    <row r="82" spans="2:45" x14ac:dyDescent="0.25">
      <c r="B82" s="73"/>
      <c r="C82" s="73"/>
      <c r="D82" s="73"/>
      <c r="E82" s="73"/>
      <c r="F82" s="73"/>
      <c r="G82" s="73"/>
      <c r="H82" s="73"/>
      <c r="I82" s="18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73"/>
      <c r="AL82" s="73"/>
      <c r="AM82" s="73"/>
      <c r="AN82" s="73"/>
      <c r="AO82" s="73"/>
      <c r="AP82" s="73"/>
      <c r="AQ82" s="73"/>
      <c r="AR82" s="73"/>
      <c r="AS82" s="73"/>
    </row>
    <row r="83" spans="2:45" x14ac:dyDescent="0.25">
      <c r="B83" s="73"/>
      <c r="C83" s="73"/>
      <c r="D83" s="73"/>
      <c r="E83" s="73"/>
      <c r="F83" s="73"/>
      <c r="G83" s="73"/>
      <c r="H83" s="73"/>
      <c r="I83" s="18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73"/>
      <c r="AL83" s="73"/>
      <c r="AM83" s="73"/>
      <c r="AN83" s="73"/>
      <c r="AO83" s="73"/>
      <c r="AP83" s="73"/>
      <c r="AQ83" s="73"/>
      <c r="AR83" s="73"/>
      <c r="AS83" s="73"/>
    </row>
    <row r="84" spans="2:45" x14ac:dyDescent="0.25">
      <c r="B84" s="73"/>
      <c r="C84" s="73"/>
      <c r="D84" s="73"/>
      <c r="E84" s="73"/>
      <c r="F84" s="73"/>
      <c r="G84" s="73"/>
      <c r="H84" s="73"/>
      <c r="I84" s="18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3"/>
      <c r="AS84" s="73"/>
    </row>
    <row r="85" spans="2:45" x14ac:dyDescent="0.25">
      <c r="B85" s="73"/>
      <c r="C85" s="73"/>
      <c r="D85" s="73"/>
      <c r="E85" s="73"/>
      <c r="F85" s="73"/>
      <c r="G85" s="73"/>
      <c r="H85" s="73"/>
      <c r="I85" s="18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73"/>
      <c r="AL85" s="73"/>
      <c r="AM85" s="73"/>
      <c r="AN85" s="73"/>
      <c r="AO85" s="73"/>
      <c r="AP85" s="73"/>
      <c r="AQ85" s="73"/>
      <c r="AR85" s="73"/>
      <c r="AS85" s="73"/>
    </row>
    <row r="86" spans="2:45" x14ac:dyDescent="0.25">
      <c r="B86" s="73"/>
      <c r="C86" s="73"/>
      <c r="D86" s="73"/>
      <c r="E86" s="73"/>
      <c r="F86" s="73"/>
      <c r="G86" s="73"/>
      <c r="H86" s="73"/>
      <c r="I86" s="18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73"/>
      <c r="AL86" s="73"/>
      <c r="AM86" s="73"/>
      <c r="AN86" s="73"/>
      <c r="AO86" s="73"/>
      <c r="AP86" s="73"/>
      <c r="AQ86" s="73"/>
      <c r="AR86" s="73"/>
      <c r="AS86" s="73"/>
    </row>
    <row r="87" spans="2:45" x14ac:dyDescent="0.25">
      <c r="B87" s="73"/>
      <c r="C87" s="73"/>
      <c r="D87" s="73"/>
      <c r="E87" s="73"/>
      <c r="F87" s="73"/>
      <c r="G87" s="73"/>
      <c r="H87" s="73"/>
      <c r="I87" s="18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73"/>
      <c r="AL87" s="73"/>
      <c r="AM87" s="73"/>
      <c r="AN87" s="73"/>
      <c r="AO87" s="73"/>
      <c r="AP87" s="73"/>
      <c r="AQ87" s="73"/>
      <c r="AR87" s="73"/>
      <c r="AS87" s="73"/>
    </row>
    <row r="88" spans="2:45" x14ac:dyDescent="0.25">
      <c r="B88" s="73"/>
      <c r="C88" s="73"/>
      <c r="D88" s="73"/>
      <c r="E88" s="73"/>
      <c r="F88" s="73"/>
      <c r="G88" s="73"/>
      <c r="H88" s="73"/>
      <c r="I88" s="18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73"/>
      <c r="AL88" s="73"/>
      <c r="AM88" s="73"/>
      <c r="AN88" s="73"/>
      <c r="AO88" s="73"/>
      <c r="AP88" s="73"/>
      <c r="AQ88" s="73"/>
      <c r="AR88" s="73"/>
      <c r="AS88" s="73"/>
    </row>
    <row r="89" spans="2:45" x14ac:dyDescent="0.25">
      <c r="B89" s="73"/>
      <c r="C89" s="73"/>
      <c r="D89" s="73"/>
      <c r="E89" s="73"/>
      <c r="F89" s="73"/>
      <c r="G89" s="73"/>
      <c r="H89" s="73"/>
      <c r="I89" s="18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73"/>
      <c r="AL89" s="73"/>
      <c r="AM89" s="73"/>
      <c r="AN89" s="73"/>
      <c r="AO89" s="73"/>
      <c r="AP89" s="73"/>
      <c r="AQ89" s="73"/>
      <c r="AR89" s="73"/>
      <c r="AS89" s="73"/>
    </row>
    <row r="90" spans="2:45" x14ac:dyDescent="0.25">
      <c r="B90" s="73"/>
      <c r="C90" s="73"/>
      <c r="D90" s="73"/>
      <c r="E90" s="73"/>
      <c r="F90" s="73"/>
      <c r="G90" s="73"/>
      <c r="H90" s="73"/>
      <c r="I90" s="18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73"/>
      <c r="AL90" s="73"/>
      <c r="AM90" s="73"/>
      <c r="AN90" s="73"/>
      <c r="AO90" s="73"/>
      <c r="AP90" s="73"/>
      <c r="AQ90" s="73"/>
      <c r="AR90" s="73"/>
      <c r="AS90" s="73"/>
    </row>
    <row r="91" spans="2:45" x14ac:dyDescent="0.25">
      <c r="B91" s="73"/>
      <c r="C91" s="73"/>
      <c r="D91" s="73"/>
      <c r="E91" s="73"/>
      <c r="F91" s="73"/>
      <c r="G91" s="73"/>
      <c r="H91" s="73"/>
      <c r="I91" s="18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3"/>
    </row>
    <row r="92" spans="2:45" x14ac:dyDescent="0.25">
      <c r="B92" s="73"/>
      <c r="C92" s="73"/>
      <c r="D92" s="73"/>
      <c r="E92" s="73"/>
      <c r="F92" s="73"/>
      <c r="G92" s="73"/>
      <c r="H92" s="73"/>
      <c r="I92" s="18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73"/>
    </row>
    <row r="93" spans="2:45" x14ac:dyDescent="0.25">
      <c r="B93" s="73"/>
      <c r="C93" s="73"/>
      <c r="D93" s="73"/>
      <c r="E93" s="73"/>
      <c r="F93" s="73"/>
      <c r="G93" s="73"/>
      <c r="H93" s="73"/>
      <c r="I93" s="18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3"/>
      <c r="AQ93" s="73"/>
      <c r="AR93" s="73"/>
      <c r="AS93" s="73"/>
    </row>
    <row r="94" spans="2:45" x14ac:dyDescent="0.25">
      <c r="B94" s="73"/>
      <c r="C94" s="73"/>
      <c r="D94" s="73"/>
      <c r="E94" s="73"/>
      <c r="F94" s="73"/>
      <c r="G94" s="73"/>
      <c r="H94" s="73"/>
      <c r="I94" s="18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3"/>
      <c r="AQ94" s="73"/>
      <c r="AR94" s="73"/>
      <c r="AS94" s="73"/>
    </row>
    <row r="95" spans="2:45" x14ac:dyDescent="0.25">
      <c r="B95" s="73"/>
      <c r="C95" s="73"/>
      <c r="D95" s="73"/>
      <c r="E95" s="73"/>
      <c r="F95" s="73"/>
      <c r="G95" s="73"/>
      <c r="H95" s="73"/>
      <c r="I95" s="183"/>
      <c r="J95" s="73"/>
      <c r="K95" s="73"/>
      <c r="L95" s="73"/>
      <c r="M95" s="73"/>
      <c r="N95" s="73"/>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c r="AO95" s="73"/>
      <c r="AP95" s="73"/>
      <c r="AQ95" s="73"/>
      <c r="AR95" s="73"/>
      <c r="AS95" s="73"/>
    </row>
    <row r="96" spans="2:45" x14ac:dyDescent="0.25">
      <c r="B96" s="73"/>
      <c r="C96" s="73"/>
      <c r="D96" s="73"/>
      <c r="E96" s="73"/>
      <c r="F96" s="73"/>
      <c r="G96" s="73"/>
      <c r="H96" s="73"/>
      <c r="I96" s="18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c r="AS96" s="73"/>
    </row>
    <row r="97" spans="2:45" x14ac:dyDescent="0.25">
      <c r="B97" s="73"/>
      <c r="C97" s="73"/>
      <c r="D97" s="73"/>
      <c r="E97" s="73"/>
      <c r="F97" s="73"/>
      <c r="G97" s="73"/>
      <c r="H97" s="73"/>
      <c r="I97" s="183"/>
      <c r="J97" s="73"/>
      <c r="K97" s="73"/>
      <c r="L97" s="73"/>
      <c r="M97" s="73"/>
      <c r="N97" s="73"/>
      <c r="O97" s="73"/>
      <c r="P97" s="73"/>
      <c r="Q97" s="73"/>
      <c r="R97" s="73"/>
      <c r="S97" s="73"/>
      <c r="T97" s="73"/>
      <c r="U97" s="73"/>
      <c r="V97" s="73"/>
      <c r="W97" s="73"/>
      <c r="X97" s="73"/>
      <c r="Y97" s="73"/>
      <c r="Z97" s="73"/>
      <c r="AA97" s="73"/>
      <c r="AB97" s="73"/>
      <c r="AC97" s="73"/>
      <c r="AD97" s="73"/>
      <c r="AE97" s="73"/>
      <c r="AF97" s="73"/>
      <c r="AG97" s="73"/>
      <c r="AH97" s="73"/>
      <c r="AI97" s="73"/>
      <c r="AJ97" s="73"/>
      <c r="AK97" s="73"/>
      <c r="AL97" s="73"/>
      <c r="AM97" s="73"/>
      <c r="AN97" s="73"/>
      <c r="AO97" s="73"/>
      <c r="AP97" s="73"/>
      <c r="AQ97" s="73"/>
      <c r="AR97" s="73"/>
      <c r="AS97" s="73"/>
    </row>
    <row r="98" spans="2:45" x14ac:dyDescent="0.25">
      <c r="B98" s="73"/>
      <c r="C98" s="73"/>
      <c r="D98" s="73"/>
      <c r="E98" s="73"/>
      <c r="F98" s="73"/>
      <c r="G98" s="73"/>
      <c r="H98" s="73"/>
      <c r="I98" s="183"/>
      <c r="J98" s="73"/>
      <c r="K98" s="73"/>
      <c r="L98" s="73"/>
      <c r="M98" s="73"/>
      <c r="N98" s="73"/>
      <c r="O98" s="73"/>
      <c r="P98" s="73"/>
      <c r="Q98" s="73"/>
      <c r="R98" s="73"/>
      <c r="S98" s="73"/>
      <c r="T98" s="73"/>
      <c r="U98" s="73"/>
      <c r="V98" s="73"/>
      <c r="W98" s="73"/>
      <c r="X98" s="73"/>
      <c r="Y98" s="73"/>
      <c r="Z98" s="73"/>
      <c r="AA98" s="73"/>
      <c r="AB98" s="73"/>
      <c r="AC98" s="73"/>
      <c r="AD98" s="73"/>
      <c r="AE98" s="73"/>
      <c r="AF98" s="73"/>
      <c r="AG98" s="73"/>
      <c r="AH98" s="73"/>
      <c r="AI98" s="73"/>
      <c r="AJ98" s="73"/>
      <c r="AK98" s="73"/>
      <c r="AL98" s="73"/>
      <c r="AM98" s="73"/>
      <c r="AN98" s="73"/>
      <c r="AO98" s="73"/>
      <c r="AP98" s="73"/>
      <c r="AQ98" s="73"/>
      <c r="AR98" s="73"/>
      <c r="AS98" s="73"/>
    </row>
    <row r="99" spans="2:45" x14ac:dyDescent="0.25">
      <c r="B99" s="73"/>
      <c r="C99" s="73"/>
      <c r="D99" s="73"/>
      <c r="E99" s="73"/>
      <c r="F99" s="73"/>
      <c r="G99" s="73"/>
      <c r="H99" s="73"/>
      <c r="I99" s="183"/>
      <c r="J99" s="73"/>
      <c r="K99" s="73"/>
      <c r="L99" s="73"/>
      <c r="M99" s="73"/>
      <c r="N99" s="73"/>
      <c r="O99" s="73"/>
      <c r="P99" s="73"/>
      <c r="Q99" s="73"/>
      <c r="R99" s="73"/>
      <c r="S99" s="73"/>
      <c r="T99" s="73"/>
      <c r="U99" s="73"/>
      <c r="V99" s="73"/>
      <c r="W99" s="73"/>
      <c r="X99" s="73"/>
      <c r="Y99" s="73"/>
      <c r="Z99" s="73"/>
      <c r="AA99" s="73"/>
      <c r="AB99" s="73"/>
      <c r="AC99" s="73"/>
      <c r="AD99" s="73"/>
      <c r="AE99" s="73"/>
      <c r="AF99" s="73"/>
      <c r="AG99" s="73"/>
      <c r="AH99" s="73"/>
      <c r="AI99" s="73"/>
      <c r="AJ99" s="73"/>
      <c r="AK99" s="73"/>
      <c r="AL99" s="73"/>
      <c r="AM99" s="73"/>
      <c r="AN99" s="73"/>
      <c r="AO99" s="73"/>
      <c r="AP99" s="73"/>
      <c r="AQ99" s="73"/>
      <c r="AR99" s="73"/>
      <c r="AS99" s="73"/>
    </row>
    <row r="100" spans="2:45" x14ac:dyDescent="0.25">
      <c r="B100" s="73"/>
      <c r="C100" s="73"/>
      <c r="D100" s="73"/>
      <c r="E100" s="73"/>
      <c r="F100" s="73"/>
      <c r="G100" s="73"/>
      <c r="H100" s="73"/>
      <c r="I100" s="183"/>
      <c r="J100" s="73"/>
      <c r="K100" s="73"/>
      <c r="L100" s="73"/>
      <c r="M100" s="73"/>
      <c r="N100" s="73"/>
      <c r="O100" s="73"/>
      <c r="P100" s="73"/>
      <c r="Q100" s="73"/>
      <c r="R100" s="73"/>
      <c r="S100" s="73"/>
      <c r="T100" s="73"/>
      <c r="U100" s="73"/>
      <c r="V100" s="73"/>
      <c r="W100" s="73"/>
      <c r="X100" s="73"/>
      <c r="Y100" s="73"/>
      <c r="Z100" s="73"/>
      <c r="AA100" s="73"/>
      <c r="AB100" s="73"/>
      <c r="AC100" s="73"/>
      <c r="AD100" s="73"/>
      <c r="AE100" s="73"/>
      <c r="AF100" s="73"/>
      <c r="AG100" s="73"/>
      <c r="AH100" s="73"/>
      <c r="AI100" s="73"/>
      <c r="AJ100" s="73"/>
      <c r="AK100" s="73"/>
      <c r="AL100" s="73"/>
      <c r="AM100" s="73"/>
      <c r="AN100" s="73"/>
      <c r="AO100" s="73"/>
      <c r="AP100" s="73"/>
      <c r="AQ100" s="73"/>
      <c r="AR100" s="73"/>
      <c r="AS100" s="73"/>
    </row>
    <row r="101" spans="2:45" x14ac:dyDescent="0.25">
      <c r="B101" s="73"/>
      <c r="C101" s="73"/>
      <c r="D101" s="73"/>
      <c r="E101" s="73"/>
      <c r="F101" s="73"/>
      <c r="G101" s="73"/>
      <c r="H101" s="73"/>
      <c r="I101" s="183"/>
      <c r="J101" s="73"/>
      <c r="K101" s="73"/>
      <c r="L101" s="73"/>
      <c r="M101" s="73"/>
      <c r="N101" s="73"/>
      <c r="O101" s="73"/>
      <c r="P101" s="73"/>
      <c r="Q101" s="73"/>
      <c r="R101" s="73"/>
      <c r="S101" s="73"/>
      <c r="T101" s="73"/>
      <c r="U101" s="73"/>
      <c r="V101" s="73"/>
      <c r="W101" s="73"/>
      <c r="X101" s="73"/>
      <c r="Y101" s="73"/>
      <c r="Z101" s="73"/>
      <c r="AA101" s="73"/>
      <c r="AB101" s="73"/>
      <c r="AC101" s="73"/>
      <c r="AD101" s="73"/>
      <c r="AE101" s="73"/>
      <c r="AF101" s="73"/>
      <c r="AG101" s="73"/>
      <c r="AH101" s="73"/>
      <c r="AI101" s="73"/>
      <c r="AJ101" s="73"/>
      <c r="AK101" s="73"/>
      <c r="AL101" s="73"/>
      <c r="AM101" s="73"/>
      <c r="AN101" s="73"/>
      <c r="AO101" s="73"/>
      <c r="AP101" s="73"/>
      <c r="AQ101" s="73"/>
      <c r="AR101" s="73"/>
      <c r="AS101" s="73"/>
    </row>
    <row r="102" spans="2:45" x14ac:dyDescent="0.25">
      <c r="B102" s="73"/>
      <c r="C102" s="73"/>
      <c r="D102" s="73"/>
      <c r="E102" s="73"/>
      <c r="F102" s="73"/>
      <c r="G102" s="73"/>
      <c r="H102" s="73"/>
      <c r="I102" s="183"/>
      <c r="J102" s="73"/>
      <c r="K102" s="73"/>
      <c r="L102" s="73"/>
      <c r="M102" s="73"/>
      <c r="N102" s="73"/>
      <c r="O102" s="73"/>
      <c r="P102" s="73"/>
      <c r="Q102" s="73"/>
      <c r="R102" s="73"/>
      <c r="S102" s="73"/>
      <c r="T102" s="73"/>
      <c r="U102" s="73"/>
      <c r="V102" s="73"/>
      <c r="W102" s="73"/>
      <c r="X102" s="73"/>
      <c r="Y102" s="73"/>
      <c r="Z102" s="73"/>
      <c r="AA102" s="73"/>
      <c r="AB102" s="73"/>
      <c r="AC102" s="73"/>
      <c r="AD102" s="73"/>
      <c r="AE102" s="73"/>
      <c r="AF102" s="73"/>
      <c r="AG102" s="73"/>
      <c r="AH102" s="73"/>
      <c r="AI102" s="73"/>
      <c r="AJ102" s="73"/>
      <c r="AK102" s="73"/>
      <c r="AL102" s="73"/>
      <c r="AM102" s="73"/>
      <c r="AN102" s="73"/>
      <c r="AO102" s="73"/>
      <c r="AP102" s="73"/>
      <c r="AQ102" s="73"/>
      <c r="AR102" s="73"/>
      <c r="AS102" s="73"/>
    </row>
    <row r="103" spans="2:45" x14ac:dyDescent="0.25">
      <c r="B103" s="73"/>
      <c r="C103" s="73"/>
      <c r="D103" s="73"/>
      <c r="E103" s="73"/>
      <c r="F103" s="73"/>
      <c r="G103" s="73"/>
      <c r="H103" s="73"/>
      <c r="I103" s="183"/>
      <c r="J103" s="73"/>
      <c r="K103" s="73"/>
      <c r="L103" s="73"/>
      <c r="M103" s="73"/>
      <c r="N103" s="73"/>
      <c r="O103" s="73"/>
      <c r="P103" s="73"/>
      <c r="Q103" s="73"/>
      <c r="R103" s="73"/>
      <c r="S103" s="73"/>
      <c r="T103" s="73"/>
      <c r="U103" s="73"/>
      <c r="V103" s="73"/>
      <c r="W103" s="73"/>
      <c r="X103" s="73"/>
      <c r="Y103" s="73"/>
      <c r="Z103" s="73"/>
      <c r="AA103" s="73"/>
      <c r="AB103" s="73"/>
      <c r="AC103" s="73"/>
      <c r="AD103" s="73"/>
      <c r="AE103" s="73"/>
      <c r="AF103" s="73"/>
      <c r="AG103" s="73"/>
      <c r="AH103" s="73"/>
      <c r="AI103" s="73"/>
      <c r="AJ103" s="73"/>
      <c r="AK103" s="73"/>
      <c r="AL103" s="73"/>
      <c r="AM103" s="73"/>
      <c r="AN103" s="73"/>
      <c r="AO103" s="73"/>
      <c r="AP103" s="73"/>
      <c r="AQ103" s="73"/>
      <c r="AR103" s="73"/>
      <c r="AS103" s="73"/>
    </row>
    <row r="104" spans="2:45" x14ac:dyDescent="0.25">
      <c r="B104" s="73"/>
      <c r="C104" s="73"/>
      <c r="D104" s="73"/>
      <c r="E104" s="73"/>
      <c r="F104" s="73"/>
      <c r="G104" s="73"/>
      <c r="H104" s="73"/>
      <c r="I104" s="183"/>
      <c r="J104" s="73"/>
      <c r="K104" s="73"/>
      <c r="L104" s="73"/>
      <c r="M104" s="73"/>
      <c r="N104" s="73"/>
      <c r="O104" s="73"/>
      <c r="P104" s="73"/>
      <c r="Q104" s="73"/>
      <c r="R104" s="73"/>
      <c r="S104" s="73"/>
      <c r="T104" s="73"/>
      <c r="U104" s="73"/>
      <c r="V104" s="73"/>
      <c r="W104" s="73"/>
      <c r="X104" s="73"/>
      <c r="Y104" s="73"/>
      <c r="Z104" s="73"/>
      <c r="AA104" s="73"/>
      <c r="AB104" s="73"/>
      <c r="AC104" s="73"/>
      <c r="AD104" s="73"/>
      <c r="AE104" s="73"/>
      <c r="AF104" s="73"/>
      <c r="AG104" s="73"/>
      <c r="AH104" s="73"/>
      <c r="AI104" s="73"/>
      <c r="AJ104" s="73"/>
      <c r="AK104" s="73"/>
      <c r="AL104" s="73"/>
      <c r="AM104" s="73"/>
      <c r="AN104" s="73"/>
      <c r="AO104" s="73"/>
      <c r="AP104" s="73"/>
      <c r="AQ104" s="73"/>
      <c r="AR104" s="73"/>
      <c r="AS104" s="73"/>
    </row>
    <row r="105" spans="2:45" x14ac:dyDescent="0.25">
      <c r="B105" s="73"/>
      <c r="C105" s="73"/>
      <c r="D105" s="73"/>
      <c r="E105" s="73"/>
      <c r="F105" s="73"/>
      <c r="G105" s="73"/>
      <c r="H105" s="73"/>
      <c r="I105" s="183"/>
      <c r="J105" s="73"/>
      <c r="K105" s="73"/>
      <c r="L105" s="73"/>
      <c r="M105" s="73"/>
      <c r="N105" s="73"/>
      <c r="O105" s="73"/>
      <c r="P105" s="73"/>
      <c r="Q105" s="73"/>
      <c r="R105" s="73"/>
      <c r="S105" s="73"/>
      <c r="T105" s="73"/>
      <c r="U105" s="73"/>
      <c r="V105" s="73"/>
      <c r="W105" s="73"/>
      <c r="X105" s="73"/>
      <c r="Y105" s="73"/>
      <c r="Z105" s="73"/>
      <c r="AA105" s="73"/>
      <c r="AB105" s="73"/>
      <c r="AC105" s="73"/>
      <c r="AD105" s="73"/>
      <c r="AE105" s="73"/>
      <c r="AF105" s="73"/>
      <c r="AG105" s="73"/>
      <c r="AH105" s="73"/>
      <c r="AI105" s="73"/>
      <c r="AJ105" s="73"/>
      <c r="AK105" s="73"/>
      <c r="AL105" s="73"/>
      <c r="AM105" s="73"/>
      <c r="AN105" s="73"/>
      <c r="AO105" s="73"/>
      <c r="AP105" s="73"/>
      <c r="AQ105" s="73"/>
      <c r="AR105" s="73"/>
      <c r="AS105" s="73"/>
    </row>
    <row r="106" spans="2:45" x14ac:dyDescent="0.25">
      <c r="B106" s="73"/>
      <c r="C106" s="73"/>
      <c r="D106" s="73"/>
      <c r="E106" s="73"/>
      <c r="F106" s="73"/>
      <c r="G106" s="73"/>
      <c r="H106" s="73"/>
      <c r="I106" s="183"/>
      <c r="J106" s="73"/>
      <c r="K106" s="73"/>
      <c r="L106" s="73"/>
      <c r="M106" s="73"/>
      <c r="N106" s="73"/>
      <c r="O106" s="73"/>
      <c r="P106" s="73"/>
      <c r="Q106" s="73"/>
      <c r="R106" s="73"/>
      <c r="S106" s="73"/>
      <c r="T106" s="73"/>
      <c r="U106" s="73"/>
      <c r="V106" s="73"/>
      <c r="W106" s="73"/>
      <c r="X106" s="73"/>
      <c r="Y106" s="73"/>
      <c r="Z106" s="73"/>
      <c r="AA106" s="73"/>
      <c r="AB106" s="73"/>
      <c r="AC106" s="73"/>
      <c r="AD106" s="73"/>
      <c r="AE106" s="73"/>
      <c r="AF106" s="73"/>
      <c r="AG106" s="73"/>
      <c r="AH106" s="73"/>
      <c r="AI106" s="73"/>
      <c r="AJ106" s="73"/>
      <c r="AK106" s="73"/>
      <c r="AL106" s="73"/>
      <c r="AM106" s="73"/>
      <c r="AN106" s="73"/>
      <c r="AO106" s="73"/>
      <c r="AP106" s="73"/>
      <c r="AQ106" s="73"/>
      <c r="AR106" s="73"/>
      <c r="AS106" s="73"/>
    </row>
    <row r="107" spans="2:45" x14ac:dyDescent="0.25">
      <c r="B107" s="73"/>
      <c r="C107" s="73"/>
      <c r="D107" s="73"/>
      <c r="E107" s="73"/>
      <c r="F107" s="73"/>
      <c r="G107" s="73"/>
      <c r="H107" s="73"/>
      <c r="I107" s="183"/>
      <c r="J107" s="73"/>
      <c r="K107" s="73"/>
      <c r="L107" s="73"/>
      <c r="M107" s="73"/>
      <c r="N107" s="73"/>
      <c r="O107" s="73"/>
      <c r="P107" s="73"/>
      <c r="Q107" s="73"/>
      <c r="R107" s="73"/>
      <c r="S107" s="73"/>
      <c r="T107" s="73"/>
      <c r="U107" s="73"/>
      <c r="V107" s="73"/>
      <c r="W107" s="73"/>
      <c r="X107" s="73"/>
      <c r="Y107" s="73"/>
      <c r="Z107" s="73"/>
      <c r="AA107" s="73"/>
      <c r="AB107" s="73"/>
      <c r="AC107" s="73"/>
      <c r="AD107" s="73"/>
      <c r="AE107" s="73"/>
      <c r="AF107" s="73"/>
      <c r="AG107" s="73"/>
      <c r="AH107" s="73"/>
      <c r="AI107" s="73"/>
      <c r="AJ107" s="73"/>
      <c r="AK107" s="73"/>
      <c r="AL107" s="73"/>
      <c r="AM107" s="73"/>
      <c r="AN107" s="73"/>
      <c r="AO107" s="73"/>
      <c r="AP107" s="73"/>
      <c r="AQ107" s="73"/>
      <c r="AR107" s="73"/>
      <c r="AS107" s="73"/>
    </row>
    <row r="108" spans="2:45" x14ac:dyDescent="0.25">
      <c r="B108" s="73"/>
      <c r="C108" s="73"/>
      <c r="D108" s="73"/>
      <c r="E108" s="73"/>
      <c r="F108" s="73"/>
      <c r="G108" s="73"/>
      <c r="H108" s="73"/>
      <c r="I108" s="183"/>
      <c r="J108" s="73"/>
      <c r="K108" s="73"/>
      <c r="L108" s="73"/>
      <c r="M108" s="73"/>
      <c r="N108" s="73"/>
      <c r="O108" s="73"/>
      <c r="P108" s="73"/>
      <c r="Q108" s="73"/>
      <c r="R108" s="73"/>
      <c r="S108" s="73"/>
      <c r="T108" s="73"/>
      <c r="U108" s="73"/>
      <c r="V108" s="73"/>
      <c r="W108" s="73"/>
      <c r="X108" s="73"/>
      <c r="Y108" s="73"/>
      <c r="Z108" s="73"/>
      <c r="AA108" s="73"/>
      <c r="AB108" s="73"/>
      <c r="AC108" s="73"/>
      <c r="AD108" s="73"/>
      <c r="AE108" s="73"/>
      <c r="AF108" s="73"/>
      <c r="AG108" s="73"/>
      <c r="AH108" s="73"/>
      <c r="AI108" s="73"/>
      <c r="AJ108" s="73"/>
      <c r="AK108" s="73"/>
      <c r="AL108" s="73"/>
      <c r="AM108" s="73"/>
      <c r="AN108" s="73"/>
      <c r="AO108" s="73"/>
      <c r="AP108" s="73"/>
      <c r="AQ108" s="73"/>
      <c r="AR108" s="73"/>
      <c r="AS108" s="73"/>
    </row>
    <row r="109" spans="2:45" x14ac:dyDescent="0.25">
      <c r="B109" s="73"/>
      <c r="C109" s="73"/>
      <c r="D109" s="73"/>
      <c r="E109" s="73"/>
      <c r="F109" s="73"/>
      <c r="G109" s="73"/>
      <c r="H109" s="73"/>
      <c r="I109" s="183"/>
      <c r="J109" s="73"/>
      <c r="K109" s="73"/>
      <c r="L109" s="73"/>
      <c r="M109" s="73"/>
      <c r="N109" s="73"/>
      <c r="O109" s="73"/>
      <c r="P109" s="73"/>
      <c r="Q109" s="73"/>
      <c r="R109" s="73"/>
      <c r="S109" s="73"/>
      <c r="T109" s="73"/>
      <c r="U109" s="73"/>
      <c r="V109" s="73"/>
      <c r="W109" s="73"/>
      <c r="X109" s="73"/>
      <c r="Y109" s="73"/>
      <c r="Z109" s="73"/>
      <c r="AA109" s="73"/>
      <c r="AB109" s="73"/>
      <c r="AC109" s="73"/>
      <c r="AD109" s="73"/>
      <c r="AE109" s="73"/>
      <c r="AF109" s="73"/>
      <c r="AG109" s="73"/>
      <c r="AH109" s="73"/>
      <c r="AI109" s="73"/>
      <c r="AJ109" s="73"/>
      <c r="AK109" s="73"/>
      <c r="AL109" s="73"/>
      <c r="AM109" s="73"/>
      <c r="AN109" s="73"/>
      <c r="AO109" s="73"/>
      <c r="AP109" s="73"/>
      <c r="AQ109" s="73"/>
      <c r="AR109" s="73"/>
      <c r="AS109" s="73"/>
    </row>
    <row r="110" spans="2:45" x14ac:dyDescent="0.25">
      <c r="B110" s="73"/>
      <c r="C110" s="73"/>
      <c r="D110" s="73"/>
      <c r="E110" s="73"/>
      <c r="F110" s="73"/>
      <c r="G110" s="73"/>
      <c r="H110" s="73"/>
      <c r="I110" s="183"/>
      <c r="J110" s="73"/>
      <c r="K110" s="73"/>
      <c r="L110" s="73"/>
      <c r="M110" s="73"/>
      <c r="N110" s="73"/>
      <c r="O110" s="73"/>
      <c r="P110" s="73"/>
      <c r="Q110" s="73"/>
      <c r="R110" s="73"/>
      <c r="S110" s="73"/>
      <c r="T110" s="73"/>
      <c r="U110" s="73"/>
      <c r="V110" s="73"/>
      <c r="W110" s="73"/>
      <c r="X110" s="73"/>
      <c r="Y110" s="73"/>
      <c r="Z110" s="73"/>
      <c r="AA110" s="73"/>
      <c r="AB110" s="73"/>
      <c r="AC110" s="73"/>
      <c r="AD110" s="73"/>
      <c r="AE110" s="73"/>
      <c r="AF110" s="73"/>
      <c r="AG110" s="73"/>
      <c r="AH110" s="73"/>
      <c r="AI110" s="73"/>
      <c r="AJ110" s="73"/>
      <c r="AK110" s="73"/>
      <c r="AL110" s="73"/>
      <c r="AM110" s="73"/>
      <c r="AN110" s="73"/>
      <c r="AO110" s="73"/>
      <c r="AP110" s="73"/>
      <c r="AQ110" s="73"/>
      <c r="AR110" s="73"/>
      <c r="AS110" s="73"/>
    </row>
    <row r="111" spans="2:45" x14ac:dyDescent="0.25">
      <c r="B111" s="73"/>
      <c r="C111" s="73"/>
      <c r="D111" s="73"/>
      <c r="E111" s="73"/>
      <c r="F111" s="73"/>
      <c r="G111" s="73"/>
      <c r="H111" s="73"/>
      <c r="I111" s="183"/>
      <c r="J111" s="73"/>
      <c r="K111" s="73"/>
      <c r="L111" s="73"/>
      <c r="M111" s="73"/>
      <c r="N111" s="73"/>
      <c r="O111" s="73"/>
      <c r="P111" s="73"/>
      <c r="Q111" s="73"/>
      <c r="R111" s="73"/>
      <c r="S111" s="73"/>
      <c r="T111" s="73"/>
      <c r="U111" s="73"/>
      <c r="V111" s="73"/>
      <c r="W111" s="73"/>
      <c r="X111" s="73"/>
      <c r="Y111" s="73"/>
      <c r="Z111" s="73"/>
      <c r="AA111" s="73"/>
      <c r="AB111" s="73"/>
      <c r="AC111" s="73"/>
      <c r="AD111" s="73"/>
      <c r="AE111" s="73"/>
      <c r="AF111" s="73"/>
      <c r="AG111" s="73"/>
      <c r="AH111" s="73"/>
      <c r="AI111" s="73"/>
      <c r="AJ111" s="73"/>
      <c r="AK111" s="73"/>
      <c r="AL111" s="73"/>
      <c r="AM111" s="73"/>
      <c r="AN111" s="73"/>
      <c r="AO111" s="73"/>
      <c r="AP111" s="73"/>
      <c r="AQ111" s="73"/>
      <c r="AR111" s="73"/>
      <c r="AS111" s="73"/>
    </row>
    <row r="112" spans="2:45" x14ac:dyDescent="0.25">
      <c r="B112" s="73"/>
      <c r="C112" s="73"/>
      <c r="D112" s="73"/>
      <c r="E112" s="73"/>
      <c r="F112" s="73"/>
      <c r="G112" s="73"/>
      <c r="H112" s="73"/>
      <c r="I112" s="183"/>
      <c r="J112" s="73"/>
      <c r="K112" s="73"/>
      <c r="L112" s="73"/>
      <c r="M112" s="73"/>
      <c r="N112" s="73"/>
      <c r="O112" s="73"/>
      <c r="P112" s="73"/>
      <c r="Q112" s="73"/>
      <c r="R112" s="73"/>
      <c r="S112" s="73"/>
      <c r="T112" s="73"/>
      <c r="U112" s="73"/>
      <c r="V112" s="73"/>
      <c r="W112" s="73"/>
      <c r="X112" s="73"/>
      <c r="Y112" s="73"/>
      <c r="Z112" s="73"/>
      <c r="AA112" s="73"/>
      <c r="AB112" s="73"/>
      <c r="AC112" s="73"/>
      <c r="AD112" s="73"/>
      <c r="AE112" s="73"/>
      <c r="AF112" s="73"/>
      <c r="AG112" s="73"/>
      <c r="AH112" s="73"/>
      <c r="AI112" s="73"/>
      <c r="AJ112" s="73"/>
      <c r="AK112" s="73"/>
      <c r="AL112" s="73"/>
      <c r="AM112" s="73"/>
      <c r="AN112" s="73"/>
      <c r="AO112" s="73"/>
      <c r="AP112" s="73"/>
      <c r="AQ112" s="73"/>
      <c r="AR112" s="73"/>
      <c r="AS112" s="73"/>
    </row>
    <row r="113" spans="2:45" x14ac:dyDescent="0.25">
      <c r="B113" s="73"/>
      <c r="C113" s="73"/>
      <c r="D113" s="73"/>
      <c r="E113" s="73"/>
      <c r="F113" s="73"/>
      <c r="G113" s="73"/>
      <c r="H113" s="73"/>
      <c r="I113" s="183"/>
      <c r="J113" s="73"/>
      <c r="K113" s="73"/>
      <c r="L113" s="73"/>
      <c r="M113" s="73"/>
      <c r="N113" s="73"/>
      <c r="O113" s="73"/>
      <c r="P113" s="73"/>
      <c r="Q113" s="73"/>
      <c r="R113" s="73"/>
      <c r="S113" s="73"/>
      <c r="T113" s="73"/>
      <c r="U113" s="73"/>
      <c r="V113" s="73"/>
      <c r="W113" s="73"/>
      <c r="X113" s="73"/>
      <c r="Y113" s="73"/>
      <c r="Z113" s="73"/>
      <c r="AA113" s="73"/>
      <c r="AB113" s="73"/>
      <c r="AC113" s="73"/>
      <c r="AD113" s="73"/>
      <c r="AE113" s="73"/>
      <c r="AF113" s="73"/>
      <c r="AG113" s="73"/>
      <c r="AH113" s="73"/>
      <c r="AI113" s="73"/>
      <c r="AJ113" s="73"/>
      <c r="AK113" s="73"/>
      <c r="AL113" s="73"/>
      <c r="AM113" s="73"/>
      <c r="AN113" s="73"/>
      <c r="AO113" s="73"/>
      <c r="AP113" s="73"/>
      <c r="AQ113" s="73"/>
      <c r="AR113" s="73"/>
      <c r="AS113" s="73"/>
    </row>
    <row r="114" spans="2:45" x14ac:dyDescent="0.25">
      <c r="B114" s="73"/>
      <c r="C114" s="73"/>
      <c r="D114" s="73"/>
      <c r="E114" s="73"/>
      <c r="F114" s="73"/>
      <c r="G114" s="73"/>
      <c r="H114" s="73"/>
      <c r="I114" s="183"/>
      <c r="J114" s="73"/>
      <c r="K114" s="73"/>
      <c r="L114" s="73"/>
      <c r="M114" s="73"/>
      <c r="N114" s="73"/>
      <c r="O114" s="73"/>
      <c r="P114" s="73"/>
      <c r="Q114" s="73"/>
      <c r="R114" s="73"/>
      <c r="S114" s="73"/>
      <c r="T114" s="73"/>
      <c r="U114" s="73"/>
      <c r="V114" s="73"/>
      <c r="W114" s="73"/>
      <c r="X114" s="73"/>
      <c r="Y114" s="73"/>
      <c r="Z114" s="73"/>
      <c r="AA114" s="73"/>
      <c r="AB114" s="73"/>
      <c r="AC114" s="73"/>
      <c r="AD114" s="73"/>
      <c r="AE114" s="73"/>
      <c r="AF114" s="73"/>
      <c r="AG114" s="73"/>
      <c r="AH114" s="73"/>
      <c r="AI114" s="73"/>
      <c r="AJ114" s="73"/>
      <c r="AK114" s="73"/>
      <c r="AL114" s="73"/>
      <c r="AM114" s="73"/>
      <c r="AN114" s="73"/>
      <c r="AO114" s="73"/>
      <c r="AP114" s="73"/>
      <c r="AQ114" s="73"/>
      <c r="AR114" s="73"/>
      <c r="AS114" s="73"/>
    </row>
    <row r="115" spans="2:45" x14ac:dyDescent="0.25">
      <c r="B115" s="73"/>
      <c r="C115" s="73"/>
      <c r="D115" s="73"/>
      <c r="E115" s="73"/>
      <c r="F115" s="73"/>
      <c r="G115" s="73"/>
      <c r="H115" s="73"/>
      <c r="I115" s="183"/>
      <c r="J115" s="73"/>
      <c r="K115" s="73"/>
      <c r="L115" s="73"/>
      <c r="M115" s="73"/>
      <c r="N115" s="73"/>
      <c r="O115" s="73"/>
      <c r="P115" s="73"/>
      <c r="Q115" s="73"/>
      <c r="R115" s="73"/>
      <c r="S115" s="73"/>
      <c r="T115" s="73"/>
      <c r="U115" s="73"/>
      <c r="V115" s="73"/>
      <c r="W115" s="73"/>
      <c r="X115" s="73"/>
      <c r="Y115" s="73"/>
      <c r="Z115" s="73"/>
      <c r="AA115" s="73"/>
      <c r="AB115" s="73"/>
      <c r="AC115" s="73"/>
      <c r="AD115" s="73"/>
      <c r="AE115" s="73"/>
      <c r="AF115" s="73"/>
      <c r="AG115" s="73"/>
      <c r="AH115" s="73"/>
      <c r="AI115" s="73"/>
      <c r="AJ115" s="73"/>
      <c r="AK115" s="73"/>
      <c r="AL115" s="73"/>
      <c r="AM115" s="73"/>
      <c r="AN115" s="73"/>
      <c r="AO115" s="73"/>
      <c r="AP115" s="73"/>
      <c r="AQ115" s="73"/>
      <c r="AR115" s="73"/>
      <c r="AS115" s="73"/>
    </row>
    <row r="116" spans="2:45" x14ac:dyDescent="0.25">
      <c r="B116" s="73"/>
      <c r="C116" s="73"/>
      <c r="D116" s="73"/>
      <c r="E116" s="73"/>
      <c r="F116" s="73"/>
      <c r="G116" s="73"/>
      <c r="H116" s="73"/>
      <c r="I116" s="183"/>
      <c r="J116" s="73"/>
      <c r="K116" s="73"/>
      <c r="L116" s="73"/>
      <c r="M116" s="73"/>
      <c r="N116" s="73"/>
      <c r="O116" s="73"/>
      <c r="P116" s="73"/>
      <c r="Q116" s="73"/>
      <c r="R116" s="73"/>
      <c r="S116" s="73"/>
      <c r="T116" s="73"/>
      <c r="U116" s="73"/>
      <c r="V116" s="73"/>
      <c r="W116" s="73"/>
      <c r="X116" s="73"/>
      <c r="Y116" s="73"/>
      <c r="Z116" s="73"/>
      <c r="AA116" s="73"/>
      <c r="AB116" s="73"/>
      <c r="AC116" s="73"/>
      <c r="AD116" s="73"/>
      <c r="AE116" s="73"/>
      <c r="AF116" s="73"/>
      <c r="AG116" s="73"/>
      <c r="AH116" s="73"/>
      <c r="AI116" s="73"/>
      <c r="AJ116" s="73"/>
      <c r="AK116" s="73"/>
      <c r="AL116" s="73"/>
      <c r="AM116" s="73"/>
      <c r="AN116" s="73"/>
      <c r="AO116" s="73"/>
      <c r="AP116" s="73"/>
      <c r="AQ116" s="73"/>
      <c r="AR116" s="73"/>
      <c r="AS116" s="73"/>
    </row>
    <row r="117" spans="2:45" x14ac:dyDescent="0.25">
      <c r="B117" s="73"/>
      <c r="C117" s="73"/>
      <c r="D117" s="73"/>
      <c r="E117" s="73"/>
      <c r="F117" s="73"/>
      <c r="G117" s="73"/>
      <c r="H117" s="73"/>
      <c r="I117" s="183"/>
      <c r="J117" s="73"/>
      <c r="K117" s="73"/>
      <c r="L117" s="73"/>
      <c r="M117" s="73"/>
      <c r="N117" s="73"/>
      <c r="O117" s="73"/>
      <c r="P117" s="73"/>
      <c r="Q117" s="73"/>
      <c r="R117" s="73"/>
      <c r="S117" s="73"/>
      <c r="T117" s="73"/>
      <c r="U117" s="73"/>
      <c r="V117" s="73"/>
      <c r="W117" s="73"/>
      <c r="X117" s="73"/>
      <c r="Y117" s="73"/>
      <c r="Z117" s="73"/>
      <c r="AA117" s="73"/>
      <c r="AB117" s="73"/>
      <c r="AC117" s="73"/>
      <c r="AD117" s="73"/>
      <c r="AE117" s="73"/>
      <c r="AF117" s="73"/>
      <c r="AG117" s="73"/>
      <c r="AH117" s="73"/>
      <c r="AI117" s="73"/>
      <c r="AJ117" s="73"/>
      <c r="AK117" s="73"/>
      <c r="AL117" s="73"/>
      <c r="AM117" s="73"/>
      <c r="AN117" s="73"/>
      <c r="AO117" s="73"/>
      <c r="AP117" s="73"/>
      <c r="AQ117" s="73"/>
      <c r="AR117" s="73"/>
      <c r="AS117" s="73"/>
    </row>
    <row r="118" spans="2:45" x14ac:dyDescent="0.25">
      <c r="B118" s="73"/>
      <c r="C118" s="73"/>
      <c r="D118" s="73"/>
      <c r="E118" s="73"/>
      <c r="F118" s="73"/>
      <c r="G118" s="73"/>
      <c r="H118" s="73"/>
      <c r="I118" s="183"/>
      <c r="J118" s="73"/>
      <c r="K118" s="73"/>
      <c r="L118" s="73"/>
      <c r="M118" s="73"/>
      <c r="N118" s="73"/>
      <c r="O118" s="73"/>
      <c r="P118" s="73"/>
      <c r="Q118" s="73"/>
      <c r="R118" s="73"/>
      <c r="S118" s="73"/>
      <c r="T118" s="73"/>
      <c r="U118" s="73"/>
      <c r="V118" s="73"/>
      <c r="W118" s="73"/>
      <c r="X118" s="73"/>
      <c r="Y118" s="73"/>
      <c r="Z118" s="73"/>
      <c r="AA118" s="73"/>
      <c r="AB118" s="73"/>
      <c r="AC118" s="73"/>
      <c r="AD118" s="73"/>
      <c r="AE118" s="73"/>
      <c r="AF118" s="73"/>
      <c r="AG118" s="73"/>
      <c r="AH118" s="73"/>
      <c r="AI118" s="73"/>
      <c r="AJ118" s="73"/>
      <c r="AK118" s="73"/>
      <c r="AL118" s="73"/>
      <c r="AM118" s="73"/>
      <c r="AN118" s="73"/>
      <c r="AO118" s="73"/>
      <c r="AP118" s="73"/>
      <c r="AQ118" s="73"/>
      <c r="AR118" s="73"/>
      <c r="AS118" s="73"/>
    </row>
    <row r="119" spans="2:45" x14ac:dyDescent="0.25">
      <c r="B119" s="73"/>
      <c r="C119" s="73"/>
      <c r="D119" s="73"/>
      <c r="E119" s="73"/>
      <c r="F119" s="73"/>
      <c r="G119" s="73"/>
      <c r="H119" s="73"/>
      <c r="I119" s="183"/>
      <c r="J119" s="73"/>
      <c r="K119" s="73"/>
      <c r="L119" s="73"/>
      <c r="M119" s="73"/>
      <c r="N119" s="73"/>
      <c r="O119" s="73"/>
      <c r="P119" s="73"/>
      <c r="Q119" s="73"/>
      <c r="R119" s="73"/>
      <c r="S119" s="73"/>
      <c r="T119" s="73"/>
      <c r="U119" s="73"/>
      <c r="V119" s="73"/>
      <c r="W119" s="73"/>
      <c r="X119" s="73"/>
      <c r="Y119" s="73"/>
      <c r="Z119" s="73"/>
      <c r="AA119" s="73"/>
      <c r="AB119" s="73"/>
      <c r="AC119" s="73"/>
      <c r="AD119" s="73"/>
      <c r="AE119" s="73"/>
      <c r="AF119" s="73"/>
      <c r="AG119" s="73"/>
      <c r="AH119" s="73"/>
      <c r="AI119" s="73"/>
      <c r="AJ119" s="73"/>
      <c r="AK119" s="73"/>
      <c r="AL119" s="73"/>
      <c r="AM119" s="73"/>
      <c r="AN119" s="73"/>
      <c r="AO119" s="73"/>
      <c r="AP119" s="73"/>
      <c r="AQ119" s="73"/>
      <c r="AR119" s="73"/>
      <c r="AS119" s="73"/>
    </row>
    <row r="120" spans="2:45" x14ac:dyDescent="0.25">
      <c r="B120" s="73"/>
      <c r="C120" s="73"/>
      <c r="D120" s="73"/>
      <c r="E120" s="73"/>
      <c r="F120" s="73"/>
      <c r="G120" s="73"/>
      <c r="H120" s="73"/>
      <c r="I120" s="183"/>
      <c r="J120" s="73"/>
      <c r="K120" s="73"/>
      <c r="L120" s="73"/>
      <c r="M120" s="73"/>
      <c r="N120" s="73"/>
      <c r="O120" s="73"/>
      <c r="P120" s="73"/>
      <c r="Q120" s="73"/>
      <c r="R120" s="73"/>
      <c r="S120" s="73"/>
      <c r="T120" s="73"/>
      <c r="U120" s="73"/>
      <c r="V120" s="73"/>
      <c r="W120" s="73"/>
      <c r="X120" s="73"/>
      <c r="Y120" s="73"/>
      <c r="Z120" s="73"/>
      <c r="AA120" s="73"/>
      <c r="AB120" s="73"/>
      <c r="AC120" s="73"/>
      <c r="AD120" s="73"/>
      <c r="AE120" s="73"/>
      <c r="AF120" s="73"/>
      <c r="AG120" s="73"/>
      <c r="AH120" s="73"/>
      <c r="AI120" s="73"/>
      <c r="AJ120" s="73"/>
      <c r="AK120" s="73"/>
      <c r="AL120" s="73"/>
      <c r="AM120" s="73"/>
      <c r="AN120" s="73"/>
      <c r="AO120" s="73"/>
      <c r="AP120" s="73"/>
      <c r="AQ120" s="73"/>
      <c r="AR120" s="73"/>
      <c r="AS120" s="73"/>
    </row>
    <row r="121" spans="2:45" x14ac:dyDescent="0.25">
      <c r="B121" s="73"/>
      <c r="C121" s="73"/>
      <c r="D121" s="73"/>
      <c r="E121" s="73"/>
      <c r="F121" s="73"/>
      <c r="G121" s="73"/>
      <c r="H121" s="73"/>
      <c r="I121" s="183"/>
      <c r="J121" s="73"/>
      <c r="K121" s="73"/>
      <c r="L121" s="73"/>
      <c r="M121" s="73"/>
      <c r="N121" s="73"/>
      <c r="O121" s="73"/>
      <c r="P121" s="73"/>
      <c r="Q121" s="73"/>
      <c r="R121" s="73"/>
      <c r="S121" s="73"/>
      <c r="T121" s="73"/>
      <c r="U121" s="73"/>
      <c r="V121" s="73"/>
      <c r="W121" s="73"/>
      <c r="X121" s="73"/>
      <c r="Y121" s="73"/>
      <c r="Z121" s="73"/>
      <c r="AA121" s="73"/>
      <c r="AB121" s="73"/>
      <c r="AC121" s="73"/>
      <c r="AD121" s="73"/>
      <c r="AE121" s="73"/>
      <c r="AF121" s="73"/>
      <c r="AG121" s="73"/>
      <c r="AH121" s="73"/>
      <c r="AI121" s="73"/>
      <c r="AJ121" s="73"/>
      <c r="AK121" s="73"/>
      <c r="AL121" s="73"/>
      <c r="AM121" s="73"/>
      <c r="AN121" s="73"/>
      <c r="AO121" s="73"/>
      <c r="AP121" s="73"/>
      <c r="AQ121" s="73"/>
      <c r="AR121" s="73"/>
      <c r="AS121" s="73"/>
    </row>
    <row r="122" spans="2:45" x14ac:dyDescent="0.25">
      <c r="B122" s="73"/>
      <c r="C122" s="73"/>
      <c r="D122" s="73"/>
      <c r="E122" s="73"/>
      <c r="F122" s="73"/>
      <c r="G122" s="73"/>
      <c r="H122" s="73"/>
      <c r="I122" s="183"/>
      <c r="J122" s="73"/>
      <c r="K122" s="73"/>
      <c r="L122" s="73"/>
      <c r="M122" s="73"/>
      <c r="N122" s="73"/>
      <c r="O122" s="73"/>
      <c r="P122" s="73"/>
      <c r="Q122" s="73"/>
      <c r="R122" s="73"/>
      <c r="S122" s="73"/>
      <c r="T122" s="73"/>
      <c r="U122" s="73"/>
      <c r="V122" s="73"/>
      <c r="W122" s="73"/>
      <c r="X122" s="73"/>
      <c r="Y122" s="73"/>
      <c r="Z122" s="73"/>
      <c r="AA122" s="73"/>
      <c r="AB122" s="73"/>
      <c r="AC122" s="73"/>
      <c r="AD122" s="73"/>
      <c r="AE122" s="73"/>
      <c r="AF122" s="73"/>
      <c r="AG122" s="73"/>
      <c r="AH122" s="73"/>
      <c r="AI122" s="73"/>
      <c r="AJ122" s="73"/>
      <c r="AK122" s="73"/>
      <c r="AL122" s="73"/>
      <c r="AM122" s="73"/>
      <c r="AN122" s="73"/>
      <c r="AO122" s="73"/>
      <c r="AP122" s="73"/>
      <c r="AQ122" s="73"/>
      <c r="AR122" s="73"/>
      <c r="AS122" s="73"/>
    </row>
    <row r="123" spans="2:45" x14ac:dyDescent="0.25">
      <c r="B123" s="73"/>
      <c r="C123" s="73"/>
      <c r="D123" s="73"/>
      <c r="E123" s="73"/>
      <c r="F123" s="73"/>
      <c r="G123" s="73"/>
      <c r="H123" s="73"/>
      <c r="I123" s="183"/>
      <c r="J123" s="73"/>
      <c r="K123" s="73"/>
      <c r="L123" s="73"/>
      <c r="M123" s="73"/>
      <c r="N123" s="73"/>
      <c r="O123" s="73"/>
      <c r="P123" s="73"/>
      <c r="Q123" s="73"/>
      <c r="R123" s="73"/>
      <c r="S123" s="73"/>
      <c r="T123" s="73"/>
      <c r="U123" s="73"/>
      <c r="V123" s="73"/>
      <c r="W123" s="73"/>
      <c r="X123" s="73"/>
      <c r="Y123" s="73"/>
      <c r="Z123" s="73"/>
      <c r="AA123" s="73"/>
      <c r="AB123" s="73"/>
      <c r="AC123" s="73"/>
      <c r="AD123" s="73"/>
      <c r="AE123" s="73"/>
      <c r="AF123" s="73"/>
      <c r="AG123" s="73"/>
      <c r="AH123" s="73"/>
      <c r="AI123" s="73"/>
      <c r="AJ123" s="73"/>
      <c r="AK123" s="73"/>
      <c r="AL123" s="73"/>
      <c r="AM123" s="73"/>
      <c r="AN123" s="73"/>
      <c r="AO123" s="73"/>
      <c r="AP123" s="73"/>
      <c r="AQ123" s="73"/>
      <c r="AR123" s="73"/>
      <c r="AS123" s="73"/>
    </row>
    <row r="124" spans="2:45" x14ac:dyDescent="0.25">
      <c r="B124" s="73"/>
      <c r="C124" s="73"/>
      <c r="D124" s="73"/>
      <c r="E124" s="73"/>
      <c r="F124" s="73"/>
      <c r="G124" s="73"/>
      <c r="H124" s="73"/>
      <c r="I124" s="183"/>
      <c r="J124" s="73"/>
      <c r="K124" s="73"/>
      <c r="L124" s="73"/>
      <c r="M124" s="73"/>
      <c r="N124" s="73"/>
      <c r="O124" s="73"/>
      <c r="P124" s="73"/>
      <c r="Q124" s="73"/>
      <c r="R124" s="73"/>
      <c r="S124" s="73"/>
      <c r="T124" s="73"/>
      <c r="U124" s="73"/>
      <c r="V124" s="73"/>
      <c r="W124" s="73"/>
      <c r="X124" s="73"/>
      <c r="Y124" s="73"/>
      <c r="Z124" s="73"/>
      <c r="AA124" s="73"/>
      <c r="AB124" s="73"/>
      <c r="AC124" s="73"/>
      <c r="AD124" s="73"/>
      <c r="AE124" s="73"/>
      <c r="AF124" s="73"/>
      <c r="AG124" s="73"/>
      <c r="AH124" s="73"/>
      <c r="AI124" s="73"/>
      <c r="AJ124" s="73"/>
      <c r="AK124" s="73"/>
      <c r="AL124" s="73"/>
      <c r="AM124" s="73"/>
      <c r="AN124" s="73"/>
      <c r="AO124" s="73"/>
      <c r="AP124" s="73"/>
      <c r="AQ124" s="73"/>
      <c r="AR124" s="73"/>
      <c r="AS124" s="73"/>
    </row>
    <row r="125" spans="2:45" x14ac:dyDescent="0.25">
      <c r="B125" s="73"/>
      <c r="C125" s="73"/>
      <c r="D125" s="73"/>
      <c r="E125" s="73"/>
      <c r="F125" s="73"/>
      <c r="G125" s="73"/>
      <c r="H125" s="73"/>
      <c r="I125" s="183"/>
      <c r="J125" s="73"/>
      <c r="K125" s="73"/>
      <c r="L125" s="73"/>
      <c r="M125" s="73"/>
      <c r="N125" s="73"/>
      <c r="O125" s="73"/>
      <c r="P125" s="73"/>
      <c r="Q125" s="73"/>
      <c r="R125" s="73"/>
      <c r="S125" s="73"/>
      <c r="T125" s="73"/>
      <c r="U125" s="73"/>
      <c r="V125" s="73"/>
      <c r="W125" s="73"/>
      <c r="X125" s="73"/>
      <c r="Y125" s="73"/>
      <c r="Z125" s="73"/>
      <c r="AA125" s="73"/>
      <c r="AB125" s="73"/>
      <c r="AC125" s="73"/>
      <c r="AD125" s="73"/>
      <c r="AE125" s="73"/>
      <c r="AF125" s="73"/>
      <c r="AG125" s="73"/>
      <c r="AH125" s="73"/>
      <c r="AI125" s="73"/>
      <c r="AJ125" s="73"/>
      <c r="AK125" s="73"/>
      <c r="AL125" s="73"/>
      <c r="AM125" s="73"/>
      <c r="AN125" s="73"/>
      <c r="AO125" s="73"/>
      <c r="AP125" s="73"/>
      <c r="AQ125" s="73"/>
      <c r="AR125" s="73"/>
      <c r="AS125" s="73"/>
    </row>
    <row r="126" spans="2:45" x14ac:dyDescent="0.25">
      <c r="B126" s="73"/>
      <c r="C126" s="73"/>
      <c r="D126" s="73"/>
      <c r="E126" s="73"/>
      <c r="F126" s="73"/>
      <c r="G126" s="73"/>
      <c r="H126" s="73"/>
      <c r="I126" s="183"/>
      <c r="J126" s="73"/>
      <c r="K126" s="73"/>
      <c r="L126" s="73"/>
      <c r="M126" s="73"/>
      <c r="N126" s="73"/>
      <c r="O126" s="73"/>
      <c r="P126" s="73"/>
      <c r="Q126" s="73"/>
      <c r="R126" s="73"/>
      <c r="S126" s="73"/>
      <c r="T126" s="73"/>
      <c r="U126" s="73"/>
      <c r="V126" s="73"/>
      <c r="W126" s="73"/>
      <c r="X126" s="73"/>
      <c r="Y126" s="73"/>
      <c r="Z126" s="73"/>
      <c r="AA126" s="73"/>
      <c r="AB126" s="73"/>
      <c r="AC126" s="73"/>
      <c r="AD126" s="73"/>
      <c r="AE126" s="73"/>
      <c r="AF126" s="73"/>
      <c r="AG126" s="73"/>
      <c r="AH126" s="73"/>
      <c r="AI126" s="73"/>
      <c r="AJ126" s="73"/>
      <c r="AK126" s="73"/>
      <c r="AL126" s="73"/>
      <c r="AM126" s="73"/>
      <c r="AN126" s="73"/>
      <c r="AO126" s="73"/>
      <c r="AP126" s="73"/>
      <c r="AQ126" s="73"/>
      <c r="AR126" s="73"/>
      <c r="AS126" s="73"/>
    </row>
    <row r="127" spans="2:45" x14ac:dyDescent="0.25">
      <c r="B127" s="73"/>
      <c r="C127" s="73"/>
      <c r="D127" s="73"/>
      <c r="E127" s="73"/>
      <c r="F127" s="73"/>
      <c r="G127" s="73"/>
      <c r="H127" s="73"/>
      <c r="I127" s="183"/>
      <c r="J127" s="73"/>
      <c r="K127" s="73"/>
      <c r="L127" s="73"/>
      <c r="M127" s="73"/>
      <c r="N127" s="73"/>
      <c r="O127" s="73"/>
      <c r="P127" s="73"/>
      <c r="Q127" s="73"/>
      <c r="R127" s="73"/>
      <c r="S127" s="73"/>
      <c r="T127" s="73"/>
      <c r="U127" s="73"/>
      <c r="V127" s="73"/>
      <c r="W127" s="73"/>
      <c r="X127" s="73"/>
      <c r="Y127" s="73"/>
      <c r="Z127" s="73"/>
      <c r="AA127" s="73"/>
      <c r="AB127" s="73"/>
      <c r="AC127" s="73"/>
      <c r="AD127" s="73"/>
      <c r="AE127" s="73"/>
      <c r="AF127" s="73"/>
      <c r="AG127" s="73"/>
      <c r="AH127" s="73"/>
      <c r="AI127" s="73"/>
      <c r="AJ127" s="73"/>
      <c r="AK127" s="73"/>
      <c r="AL127" s="73"/>
      <c r="AM127" s="73"/>
      <c r="AN127" s="73"/>
      <c r="AO127" s="73"/>
      <c r="AP127" s="73"/>
      <c r="AQ127" s="73"/>
      <c r="AR127" s="73"/>
      <c r="AS127" s="73"/>
    </row>
    <row r="128" spans="2:45" x14ac:dyDescent="0.25">
      <c r="B128" s="73"/>
      <c r="C128" s="73"/>
      <c r="D128" s="73"/>
      <c r="E128" s="73"/>
      <c r="F128" s="73"/>
      <c r="G128" s="73"/>
      <c r="H128" s="73"/>
      <c r="I128" s="183"/>
      <c r="J128" s="73"/>
      <c r="K128" s="73"/>
      <c r="L128" s="73"/>
      <c r="M128" s="73"/>
      <c r="N128" s="73"/>
      <c r="O128" s="73"/>
      <c r="P128" s="73"/>
      <c r="Q128" s="73"/>
      <c r="R128" s="73"/>
      <c r="S128" s="73"/>
      <c r="T128" s="73"/>
      <c r="U128" s="73"/>
      <c r="V128" s="73"/>
      <c r="W128" s="73"/>
      <c r="X128" s="73"/>
      <c r="Y128" s="73"/>
      <c r="Z128" s="73"/>
      <c r="AA128" s="73"/>
      <c r="AB128" s="73"/>
      <c r="AC128" s="73"/>
      <c r="AD128" s="73"/>
      <c r="AE128" s="73"/>
      <c r="AF128" s="73"/>
      <c r="AG128" s="73"/>
      <c r="AH128" s="73"/>
      <c r="AI128" s="73"/>
      <c r="AJ128" s="73"/>
      <c r="AK128" s="73"/>
      <c r="AL128" s="73"/>
      <c r="AM128" s="73"/>
      <c r="AN128" s="73"/>
      <c r="AO128" s="73"/>
      <c r="AP128" s="73"/>
      <c r="AQ128" s="73"/>
      <c r="AR128" s="73"/>
      <c r="AS128" s="73"/>
    </row>
    <row r="129" spans="2:45" x14ac:dyDescent="0.25">
      <c r="B129" s="73"/>
      <c r="C129" s="73"/>
      <c r="D129" s="73"/>
      <c r="E129" s="73"/>
      <c r="F129" s="73"/>
      <c r="G129" s="73"/>
      <c r="H129" s="73"/>
      <c r="I129" s="183"/>
      <c r="J129" s="73"/>
      <c r="K129" s="73"/>
      <c r="L129" s="73"/>
      <c r="M129" s="73"/>
      <c r="N129" s="73"/>
      <c r="O129" s="73"/>
      <c r="P129" s="73"/>
      <c r="Q129" s="73"/>
      <c r="R129" s="73"/>
      <c r="S129" s="73"/>
      <c r="T129" s="73"/>
      <c r="U129" s="73"/>
      <c r="V129" s="73"/>
      <c r="W129" s="73"/>
      <c r="X129" s="73"/>
      <c r="Y129" s="73"/>
      <c r="Z129" s="73"/>
      <c r="AA129" s="73"/>
      <c r="AB129" s="73"/>
      <c r="AC129" s="73"/>
      <c r="AD129" s="73"/>
      <c r="AE129" s="73"/>
      <c r="AF129" s="73"/>
      <c r="AG129" s="73"/>
      <c r="AH129" s="73"/>
      <c r="AI129" s="73"/>
      <c r="AJ129" s="73"/>
      <c r="AK129" s="73"/>
      <c r="AL129" s="73"/>
      <c r="AM129" s="73"/>
      <c r="AN129" s="73"/>
      <c r="AO129" s="73"/>
      <c r="AP129" s="73"/>
      <c r="AQ129" s="73"/>
      <c r="AR129" s="73"/>
      <c r="AS129" s="73"/>
    </row>
    <row r="130" spans="2:45" x14ac:dyDescent="0.25">
      <c r="B130" s="73"/>
      <c r="C130" s="73"/>
      <c r="D130" s="73"/>
      <c r="E130" s="73"/>
      <c r="F130" s="73"/>
      <c r="G130" s="73"/>
      <c r="H130" s="73"/>
      <c r="I130" s="183"/>
      <c r="J130" s="73"/>
      <c r="K130" s="73"/>
      <c r="L130" s="73"/>
      <c r="M130" s="73"/>
      <c r="N130" s="73"/>
      <c r="O130" s="73"/>
      <c r="P130" s="73"/>
      <c r="Q130" s="73"/>
      <c r="R130" s="73"/>
      <c r="S130" s="73"/>
      <c r="T130" s="73"/>
      <c r="U130" s="73"/>
      <c r="V130" s="73"/>
      <c r="W130" s="73"/>
      <c r="X130" s="73"/>
      <c r="Y130" s="73"/>
      <c r="Z130" s="73"/>
      <c r="AA130" s="73"/>
      <c r="AB130" s="73"/>
      <c r="AC130" s="73"/>
      <c r="AD130" s="73"/>
      <c r="AE130" s="73"/>
      <c r="AF130" s="73"/>
      <c r="AG130" s="73"/>
      <c r="AH130" s="73"/>
      <c r="AI130" s="73"/>
      <c r="AJ130" s="73"/>
      <c r="AK130" s="73"/>
      <c r="AL130" s="73"/>
      <c r="AM130" s="73"/>
      <c r="AN130" s="73"/>
      <c r="AO130" s="73"/>
      <c r="AP130" s="73"/>
      <c r="AQ130" s="73"/>
      <c r="AR130" s="73"/>
      <c r="AS130" s="73"/>
    </row>
    <row r="131" spans="2:45" x14ac:dyDescent="0.25">
      <c r="B131" s="73"/>
      <c r="C131" s="73"/>
      <c r="D131" s="73"/>
      <c r="E131" s="73"/>
      <c r="F131" s="73"/>
      <c r="G131" s="73"/>
      <c r="H131" s="73"/>
      <c r="I131" s="183"/>
      <c r="J131" s="73"/>
      <c r="K131" s="73"/>
      <c r="L131" s="73"/>
      <c r="M131" s="73"/>
      <c r="N131" s="73"/>
      <c r="O131" s="73"/>
      <c r="P131" s="73"/>
      <c r="Q131" s="73"/>
      <c r="R131" s="73"/>
      <c r="S131" s="73"/>
      <c r="T131" s="73"/>
      <c r="U131" s="73"/>
      <c r="V131" s="73"/>
      <c r="W131" s="73"/>
      <c r="X131" s="73"/>
      <c r="Y131" s="73"/>
      <c r="Z131" s="73"/>
      <c r="AA131" s="73"/>
      <c r="AB131" s="73"/>
      <c r="AC131" s="73"/>
      <c r="AD131" s="73"/>
      <c r="AE131" s="73"/>
      <c r="AF131" s="73"/>
      <c r="AG131" s="73"/>
      <c r="AH131" s="73"/>
      <c r="AI131" s="73"/>
      <c r="AJ131" s="73"/>
      <c r="AK131" s="73"/>
      <c r="AL131" s="73"/>
      <c r="AM131" s="73"/>
      <c r="AN131" s="73"/>
      <c r="AO131" s="73"/>
      <c r="AP131" s="73"/>
      <c r="AQ131" s="73"/>
      <c r="AR131" s="73"/>
      <c r="AS131" s="73"/>
    </row>
    <row r="132" spans="2:45" x14ac:dyDescent="0.25">
      <c r="B132" s="73"/>
      <c r="C132" s="73"/>
      <c r="D132" s="73"/>
      <c r="E132" s="73"/>
      <c r="F132" s="73"/>
      <c r="G132" s="73"/>
      <c r="H132" s="73"/>
      <c r="I132" s="183"/>
      <c r="J132" s="73"/>
      <c r="K132" s="73"/>
      <c r="L132" s="73"/>
      <c r="M132" s="73"/>
      <c r="N132" s="73"/>
      <c r="O132" s="73"/>
      <c r="P132" s="73"/>
      <c r="Q132" s="73"/>
      <c r="R132" s="73"/>
      <c r="S132" s="73"/>
      <c r="T132" s="73"/>
      <c r="U132" s="73"/>
      <c r="V132" s="73"/>
      <c r="W132" s="73"/>
      <c r="X132" s="73"/>
      <c r="Y132" s="73"/>
      <c r="Z132" s="73"/>
      <c r="AA132" s="73"/>
      <c r="AB132" s="73"/>
      <c r="AC132" s="73"/>
      <c r="AD132" s="73"/>
      <c r="AE132" s="73"/>
      <c r="AF132" s="73"/>
      <c r="AG132" s="73"/>
      <c r="AH132" s="73"/>
      <c r="AI132" s="73"/>
      <c r="AJ132" s="73"/>
      <c r="AK132" s="73"/>
      <c r="AL132" s="73"/>
      <c r="AM132" s="73"/>
      <c r="AN132" s="73"/>
      <c r="AO132" s="73"/>
      <c r="AP132" s="73"/>
      <c r="AQ132" s="73"/>
      <c r="AR132" s="73"/>
      <c r="AS132" s="73"/>
    </row>
    <row r="133" spans="2:45" x14ac:dyDescent="0.25">
      <c r="B133" s="73"/>
      <c r="C133" s="73"/>
      <c r="D133" s="73"/>
      <c r="E133" s="73"/>
      <c r="F133" s="73"/>
      <c r="G133" s="73"/>
      <c r="H133" s="73"/>
      <c r="I133" s="183"/>
      <c r="J133" s="73"/>
      <c r="K133" s="73"/>
      <c r="L133" s="73"/>
      <c r="M133" s="73"/>
      <c r="N133" s="73"/>
      <c r="O133" s="73"/>
      <c r="P133" s="73"/>
      <c r="Q133" s="73"/>
      <c r="R133" s="73"/>
      <c r="S133" s="73"/>
      <c r="T133" s="73"/>
      <c r="U133" s="73"/>
      <c r="V133" s="73"/>
      <c r="W133" s="73"/>
      <c r="X133" s="73"/>
      <c r="Y133" s="73"/>
      <c r="Z133" s="73"/>
      <c r="AA133" s="73"/>
      <c r="AB133" s="73"/>
      <c r="AC133" s="73"/>
      <c r="AD133" s="73"/>
      <c r="AE133" s="73"/>
      <c r="AF133" s="73"/>
      <c r="AG133" s="73"/>
      <c r="AH133" s="73"/>
      <c r="AI133" s="73"/>
      <c r="AJ133" s="73"/>
      <c r="AK133" s="73"/>
      <c r="AL133" s="73"/>
      <c r="AM133" s="73"/>
      <c r="AN133" s="73"/>
      <c r="AO133" s="73"/>
      <c r="AP133" s="73"/>
      <c r="AQ133" s="73"/>
      <c r="AR133" s="73"/>
      <c r="AS133" s="73"/>
    </row>
    <row r="134" spans="2:45" x14ac:dyDescent="0.25">
      <c r="B134" s="73"/>
      <c r="C134" s="73"/>
      <c r="D134" s="73"/>
      <c r="E134" s="73"/>
      <c r="F134" s="73"/>
      <c r="G134" s="73"/>
      <c r="H134" s="73"/>
      <c r="I134" s="183"/>
      <c r="J134" s="73"/>
      <c r="K134" s="73"/>
      <c r="L134" s="73"/>
      <c r="M134" s="73"/>
      <c r="N134" s="73"/>
      <c r="O134" s="73"/>
      <c r="P134" s="73"/>
      <c r="Q134" s="73"/>
      <c r="R134" s="73"/>
      <c r="S134" s="73"/>
      <c r="T134" s="73"/>
      <c r="U134" s="73"/>
      <c r="V134" s="73"/>
      <c r="W134" s="73"/>
      <c r="X134" s="73"/>
      <c r="Y134" s="73"/>
      <c r="Z134" s="73"/>
      <c r="AA134" s="73"/>
      <c r="AB134" s="73"/>
      <c r="AC134" s="73"/>
      <c r="AD134" s="73"/>
      <c r="AE134" s="73"/>
      <c r="AF134" s="73"/>
      <c r="AG134" s="73"/>
      <c r="AH134" s="73"/>
      <c r="AI134" s="73"/>
      <c r="AJ134" s="73"/>
      <c r="AK134" s="73"/>
      <c r="AL134" s="73"/>
      <c r="AM134" s="73"/>
      <c r="AN134" s="73"/>
      <c r="AO134" s="73"/>
      <c r="AP134" s="73"/>
      <c r="AQ134" s="73"/>
      <c r="AR134" s="73"/>
      <c r="AS134" s="73"/>
    </row>
    <row r="135" spans="2:45" x14ac:dyDescent="0.25">
      <c r="B135" s="73"/>
      <c r="C135" s="73"/>
      <c r="D135" s="73"/>
      <c r="E135" s="73"/>
      <c r="F135" s="73"/>
      <c r="G135" s="73"/>
      <c r="H135" s="73"/>
      <c r="I135" s="183"/>
      <c r="J135" s="73"/>
      <c r="K135" s="73"/>
      <c r="L135" s="73"/>
      <c r="M135" s="73"/>
      <c r="N135" s="73"/>
      <c r="O135" s="73"/>
      <c r="P135" s="73"/>
      <c r="Q135" s="73"/>
      <c r="R135" s="73"/>
      <c r="S135" s="73"/>
      <c r="T135" s="73"/>
      <c r="U135" s="73"/>
      <c r="V135" s="73"/>
      <c r="W135" s="73"/>
      <c r="X135" s="73"/>
      <c r="Y135" s="73"/>
      <c r="Z135" s="73"/>
      <c r="AA135" s="73"/>
      <c r="AB135" s="73"/>
      <c r="AC135" s="73"/>
      <c r="AD135" s="73"/>
      <c r="AE135" s="73"/>
      <c r="AF135" s="73"/>
      <c r="AG135" s="73"/>
      <c r="AH135" s="73"/>
      <c r="AI135" s="73"/>
      <c r="AJ135" s="73"/>
      <c r="AK135" s="73"/>
      <c r="AL135" s="73"/>
      <c r="AM135" s="73"/>
      <c r="AN135" s="73"/>
      <c r="AO135" s="73"/>
      <c r="AP135" s="73"/>
      <c r="AQ135" s="73"/>
      <c r="AR135" s="73"/>
      <c r="AS135" s="73"/>
    </row>
    <row r="136" spans="2:45" x14ac:dyDescent="0.25">
      <c r="B136" s="73"/>
      <c r="C136" s="73"/>
      <c r="D136" s="73"/>
      <c r="E136" s="73"/>
      <c r="F136" s="73"/>
      <c r="G136" s="73"/>
      <c r="H136" s="73"/>
      <c r="I136" s="183"/>
      <c r="J136" s="73"/>
      <c r="K136" s="73"/>
      <c r="L136" s="73"/>
      <c r="M136" s="73"/>
      <c r="N136" s="73"/>
      <c r="O136" s="73"/>
      <c r="P136" s="73"/>
      <c r="Q136" s="73"/>
      <c r="R136" s="73"/>
      <c r="S136" s="73"/>
      <c r="T136" s="73"/>
      <c r="U136" s="73"/>
      <c r="V136" s="73"/>
      <c r="W136" s="73"/>
      <c r="X136" s="73"/>
      <c r="Y136" s="73"/>
      <c r="Z136" s="73"/>
      <c r="AA136" s="73"/>
      <c r="AB136" s="73"/>
      <c r="AC136" s="73"/>
      <c r="AD136" s="73"/>
      <c r="AE136" s="73"/>
      <c r="AF136" s="73"/>
      <c r="AG136" s="73"/>
      <c r="AH136" s="73"/>
      <c r="AI136" s="73"/>
      <c r="AJ136" s="73"/>
      <c r="AK136" s="73"/>
      <c r="AL136" s="73"/>
      <c r="AM136" s="73"/>
      <c r="AN136" s="73"/>
      <c r="AO136" s="73"/>
      <c r="AP136" s="73"/>
      <c r="AQ136" s="73"/>
      <c r="AR136" s="73"/>
      <c r="AS136" s="73"/>
    </row>
    <row r="137" spans="2:45" x14ac:dyDescent="0.25">
      <c r="B137" s="73"/>
      <c r="C137" s="73"/>
      <c r="D137" s="73"/>
      <c r="E137" s="73"/>
      <c r="F137" s="73"/>
      <c r="G137" s="73"/>
      <c r="H137" s="73"/>
      <c r="I137" s="183"/>
      <c r="J137" s="73"/>
      <c r="K137" s="73"/>
      <c r="L137" s="73"/>
      <c r="M137" s="73"/>
      <c r="N137" s="73"/>
      <c r="O137" s="73"/>
      <c r="P137" s="73"/>
      <c r="Q137" s="73"/>
      <c r="R137" s="73"/>
      <c r="S137" s="73"/>
      <c r="T137" s="73"/>
      <c r="U137" s="73"/>
      <c r="V137" s="73"/>
      <c r="W137" s="73"/>
      <c r="X137" s="73"/>
      <c r="Y137" s="73"/>
      <c r="Z137" s="73"/>
      <c r="AA137" s="73"/>
      <c r="AB137" s="73"/>
      <c r="AC137" s="73"/>
      <c r="AD137" s="73"/>
      <c r="AE137" s="73"/>
      <c r="AF137" s="73"/>
      <c r="AG137" s="73"/>
      <c r="AH137" s="73"/>
      <c r="AI137" s="73"/>
      <c r="AJ137" s="73"/>
      <c r="AK137" s="73"/>
      <c r="AL137" s="73"/>
      <c r="AM137" s="73"/>
      <c r="AN137" s="73"/>
      <c r="AO137" s="73"/>
      <c r="AP137" s="73"/>
      <c r="AQ137" s="73"/>
      <c r="AR137" s="73"/>
      <c r="AS137" s="73"/>
    </row>
    <row r="138" spans="2:45" x14ac:dyDescent="0.25">
      <c r="B138" s="73"/>
      <c r="C138" s="73"/>
      <c r="D138" s="73"/>
      <c r="E138" s="73"/>
      <c r="F138" s="73"/>
      <c r="G138" s="73"/>
      <c r="H138" s="73"/>
      <c r="I138" s="183"/>
      <c r="J138" s="73"/>
      <c r="K138" s="73"/>
      <c r="L138" s="73"/>
      <c r="M138" s="73"/>
      <c r="N138" s="73"/>
      <c r="O138" s="73"/>
      <c r="P138" s="73"/>
      <c r="Q138" s="73"/>
      <c r="R138" s="73"/>
      <c r="S138" s="73"/>
      <c r="T138" s="73"/>
      <c r="U138" s="73"/>
      <c r="V138" s="73"/>
      <c r="W138" s="73"/>
      <c r="X138" s="73"/>
      <c r="Y138" s="73"/>
      <c r="Z138" s="73"/>
      <c r="AA138" s="73"/>
      <c r="AB138" s="73"/>
      <c r="AC138" s="73"/>
      <c r="AD138" s="73"/>
      <c r="AE138" s="73"/>
      <c r="AF138" s="73"/>
      <c r="AG138" s="73"/>
      <c r="AH138" s="73"/>
      <c r="AI138" s="73"/>
      <c r="AJ138" s="73"/>
      <c r="AK138" s="73"/>
      <c r="AL138" s="73"/>
      <c r="AM138" s="73"/>
      <c r="AN138" s="73"/>
      <c r="AO138" s="73"/>
      <c r="AP138" s="73"/>
      <c r="AQ138" s="73"/>
      <c r="AR138" s="73"/>
      <c r="AS138" s="73"/>
    </row>
    <row r="139" spans="2:45" x14ac:dyDescent="0.25">
      <c r="B139" s="73"/>
      <c r="C139" s="73"/>
      <c r="D139" s="73"/>
      <c r="E139" s="73"/>
      <c r="F139" s="73"/>
      <c r="G139" s="73"/>
      <c r="H139" s="73"/>
      <c r="I139" s="183"/>
      <c r="J139" s="73"/>
      <c r="K139" s="73"/>
      <c r="L139" s="73"/>
      <c r="M139" s="73"/>
      <c r="N139" s="73"/>
      <c r="O139" s="73"/>
      <c r="P139" s="73"/>
      <c r="Q139" s="73"/>
      <c r="R139" s="73"/>
      <c r="S139" s="73"/>
      <c r="T139" s="73"/>
      <c r="U139" s="73"/>
      <c r="V139" s="73"/>
      <c r="W139" s="73"/>
      <c r="X139" s="73"/>
      <c r="Y139" s="73"/>
      <c r="Z139" s="73"/>
      <c r="AA139" s="73"/>
      <c r="AB139" s="73"/>
      <c r="AC139" s="73"/>
      <c r="AD139" s="73"/>
      <c r="AE139" s="73"/>
      <c r="AF139" s="73"/>
      <c r="AG139" s="73"/>
      <c r="AH139" s="73"/>
      <c r="AI139" s="73"/>
      <c r="AJ139" s="73"/>
      <c r="AK139" s="73"/>
      <c r="AL139" s="73"/>
      <c r="AM139" s="73"/>
      <c r="AN139" s="73"/>
      <c r="AO139" s="73"/>
      <c r="AP139" s="73"/>
      <c r="AQ139" s="73"/>
      <c r="AR139" s="73"/>
      <c r="AS139" s="73"/>
    </row>
    <row r="140" spans="2:45" x14ac:dyDescent="0.25">
      <c r="B140" s="73"/>
      <c r="C140" s="73"/>
      <c r="D140" s="73"/>
      <c r="E140" s="73"/>
      <c r="F140" s="73"/>
      <c r="G140" s="73"/>
      <c r="H140" s="73"/>
      <c r="I140" s="183"/>
      <c r="J140" s="73"/>
      <c r="K140" s="73"/>
      <c r="L140" s="73"/>
      <c r="M140" s="73"/>
      <c r="N140" s="73"/>
      <c r="O140" s="73"/>
      <c r="P140" s="73"/>
      <c r="Q140" s="73"/>
      <c r="R140" s="73"/>
      <c r="S140" s="73"/>
      <c r="T140" s="73"/>
      <c r="U140" s="73"/>
      <c r="V140" s="73"/>
      <c r="W140" s="73"/>
      <c r="X140" s="73"/>
      <c r="Y140" s="73"/>
      <c r="Z140" s="73"/>
      <c r="AA140" s="73"/>
      <c r="AB140" s="73"/>
      <c r="AC140" s="73"/>
      <c r="AD140" s="73"/>
      <c r="AE140" s="73"/>
      <c r="AF140" s="73"/>
      <c r="AG140" s="73"/>
      <c r="AH140" s="73"/>
      <c r="AI140" s="73"/>
      <c r="AJ140" s="73"/>
      <c r="AK140" s="73"/>
      <c r="AL140" s="73"/>
      <c r="AM140" s="73"/>
      <c r="AN140" s="73"/>
      <c r="AO140" s="73"/>
      <c r="AP140" s="73"/>
      <c r="AQ140" s="73"/>
      <c r="AR140" s="73"/>
      <c r="AS140" s="73"/>
    </row>
    <row r="141" spans="2:45" x14ac:dyDescent="0.25">
      <c r="B141" s="73"/>
      <c r="C141" s="73"/>
      <c r="D141" s="73"/>
      <c r="E141" s="73"/>
      <c r="F141" s="73"/>
      <c r="G141" s="73"/>
      <c r="H141" s="73"/>
      <c r="I141" s="183"/>
      <c r="J141" s="73"/>
      <c r="K141" s="73"/>
      <c r="L141" s="73"/>
      <c r="M141" s="73"/>
      <c r="N141" s="73"/>
      <c r="O141" s="73"/>
      <c r="P141" s="73"/>
      <c r="Q141" s="73"/>
      <c r="R141" s="73"/>
      <c r="S141" s="73"/>
      <c r="T141" s="73"/>
      <c r="U141" s="73"/>
      <c r="V141" s="73"/>
      <c r="W141" s="73"/>
      <c r="X141" s="73"/>
      <c r="Y141" s="73"/>
      <c r="Z141" s="73"/>
      <c r="AA141" s="73"/>
      <c r="AB141" s="73"/>
      <c r="AC141" s="73"/>
      <c r="AD141" s="73"/>
      <c r="AE141" s="73"/>
      <c r="AF141" s="73"/>
      <c r="AG141" s="73"/>
      <c r="AH141" s="73"/>
      <c r="AI141" s="73"/>
      <c r="AJ141" s="73"/>
      <c r="AK141" s="73"/>
      <c r="AL141" s="73"/>
      <c r="AM141" s="73"/>
      <c r="AN141" s="73"/>
      <c r="AO141" s="73"/>
      <c r="AP141" s="73"/>
      <c r="AQ141" s="73"/>
      <c r="AR141" s="73"/>
      <c r="AS141" s="73"/>
    </row>
    <row r="142" spans="2:45" x14ac:dyDescent="0.25">
      <c r="B142" s="73"/>
      <c r="C142" s="73"/>
      <c r="D142" s="73"/>
      <c r="E142" s="73"/>
      <c r="F142" s="73"/>
      <c r="G142" s="73"/>
      <c r="H142" s="73"/>
      <c r="I142" s="183"/>
      <c r="J142" s="73"/>
      <c r="K142" s="73"/>
      <c r="L142" s="73"/>
      <c r="M142" s="73"/>
      <c r="N142" s="73"/>
      <c r="O142" s="73"/>
      <c r="P142" s="73"/>
      <c r="Q142" s="73"/>
      <c r="R142" s="73"/>
      <c r="S142" s="73"/>
      <c r="T142" s="73"/>
      <c r="U142" s="73"/>
      <c r="V142" s="73"/>
      <c r="W142" s="73"/>
      <c r="X142" s="73"/>
      <c r="Y142" s="73"/>
      <c r="Z142" s="73"/>
      <c r="AA142" s="73"/>
      <c r="AB142" s="73"/>
      <c r="AC142" s="73"/>
      <c r="AD142" s="73"/>
      <c r="AE142" s="73"/>
      <c r="AF142" s="73"/>
      <c r="AG142" s="73"/>
      <c r="AH142" s="73"/>
      <c r="AI142" s="73"/>
      <c r="AJ142" s="73"/>
      <c r="AK142" s="73"/>
      <c r="AL142" s="73"/>
      <c r="AM142" s="73"/>
      <c r="AN142" s="73"/>
      <c r="AO142" s="73"/>
      <c r="AP142" s="73"/>
      <c r="AQ142" s="73"/>
      <c r="AR142" s="73"/>
      <c r="AS142" s="73"/>
    </row>
    <row r="143" spans="2:45" x14ac:dyDescent="0.25">
      <c r="B143" s="73"/>
      <c r="C143" s="73"/>
      <c r="D143" s="73"/>
      <c r="E143" s="73"/>
      <c r="F143" s="73"/>
      <c r="G143" s="73"/>
      <c r="H143" s="73"/>
      <c r="I143" s="183"/>
      <c r="J143" s="73"/>
      <c r="K143" s="73"/>
      <c r="L143" s="73"/>
      <c r="M143" s="73"/>
      <c r="N143" s="73"/>
      <c r="O143" s="73"/>
      <c r="P143" s="73"/>
      <c r="Q143" s="73"/>
      <c r="R143" s="73"/>
      <c r="S143" s="73"/>
      <c r="T143" s="73"/>
      <c r="U143" s="73"/>
      <c r="V143" s="73"/>
      <c r="W143" s="73"/>
      <c r="X143" s="73"/>
      <c r="Y143" s="73"/>
      <c r="Z143" s="73"/>
      <c r="AA143" s="73"/>
      <c r="AB143" s="73"/>
      <c r="AC143" s="73"/>
      <c r="AD143" s="73"/>
      <c r="AE143" s="73"/>
      <c r="AF143" s="73"/>
      <c r="AG143" s="73"/>
      <c r="AH143" s="73"/>
      <c r="AI143" s="73"/>
      <c r="AJ143" s="73"/>
      <c r="AK143" s="73"/>
      <c r="AL143" s="73"/>
      <c r="AM143" s="73"/>
      <c r="AN143" s="73"/>
      <c r="AO143" s="73"/>
      <c r="AP143" s="73"/>
      <c r="AQ143" s="73"/>
      <c r="AR143" s="73"/>
      <c r="AS143" s="73"/>
    </row>
    <row r="144" spans="2:45" x14ac:dyDescent="0.25">
      <c r="B144" s="73"/>
      <c r="C144" s="73"/>
      <c r="D144" s="73"/>
      <c r="E144" s="73"/>
      <c r="F144" s="73"/>
      <c r="G144" s="73"/>
      <c r="H144" s="73"/>
      <c r="I144" s="183"/>
      <c r="J144" s="73"/>
      <c r="K144" s="73"/>
      <c r="L144" s="73"/>
      <c r="M144" s="73"/>
      <c r="N144" s="73"/>
      <c r="O144" s="73"/>
      <c r="P144" s="73"/>
      <c r="Q144" s="73"/>
      <c r="R144" s="73"/>
      <c r="S144" s="73"/>
      <c r="T144" s="73"/>
      <c r="U144" s="73"/>
      <c r="V144" s="73"/>
      <c r="W144" s="73"/>
      <c r="X144" s="73"/>
      <c r="Y144" s="73"/>
      <c r="Z144" s="73"/>
      <c r="AA144" s="73"/>
      <c r="AB144" s="73"/>
      <c r="AC144" s="73"/>
      <c r="AD144" s="73"/>
      <c r="AE144" s="73"/>
      <c r="AF144" s="73"/>
      <c r="AG144" s="73"/>
      <c r="AH144" s="73"/>
      <c r="AI144" s="73"/>
      <c r="AJ144" s="73"/>
      <c r="AK144" s="73"/>
      <c r="AL144" s="73"/>
      <c r="AM144" s="73"/>
      <c r="AN144" s="73"/>
      <c r="AO144" s="73"/>
      <c r="AP144" s="73"/>
      <c r="AQ144" s="73"/>
      <c r="AR144" s="73"/>
      <c r="AS144" s="73"/>
    </row>
    <row r="145" spans="2:45" x14ac:dyDescent="0.25">
      <c r="B145" s="73"/>
      <c r="C145" s="73"/>
      <c r="D145" s="73"/>
      <c r="E145" s="73"/>
      <c r="F145" s="73"/>
      <c r="G145" s="73"/>
      <c r="H145" s="73"/>
      <c r="I145" s="183"/>
      <c r="J145" s="73"/>
      <c r="K145" s="73"/>
      <c r="L145" s="73"/>
      <c r="M145" s="73"/>
      <c r="N145" s="73"/>
      <c r="O145" s="73"/>
      <c r="P145" s="73"/>
      <c r="Q145" s="73"/>
      <c r="R145" s="73"/>
      <c r="S145" s="73"/>
      <c r="T145" s="73"/>
      <c r="U145" s="73"/>
      <c r="V145" s="73"/>
      <c r="W145" s="73"/>
      <c r="X145" s="73"/>
      <c r="Y145" s="73"/>
      <c r="Z145" s="73"/>
      <c r="AA145" s="73"/>
      <c r="AB145" s="73"/>
      <c r="AC145" s="73"/>
      <c r="AD145" s="73"/>
      <c r="AE145" s="73"/>
      <c r="AF145" s="73"/>
      <c r="AG145" s="73"/>
      <c r="AH145" s="73"/>
      <c r="AI145" s="73"/>
      <c r="AJ145" s="73"/>
      <c r="AK145" s="73"/>
      <c r="AL145" s="73"/>
      <c r="AM145" s="73"/>
      <c r="AN145" s="73"/>
      <c r="AO145" s="73"/>
      <c r="AP145" s="73"/>
      <c r="AQ145" s="73"/>
      <c r="AR145" s="73"/>
      <c r="AS145" s="73"/>
    </row>
    <row r="146" spans="2:45" x14ac:dyDescent="0.25">
      <c r="B146" s="73"/>
      <c r="C146" s="73"/>
      <c r="D146" s="73"/>
      <c r="E146" s="73"/>
      <c r="F146" s="73"/>
      <c r="G146" s="73"/>
      <c r="H146" s="73"/>
      <c r="I146" s="183"/>
      <c r="J146" s="73"/>
      <c r="K146" s="73"/>
      <c r="L146" s="73"/>
      <c r="M146" s="73"/>
      <c r="N146" s="73"/>
      <c r="O146" s="73"/>
      <c r="P146" s="73"/>
      <c r="Q146" s="73"/>
      <c r="R146" s="73"/>
      <c r="S146" s="73"/>
      <c r="T146" s="73"/>
      <c r="U146" s="73"/>
      <c r="V146" s="73"/>
      <c r="W146" s="73"/>
      <c r="X146" s="73"/>
      <c r="Y146" s="73"/>
      <c r="Z146" s="73"/>
      <c r="AA146" s="73"/>
      <c r="AB146" s="73"/>
      <c r="AC146" s="73"/>
      <c r="AD146" s="73"/>
      <c r="AE146" s="73"/>
      <c r="AF146" s="73"/>
      <c r="AG146" s="73"/>
      <c r="AH146" s="73"/>
      <c r="AI146" s="73"/>
      <c r="AJ146" s="73"/>
      <c r="AK146" s="73"/>
      <c r="AL146" s="73"/>
      <c r="AM146" s="73"/>
      <c r="AN146" s="73"/>
      <c r="AO146" s="73"/>
      <c r="AP146" s="73"/>
      <c r="AQ146" s="73"/>
      <c r="AR146" s="73"/>
      <c r="AS146" s="73"/>
    </row>
    <row r="147" spans="2:45" x14ac:dyDescent="0.25">
      <c r="B147" s="73"/>
      <c r="C147" s="73"/>
      <c r="D147" s="73"/>
      <c r="E147" s="73"/>
      <c r="F147" s="73"/>
      <c r="G147" s="73"/>
      <c r="H147" s="73"/>
      <c r="I147" s="183"/>
      <c r="J147" s="73"/>
      <c r="K147" s="73"/>
      <c r="L147" s="73"/>
      <c r="M147" s="73"/>
      <c r="N147" s="73"/>
      <c r="O147" s="73"/>
      <c r="P147" s="73"/>
      <c r="Q147" s="73"/>
      <c r="R147" s="73"/>
      <c r="S147" s="73"/>
      <c r="T147" s="73"/>
      <c r="U147" s="73"/>
      <c r="V147" s="73"/>
      <c r="W147" s="73"/>
      <c r="X147" s="73"/>
      <c r="Y147" s="73"/>
      <c r="Z147" s="73"/>
      <c r="AA147" s="73"/>
      <c r="AB147" s="73"/>
      <c r="AC147" s="73"/>
      <c r="AD147" s="73"/>
      <c r="AE147" s="73"/>
      <c r="AF147" s="73"/>
      <c r="AG147" s="73"/>
      <c r="AH147" s="73"/>
      <c r="AI147" s="73"/>
      <c r="AJ147" s="73"/>
      <c r="AK147" s="73"/>
      <c r="AL147" s="73"/>
      <c r="AM147" s="73"/>
      <c r="AN147" s="73"/>
      <c r="AO147" s="73"/>
      <c r="AP147" s="73"/>
      <c r="AQ147" s="73"/>
      <c r="AR147" s="73"/>
      <c r="AS147" s="73"/>
    </row>
    <row r="148" spans="2:45" x14ac:dyDescent="0.25">
      <c r="B148" s="73"/>
      <c r="C148" s="73"/>
      <c r="D148" s="73"/>
      <c r="E148" s="73"/>
      <c r="F148" s="73"/>
      <c r="G148" s="73"/>
      <c r="H148" s="73"/>
      <c r="I148" s="183"/>
      <c r="J148" s="73"/>
      <c r="K148" s="73"/>
      <c r="L148" s="73"/>
      <c r="M148" s="73"/>
      <c r="N148" s="73"/>
      <c r="O148" s="73"/>
      <c r="P148" s="73"/>
      <c r="Q148" s="73"/>
      <c r="R148" s="73"/>
      <c r="S148" s="73"/>
      <c r="T148" s="73"/>
      <c r="U148" s="73"/>
      <c r="V148" s="73"/>
      <c r="W148" s="73"/>
      <c r="X148" s="73"/>
      <c r="Y148" s="73"/>
      <c r="Z148" s="73"/>
      <c r="AA148" s="73"/>
      <c r="AB148" s="73"/>
      <c r="AC148" s="73"/>
      <c r="AD148" s="73"/>
      <c r="AE148" s="73"/>
      <c r="AF148" s="73"/>
      <c r="AG148" s="73"/>
      <c r="AH148" s="73"/>
      <c r="AI148" s="73"/>
      <c r="AJ148" s="73"/>
      <c r="AK148" s="73"/>
      <c r="AL148" s="73"/>
      <c r="AM148" s="73"/>
      <c r="AN148" s="73"/>
      <c r="AO148" s="73"/>
      <c r="AP148" s="73"/>
      <c r="AQ148" s="73"/>
      <c r="AR148" s="73"/>
      <c r="AS148" s="73"/>
    </row>
    <row r="149" spans="2:45" x14ac:dyDescent="0.25">
      <c r="B149" s="73"/>
      <c r="C149" s="73"/>
      <c r="D149" s="73"/>
      <c r="E149" s="73"/>
      <c r="F149" s="73"/>
      <c r="G149" s="73"/>
      <c r="H149" s="73"/>
      <c r="I149" s="183"/>
      <c r="J149" s="73"/>
      <c r="K149" s="73"/>
      <c r="L149" s="73"/>
      <c r="M149" s="73"/>
      <c r="N149" s="73"/>
      <c r="O149" s="73"/>
      <c r="P149" s="73"/>
      <c r="Q149" s="73"/>
      <c r="R149" s="73"/>
      <c r="S149" s="73"/>
      <c r="T149" s="73"/>
      <c r="U149" s="73"/>
      <c r="V149" s="73"/>
      <c r="W149" s="73"/>
      <c r="X149" s="73"/>
      <c r="Y149" s="73"/>
      <c r="Z149" s="73"/>
      <c r="AA149" s="73"/>
      <c r="AB149" s="73"/>
      <c r="AC149" s="73"/>
      <c r="AD149" s="73"/>
      <c r="AE149" s="73"/>
      <c r="AF149" s="73"/>
      <c r="AG149" s="73"/>
      <c r="AH149" s="73"/>
      <c r="AI149" s="73"/>
      <c r="AJ149" s="73"/>
      <c r="AK149" s="73"/>
      <c r="AL149" s="73"/>
      <c r="AM149" s="73"/>
      <c r="AN149" s="73"/>
      <c r="AO149" s="73"/>
      <c r="AP149" s="73"/>
      <c r="AQ149" s="73"/>
      <c r="AR149" s="73"/>
      <c r="AS149" s="73"/>
    </row>
    <row r="150" spans="2:45" x14ac:dyDescent="0.25">
      <c r="B150" s="73"/>
      <c r="C150" s="73"/>
      <c r="D150" s="73"/>
      <c r="E150" s="73"/>
      <c r="F150" s="73"/>
      <c r="G150" s="73"/>
      <c r="H150" s="73"/>
      <c r="I150" s="183"/>
      <c r="J150" s="73"/>
      <c r="K150" s="73"/>
      <c r="L150" s="73"/>
      <c r="M150" s="73"/>
      <c r="N150" s="73"/>
      <c r="O150" s="73"/>
      <c r="P150" s="73"/>
      <c r="Q150" s="73"/>
      <c r="R150" s="73"/>
      <c r="S150" s="73"/>
      <c r="T150" s="73"/>
      <c r="U150" s="73"/>
      <c r="V150" s="73"/>
      <c r="W150" s="73"/>
      <c r="X150" s="73"/>
      <c r="Y150" s="73"/>
      <c r="Z150" s="73"/>
      <c r="AA150" s="73"/>
      <c r="AB150" s="73"/>
      <c r="AC150" s="73"/>
      <c r="AD150" s="73"/>
      <c r="AE150" s="73"/>
      <c r="AF150" s="73"/>
      <c r="AG150" s="73"/>
      <c r="AH150" s="73"/>
      <c r="AI150" s="73"/>
      <c r="AJ150" s="73"/>
      <c r="AK150" s="73"/>
      <c r="AL150" s="73"/>
      <c r="AM150" s="73"/>
      <c r="AN150" s="73"/>
      <c r="AO150" s="73"/>
      <c r="AP150" s="73"/>
      <c r="AQ150" s="73"/>
      <c r="AR150" s="73"/>
      <c r="AS150" s="73"/>
    </row>
    <row r="151" spans="2:45" x14ac:dyDescent="0.25">
      <c r="B151" s="73"/>
      <c r="C151" s="73"/>
      <c r="D151" s="73"/>
      <c r="E151" s="73"/>
      <c r="F151" s="73"/>
      <c r="G151" s="73"/>
      <c r="H151" s="73"/>
      <c r="I151" s="183"/>
      <c r="J151" s="73"/>
      <c r="K151" s="73"/>
      <c r="L151" s="73"/>
      <c r="M151" s="73"/>
      <c r="N151" s="73"/>
      <c r="O151" s="73"/>
      <c r="P151" s="73"/>
      <c r="Q151" s="73"/>
      <c r="R151" s="73"/>
      <c r="S151" s="73"/>
      <c r="T151" s="73"/>
      <c r="U151" s="73"/>
      <c r="V151" s="73"/>
      <c r="W151" s="73"/>
      <c r="X151" s="73"/>
      <c r="Y151" s="73"/>
      <c r="Z151" s="73"/>
      <c r="AA151" s="73"/>
      <c r="AB151" s="73"/>
      <c r="AC151" s="73"/>
      <c r="AD151" s="73"/>
      <c r="AE151" s="73"/>
      <c r="AF151" s="73"/>
      <c r="AG151" s="73"/>
      <c r="AH151" s="73"/>
      <c r="AI151" s="73"/>
      <c r="AJ151" s="73"/>
      <c r="AK151" s="73"/>
      <c r="AL151" s="73"/>
      <c r="AM151" s="73"/>
      <c r="AN151" s="73"/>
      <c r="AO151" s="73"/>
      <c r="AP151" s="73"/>
      <c r="AQ151" s="73"/>
      <c r="AR151" s="73"/>
      <c r="AS151" s="73"/>
    </row>
    <row r="152" spans="2:45" x14ac:dyDescent="0.25">
      <c r="B152" s="73"/>
      <c r="C152" s="73"/>
      <c r="D152" s="73"/>
      <c r="E152" s="73"/>
      <c r="F152" s="73"/>
      <c r="G152" s="73"/>
      <c r="H152" s="73"/>
      <c r="I152" s="183"/>
      <c r="J152" s="73"/>
      <c r="K152" s="73"/>
      <c r="L152" s="73"/>
      <c r="M152" s="73"/>
      <c r="N152" s="73"/>
      <c r="O152" s="73"/>
      <c r="P152" s="73"/>
      <c r="Q152" s="73"/>
      <c r="R152" s="73"/>
      <c r="S152" s="73"/>
      <c r="T152" s="73"/>
      <c r="U152" s="73"/>
      <c r="V152" s="73"/>
      <c r="W152" s="73"/>
      <c r="X152" s="73"/>
      <c r="Y152" s="73"/>
      <c r="Z152" s="73"/>
      <c r="AA152" s="73"/>
      <c r="AB152" s="73"/>
      <c r="AC152" s="73"/>
      <c r="AD152" s="73"/>
      <c r="AE152" s="73"/>
      <c r="AF152" s="73"/>
      <c r="AG152" s="73"/>
      <c r="AH152" s="73"/>
      <c r="AI152" s="73"/>
      <c r="AJ152" s="73"/>
      <c r="AK152" s="73"/>
      <c r="AL152" s="73"/>
      <c r="AM152" s="73"/>
      <c r="AN152" s="73"/>
      <c r="AO152" s="73"/>
      <c r="AP152" s="73"/>
      <c r="AQ152" s="73"/>
      <c r="AR152" s="73"/>
      <c r="AS152" s="73"/>
    </row>
    <row r="153" spans="2:45" x14ac:dyDescent="0.25">
      <c r="B153" s="73"/>
      <c r="C153" s="73"/>
      <c r="D153" s="73"/>
      <c r="E153" s="73"/>
      <c r="F153" s="73"/>
      <c r="G153" s="73"/>
      <c r="H153" s="73"/>
      <c r="I153" s="183"/>
      <c r="J153" s="73"/>
      <c r="K153" s="73"/>
      <c r="L153" s="73"/>
      <c r="M153" s="73"/>
      <c r="N153" s="73"/>
      <c r="O153" s="73"/>
      <c r="P153" s="73"/>
      <c r="Q153" s="73"/>
      <c r="R153" s="73"/>
      <c r="S153" s="73"/>
      <c r="T153" s="73"/>
      <c r="U153" s="73"/>
      <c r="V153" s="73"/>
      <c r="W153" s="73"/>
      <c r="X153" s="73"/>
      <c r="Y153" s="73"/>
      <c r="Z153" s="73"/>
      <c r="AA153" s="73"/>
      <c r="AB153" s="73"/>
      <c r="AC153" s="73"/>
      <c r="AD153" s="73"/>
      <c r="AE153" s="73"/>
      <c r="AF153" s="73"/>
      <c r="AG153" s="73"/>
      <c r="AH153" s="73"/>
      <c r="AI153" s="73"/>
      <c r="AJ153" s="73"/>
      <c r="AK153" s="73"/>
      <c r="AL153" s="73"/>
      <c r="AM153" s="73"/>
      <c r="AN153" s="73"/>
      <c r="AO153" s="73"/>
      <c r="AP153" s="73"/>
      <c r="AQ153" s="73"/>
      <c r="AR153" s="73"/>
      <c r="AS153" s="73"/>
    </row>
    <row r="154" spans="2:45" x14ac:dyDescent="0.25">
      <c r="B154" s="73"/>
      <c r="C154" s="73"/>
      <c r="D154" s="73"/>
      <c r="E154" s="73"/>
      <c r="F154" s="73"/>
      <c r="G154" s="73"/>
      <c r="H154" s="73"/>
      <c r="I154" s="183"/>
      <c r="J154" s="73"/>
      <c r="K154" s="73"/>
      <c r="L154" s="73"/>
      <c r="M154" s="73"/>
      <c r="N154" s="73"/>
      <c r="O154" s="73"/>
      <c r="P154" s="73"/>
      <c r="Q154" s="73"/>
      <c r="R154" s="73"/>
      <c r="S154" s="73"/>
      <c r="T154" s="73"/>
      <c r="U154" s="73"/>
      <c r="V154" s="73"/>
      <c r="W154" s="73"/>
      <c r="X154" s="73"/>
      <c r="Y154" s="73"/>
      <c r="Z154" s="73"/>
      <c r="AA154" s="73"/>
      <c r="AB154" s="73"/>
      <c r="AC154" s="73"/>
      <c r="AD154" s="73"/>
      <c r="AE154" s="73"/>
      <c r="AF154" s="73"/>
      <c r="AG154" s="73"/>
      <c r="AH154" s="73"/>
      <c r="AI154" s="73"/>
      <c r="AJ154" s="73"/>
      <c r="AK154" s="73"/>
      <c r="AL154" s="73"/>
      <c r="AM154" s="73"/>
      <c r="AN154" s="73"/>
      <c r="AO154" s="73"/>
      <c r="AP154" s="73"/>
      <c r="AQ154" s="73"/>
      <c r="AR154" s="73"/>
      <c r="AS154" s="73"/>
    </row>
    <row r="155" spans="2:45" x14ac:dyDescent="0.25">
      <c r="B155" s="73"/>
      <c r="C155" s="73"/>
      <c r="D155" s="73"/>
      <c r="E155" s="73"/>
      <c r="F155" s="73"/>
      <c r="G155" s="73"/>
      <c r="H155" s="73"/>
      <c r="I155" s="183"/>
      <c r="J155" s="73"/>
      <c r="K155" s="73"/>
      <c r="L155" s="73"/>
      <c r="M155" s="73"/>
      <c r="N155" s="73"/>
      <c r="O155" s="73"/>
      <c r="P155" s="73"/>
      <c r="Q155" s="73"/>
      <c r="R155" s="73"/>
      <c r="S155" s="73"/>
      <c r="T155" s="73"/>
      <c r="U155" s="73"/>
      <c r="V155" s="73"/>
      <c r="W155" s="73"/>
      <c r="X155" s="73"/>
      <c r="Y155" s="73"/>
      <c r="Z155" s="73"/>
      <c r="AA155" s="73"/>
      <c r="AB155" s="73"/>
      <c r="AC155" s="73"/>
      <c r="AD155" s="73"/>
      <c r="AE155" s="73"/>
      <c r="AF155" s="73"/>
      <c r="AG155" s="73"/>
      <c r="AH155" s="73"/>
      <c r="AI155" s="73"/>
      <c r="AJ155" s="73"/>
      <c r="AK155" s="73"/>
      <c r="AL155" s="73"/>
      <c r="AM155" s="73"/>
      <c r="AN155" s="73"/>
      <c r="AO155" s="73"/>
      <c r="AP155" s="73"/>
      <c r="AQ155" s="73"/>
      <c r="AR155" s="73"/>
      <c r="AS155" s="73"/>
    </row>
    <row r="156" spans="2:45" x14ac:dyDescent="0.25">
      <c r="B156" s="73"/>
      <c r="C156" s="73"/>
      <c r="D156" s="73"/>
      <c r="E156" s="73"/>
      <c r="F156" s="73"/>
      <c r="G156" s="73"/>
      <c r="H156" s="73"/>
      <c r="I156" s="183"/>
      <c r="J156" s="73"/>
      <c r="K156" s="73"/>
      <c r="L156" s="73"/>
      <c r="M156" s="73"/>
      <c r="N156" s="73"/>
      <c r="O156" s="73"/>
      <c r="P156" s="73"/>
      <c r="Q156" s="73"/>
      <c r="R156" s="73"/>
      <c r="S156" s="73"/>
      <c r="T156" s="73"/>
      <c r="U156" s="73"/>
      <c r="V156" s="73"/>
      <c r="W156" s="73"/>
      <c r="X156" s="73"/>
      <c r="Y156" s="73"/>
      <c r="Z156" s="73"/>
      <c r="AA156" s="73"/>
      <c r="AB156" s="73"/>
      <c r="AC156" s="73"/>
      <c r="AD156" s="73"/>
      <c r="AE156" s="73"/>
      <c r="AF156" s="73"/>
      <c r="AG156" s="73"/>
      <c r="AH156" s="73"/>
      <c r="AI156" s="73"/>
      <c r="AJ156" s="73"/>
      <c r="AK156" s="73"/>
      <c r="AL156" s="73"/>
      <c r="AM156" s="73"/>
      <c r="AN156" s="73"/>
      <c r="AO156" s="73"/>
      <c r="AP156" s="73"/>
      <c r="AQ156" s="73"/>
      <c r="AR156" s="73"/>
      <c r="AS156" s="73"/>
    </row>
    <row r="157" spans="2:45" x14ac:dyDescent="0.25">
      <c r="B157" s="73"/>
      <c r="C157" s="73"/>
      <c r="D157" s="73"/>
      <c r="E157" s="73"/>
      <c r="F157" s="73"/>
      <c r="G157" s="73"/>
      <c r="H157" s="73"/>
      <c r="I157" s="183"/>
      <c r="J157" s="73"/>
      <c r="K157" s="73"/>
      <c r="L157" s="73"/>
      <c r="M157" s="73"/>
      <c r="N157" s="73"/>
      <c r="O157" s="73"/>
      <c r="P157" s="73"/>
      <c r="Q157" s="73"/>
      <c r="R157" s="73"/>
      <c r="S157" s="73"/>
      <c r="T157" s="73"/>
      <c r="U157" s="73"/>
      <c r="V157" s="73"/>
      <c r="W157" s="73"/>
      <c r="X157" s="73"/>
      <c r="Y157" s="73"/>
      <c r="Z157" s="73"/>
      <c r="AA157" s="73"/>
      <c r="AB157" s="73"/>
      <c r="AC157" s="73"/>
      <c r="AD157" s="73"/>
      <c r="AE157" s="73"/>
      <c r="AF157" s="73"/>
      <c r="AG157" s="73"/>
      <c r="AH157" s="73"/>
      <c r="AI157" s="73"/>
      <c r="AJ157" s="73"/>
      <c r="AK157" s="73"/>
      <c r="AL157" s="73"/>
      <c r="AM157" s="73"/>
      <c r="AN157" s="73"/>
      <c r="AO157" s="73"/>
      <c r="AP157" s="73"/>
      <c r="AQ157" s="73"/>
      <c r="AR157" s="73"/>
      <c r="AS157" s="73"/>
    </row>
    <row r="158" spans="2:45" x14ac:dyDescent="0.25">
      <c r="B158" s="73"/>
      <c r="C158" s="73"/>
      <c r="D158" s="73"/>
      <c r="E158" s="73"/>
      <c r="F158" s="73"/>
      <c r="G158" s="73"/>
      <c r="H158" s="73"/>
      <c r="I158" s="183"/>
      <c r="J158" s="73"/>
      <c r="K158" s="73"/>
      <c r="L158" s="73"/>
      <c r="M158" s="73"/>
      <c r="N158" s="73"/>
      <c r="O158" s="73"/>
      <c r="P158" s="73"/>
      <c r="Q158" s="73"/>
      <c r="R158" s="73"/>
      <c r="S158" s="73"/>
      <c r="T158" s="73"/>
      <c r="U158" s="73"/>
      <c r="V158" s="73"/>
      <c r="W158" s="73"/>
      <c r="X158" s="73"/>
      <c r="Y158" s="73"/>
      <c r="Z158" s="73"/>
      <c r="AA158" s="73"/>
      <c r="AB158" s="73"/>
      <c r="AC158" s="73"/>
      <c r="AD158" s="73"/>
      <c r="AE158" s="73"/>
      <c r="AF158" s="73"/>
      <c r="AG158" s="73"/>
      <c r="AH158" s="73"/>
      <c r="AI158" s="73"/>
      <c r="AJ158" s="73"/>
      <c r="AK158" s="73"/>
      <c r="AL158" s="73"/>
      <c r="AM158" s="73"/>
      <c r="AN158" s="73"/>
      <c r="AO158" s="73"/>
      <c r="AP158" s="73"/>
      <c r="AQ158" s="73"/>
      <c r="AR158" s="73"/>
      <c r="AS158" s="73"/>
    </row>
    <row r="159" spans="2:45" x14ac:dyDescent="0.25">
      <c r="B159" s="73"/>
      <c r="C159" s="73"/>
      <c r="D159" s="73"/>
      <c r="E159" s="73"/>
      <c r="F159" s="73"/>
      <c r="G159" s="73"/>
      <c r="H159" s="73"/>
      <c r="I159" s="183"/>
      <c r="J159" s="73"/>
      <c r="K159" s="73"/>
      <c r="L159" s="73"/>
      <c r="M159" s="73"/>
      <c r="N159" s="73"/>
      <c r="O159" s="73"/>
      <c r="P159" s="73"/>
      <c r="Q159" s="73"/>
      <c r="R159" s="73"/>
      <c r="S159" s="73"/>
      <c r="T159" s="73"/>
      <c r="U159" s="73"/>
      <c r="V159" s="73"/>
      <c r="W159" s="73"/>
      <c r="X159" s="73"/>
      <c r="Y159" s="73"/>
      <c r="Z159" s="73"/>
      <c r="AA159" s="73"/>
      <c r="AB159" s="73"/>
      <c r="AC159" s="73"/>
      <c r="AD159" s="73"/>
      <c r="AE159" s="73"/>
      <c r="AF159" s="73"/>
      <c r="AG159" s="73"/>
      <c r="AH159" s="73"/>
      <c r="AI159" s="73"/>
      <c r="AJ159" s="73"/>
      <c r="AK159" s="73"/>
      <c r="AL159" s="73"/>
      <c r="AM159" s="73"/>
      <c r="AN159" s="73"/>
      <c r="AO159" s="73"/>
      <c r="AP159" s="73"/>
      <c r="AQ159" s="73"/>
      <c r="AR159" s="73"/>
      <c r="AS159" s="73"/>
    </row>
    <row r="160" spans="2:45" x14ac:dyDescent="0.25">
      <c r="B160" s="73"/>
      <c r="C160" s="73"/>
      <c r="D160" s="73"/>
      <c r="E160" s="73"/>
      <c r="F160" s="73"/>
      <c r="G160" s="73"/>
      <c r="H160" s="73"/>
      <c r="I160" s="183"/>
      <c r="J160" s="73"/>
      <c r="K160" s="73"/>
      <c r="L160" s="73"/>
      <c r="M160" s="73"/>
      <c r="N160" s="73"/>
      <c r="O160" s="73"/>
      <c r="P160" s="73"/>
      <c r="Q160" s="73"/>
      <c r="R160" s="73"/>
      <c r="S160" s="73"/>
      <c r="T160" s="73"/>
      <c r="U160" s="73"/>
      <c r="V160" s="73"/>
      <c r="W160" s="73"/>
      <c r="X160" s="73"/>
      <c r="Y160" s="73"/>
      <c r="Z160" s="73"/>
      <c r="AA160" s="73"/>
      <c r="AB160" s="73"/>
      <c r="AC160" s="73"/>
      <c r="AD160" s="73"/>
      <c r="AE160" s="73"/>
      <c r="AF160" s="73"/>
      <c r="AG160" s="73"/>
      <c r="AH160" s="73"/>
      <c r="AI160" s="73"/>
      <c r="AJ160" s="73"/>
      <c r="AK160" s="73"/>
      <c r="AL160" s="73"/>
      <c r="AM160" s="73"/>
      <c r="AN160" s="73"/>
      <c r="AO160" s="73"/>
      <c r="AP160" s="73"/>
      <c r="AQ160" s="73"/>
      <c r="AR160" s="73"/>
      <c r="AS160" s="73"/>
    </row>
    <row r="161" spans="2:45" x14ac:dyDescent="0.25">
      <c r="B161" s="73"/>
      <c r="C161" s="73"/>
      <c r="D161" s="73"/>
      <c r="E161" s="73"/>
      <c r="F161" s="73"/>
      <c r="G161" s="73"/>
      <c r="H161" s="73"/>
      <c r="I161" s="183"/>
      <c r="J161" s="73"/>
      <c r="K161" s="73"/>
      <c r="L161" s="73"/>
      <c r="M161" s="73"/>
      <c r="N161" s="73"/>
      <c r="O161" s="73"/>
      <c r="P161" s="73"/>
      <c r="Q161" s="73"/>
      <c r="R161" s="73"/>
      <c r="S161" s="73"/>
      <c r="T161" s="73"/>
      <c r="U161" s="73"/>
      <c r="V161" s="73"/>
      <c r="W161" s="73"/>
      <c r="X161" s="73"/>
      <c r="Y161" s="73"/>
      <c r="Z161" s="73"/>
      <c r="AA161" s="73"/>
      <c r="AB161" s="73"/>
      <c r="AC161" s="73"/>
      <c r="AD161" s="73"/>
      <c r="AE161" s="73"/>
      <c r="AF161" s="73"/>
      <c r="AG161" s="73"/>
      <c r="AH161" s="73"/>
      <c r="AI161" s="73"/>
      <c r="AJ161" s="73"/>
      <c r="AK161" s="73"/>
      <c r="AL161" s="73"/>
      <c r="AM161" s="73"/>
      <c r="AN161" s="73"/>
      <c r="AO161" s="73"/>
      <c r="AP161" s="73"/>
      <c r="AQ161" s="73"/>
      <c r="AR161" s="73"/>
      <c r="AS161" s="73"/>
    </row>
    <row r="162" spans="2:45" x14ac:dyDescent="0.25">
      <c r="B162" s="73"/>
      <c r="C162" s="73"/>
      <c r="D162" s="73"/>
      <c r="E162" s="73"/>
      <c r="F162" s="73"/>
      <c r="G162" s="73"/>
      <c r="H162" s="73"/>
      <c r="I162" s="183"/>
      <c r="J162" s="73"/>
      <c r="K162" s="73"/>
      <c r="L162" s="73"/>
      <c r="M162" s="73"/>
      <c r="N162" s="73"/>
      <c r="O162" s="73"/>
      <c r="P162" s="73"/>
      <c r="Q162" s="73"/>
      <c r="R162" s="73"/>
      <c r="S162" s="73"/>
      <c r="T162" s="73"/>
      <c r="U162" s="73"/>
      <c r="V162" s="73"/>
      <c r="W162" s="73"/>
      <c r="X162" s="73"/>
      <c r="Y162" s="73"/>
      <c r="Z162" s="73"/>
      <c r="AA162" s="73"/>
      <c r="AB162" s="73"/>
      <c r="AC162" s="73"/>
      <c r="AD162" s="73"/>
      <c r="AE162" s="73"/>
      <c r="AF162" s="73"/>
      <c r="AG162" s="73"/>
      <c r="AH162" s="73"/>
      <c r="AI162" s="73"/>
      <c r="AJ162" s="73"/>
      <c r="AK162" s="73"/>
      <c r="AL162" s="73"/>
      <c r="AM162" s="73"/>
      <c r="AN162" s="73"/>
      <c r="AO162" s="73"/>
      <c r="AP162" s="73"/>
      <c r="AQ162" s="73"/>
      <c r="AR162" s="73"/>
      <c r="AS162" s="73"/>
    </row>
    <row r="163" spans="2:45" x14ac:dyDescent="0.25">
      <c r="B163" s="73"/>
      <c r="C163" s="73"/>
      <c r="D163" s="73"/>
      <c r="E163" s="73"/>
      <c r="F163" s="73"/>
      <c r="G163" s="73"/>
      <c r="H163" s="73"/>
      <c r="I163" s="183"/>
      <c r="J163" s="73"/>
      <c r="K163" s="73"/>
      <c r="L163" s="73"/>
      <c r="M163" s="73"/>
      <c r="N163" s="73"/>
      <c r="O163" s="73"/>
      <c r="P163" s="73"/>
      <c r="Q163" s="73"/>
      <c r="R163" s="73"/>
      <c r="S163" s="73"/>
      <c r="T163" s="73"/>
      <c r="U163" s="73"/>
      <c r="V163" s="73"/>
      <c r="W163" s="73"/>
      <c r="X163" s="73"/>
      <c r="Y163" s="73"/>
      <c r="Z163" s="73"/>
      <c r="AA163" s="73"/>
      <c r="AB163" s="73"/>
      <c r="AC163" s="73"/>
      <c r="AD163" s="73"/>
      <c r="AE163" s="73"/>
      <c r="AF163" s="73"/>
      <c r="AG163" s="73"/>
      <c r="AH163" s="73"/>
      <c r="AI163" s="73"/>
      <c r="AJ163" s="73"/>
      <c r="AK163" s="73"/>
      <c r="AL163" s="73"/>
      <c r="AM163" s="73"/>
      <c r="AN163" s="73"/>
      <c r="AO163" s="73"/>
      <c r="AP163" s="73"/>
      <c r="AQ163" s="73"/>
      <c r="AR163" s="73"/>
      <c r="AS163" s="73"/>
    </row>
    <row r="164" spans="2:45" x14ac:dyDescent="0.25">
      <c r="B164" s="73"/>
      <c r="C164" s="73"/>
      <c r="D164" s="73"/>
      <c r="E164" s="73"/>
      <c r="F164" s="73"/>
      <c r="G164" s="73"/>
      <c r="H164" s="73"/>
      <c r="I164" s="183"/>
      <c r="J164" s="73"/>
      <c r="K164" s="73"/>
      <c r="L164" s="73"/>
      <c r="M164" s="73"/>
      <c r="N164" s="73"/>
      <c r="O164" s="73"/>
      <c r="P164" s="73"/>
      <c r="Q164" s="73"/>
      <c r="R164" s="73"/>
      <c r="S164" s="73"/>
      <c r="T164" s="73"/>
      <c r="U164" s="73"/>
      <c r="V164" s="73"/>
      <c r="W164" s="73"/>
      <c r="X164" s="73"/>
      <c r="Y164" s="73"/>
      <c r="Z164" s="73"/>
      <c r="AA164" s="73"/>
      <c r="AB164" s="73"/>
      <c r="AC164" s="73"/>
      <c r="AD164" s="73"/>
      <c r="AE164" s="73"/>
      <c r="AF164" s="73"/>
      <c r="AG164" s="73"/>
      <c r="AH164" s="73"/>
      <c r="AI164" s="73"/>
      <c r="AJ164" s="73"/>
      <c r="AK164" s="73"/>
      <c r="AL164" s="73"/>
      <c r="AM164" s="73"/>
      <c r="AN164" s="73"/>
      <c r="AO164" s="73"/>
      <c r="AP164" s="73"/>
      <c r="AQ164" s="73"/>
      <c r="AR164" s="73"/>
      <c r="AS164" s="73"/>
    </row>
    <row r="165" spans="2:45" x14ac:dyDescent="0.25">
      <c r="B165" s="73"/>
      <c r="C165" s="73"/>
      <c r="D165" s="73"/>
      <c r="E165" s="73"/>
      <c r="F165" s="73"/>
      <c r="G165" s="73"/>
      <c r="H165" s="73"/>
      <c r="I165" s="183"/>
      <c r="J165" s="73"/>
      <c r="K165" s="73"/>
      <c r="L165" s="73"/>
      <c r="M165" s="73"/>
      <c r="N165" s="73"/>
      <c r="O165" s="73"/>
      <c r="P165" s="73"/>
      <c r="Q165" s="73"/>
      <c r="R165" s="73"/>
      <c r="S165" s="73"/>
      <c r="T165" s="73"/>
      <c r="U165" s="73"/>
      <c r="V165" s="73"/>
      <c r="W165" s="73"/>
      <c r="X165" s="73"/>
      <c r="Y165" s="73"/>
      <c r="Z165" s="73"/>
      <c r="AA165" s="73"/>
      <c r="AB165" s="73"/>
      <c r="AC165" s="73"/>
      <c r="AD165" s="73"/>
      <c r="AE165" s="73"/>
      <c r="AF165" s="73"/>
      <c r="AG165" s="73"/>
      <c r="AH165" s="73"/>
      <c r="AI165" s="73"/>
      <c r="AJ165" s="73"/>
      <c r="AK165" s="73"/>
      <c r="AL165" s="73"/>
      <c r="AM165" s="73"/>
      <c r="AN165" s="73"/>
      <c r="AO165" s="73"/>
      <c r="AP165" s="73"/>
      <c r="AQ165" s="73"/>
      <c r="AR165" s="73"/>
      <c r="AS165" s="73"/>
    </row>
    <row r="166" spans="2:45" x14ac:dyDescent="0.25">
      <c r="B166" s="73"/>
      <c r="C166" s="73"/>
      <c r="D166" s="73"/>
      <c r="E166" s="73"/>
      <c r="F166" s="73"/>
      <c r="G166" s="73"/>
      <c r="H166" s="73"/>
      <c r="I166" s="183"/>
      <c r="J166" s="73"/>
      <c r="K166" s="73"/>
      <c r="L166" s="73"/>
      <c r="M166" s="73"/>
      <c r="N166" s="73"/>
      <c r="O166" s="73"/>
      <c r="P166" s="73"/>
      <c r="Q166" s="73"/>
      <c r="R166" s="73"/>
      <c r="S166" s="73"/>
      <c r="T166" s="73"/>
      <c r="U166" s="73"/>
      <c r="V166" s="73"/>
      <c r="W166" s="73"/>
      <c r="X166" s="73"/>
      <c r="Y166" s="73"/>
      <c r="Z166" s="73"/>
      <c r="AA166" s="73"/>
      <c r="AB166" s="73"/>
      <c r="AC166" s="73"/>
      <c r="AD166" s="73"/>
      <c r="AE166" s="73"/>
      <c r="AF166" s="73"/>
      <c r="AG166" s="73"/>
      <c r="AH166" s="73"/>
      <c r="AI166" s="73"/>
      <c r="AJ166" s="73"/>
      <c r="AK166" s="73"/>
      <c r="AL166" s="73"/>
      <c r="AM166" s="73"/>
      <c r="AN166" s="73"/>
      <c r="AO166" s="73"/>
      <c r="AP166" s="73"/>
      <c r="AQ166" s="73"/>
      <c r="AR166" s="73"/>
      <c r="AS166" s="73"/>
    </row>
    <row r="167" spans="2:45" x14ac:dyDescent="0.25">
      <c r="B167" s="73"/>
      <c r="C167" s="73"/>
      <c r="D167" s="73"/>
      <c r="E167" s="73"/>
      <c r="F167" s="73"/>
      <c r="G167" s="73"/>
      <c r="H167" s="73"/>
      <c r="I167" s="183"/>
      <c r="J167" s="73"/>
      <c r="K167" s="73"/>
      <c r="L167" s="73"/>
      <c r="M167" s="73"/>
      <c r="N167" s="73"/>
      <c r="O167" s="73"/>
      <c r="P167" s="73"/>
      <c r="Q167" s="73"/>
      <c r="R167" s="73"/>
      <c r="S167" s="73"/>
      <c r="T167" s="73"/>
      <c r="U167" s="73"/>
      <c r="V167" s="73"/>
      <c r="W167" s="73"/>
      <c r="X167" s="73"/>
      <c r="Y167" s="73"/>
      <c r="Z167" s="73"/>
      <c r="AA167" s="73"/>
      <c r="AB167" s="73"/>
      <c r="AC167" s="73"/>
      <c r="AD167" s="73"/>
      <c r="AE167" s="73"/>
      <c r="AF167" s="73"/>
      <c r="AG167" s="73"/>
      <c r="AH167" s="73"/>
      <c r="AI167" s="73"/>
      <c r="AJ167" s="73"/>
      <c r="AK167" s="73"/>
      <c r="AL167" s="73"/>
      <c r="AM167" s="73"/>
      <c r="AN167" s="73"/>
      <c r="AO167" s="73"/>
      <c r="AP167" s="73"/>
      <c r="AQ167" s="73"/>
      <c r="AR167" s="73"/>
      <c r="AS167" s="73"/>
    </row>
    <row r="168" spans="2:45" x14ac:dyDescent="0.25">
      <c r="B168" s="73"/>
      <c r="C168" s="73"/>
      <c r="D168" s="73"/>
      <c r="E168" s="73"/>
      <c r="F168" s="73"/>
      <c r="G168" s="73"/>
      <c r="H168" s="73"/>
      <c r="I168" s="183"/>
      <c r="J168" s="73"/>
      <c r="K168" s="73"/>
      <c r="L168" s="73"/>
      <c r="M168" s="73"/>
      <c r="N168" s="73"/>
      <c r="O168" s="73"/>
      <c r="P168" s="73"/>
      <c r="Q168" s="73"/>
      <c r="R168" s="73"/>
      <c r="S168" s="73"/>
      <c r="T168" s="73"/>
      <c r="U168" s="73"/>
      <c r="V168" s="73"/>
      <c r="W168" s="73"/>
      <c r="X168" s="73"/>
      <c r="Y168" s="73"/>
      <c r="Z168" s="73"/>
      <c r="AA168" s="73"/>
      <c r="AB168" s="73"/>
      <c r="AC168" s="73"/>
      <c r="AD168" s="73"/>
      <c r="AE168" s="73"/>
      <c r="AF168" s="73"/>
      <c r="AG168" s="73"/>
      <c r="AH168" s="73"/>
      <c r="AI168" s="73"/>
      <c r="AJ168" s="73"/>
      <c r="AK168" s="73"/>
      <c r="AL168" s="73"/>
      <c r="AM168" s="73"/>
      <c r="AN168" s="73"/>
      <c r="AO168" s="73"/>
      <c r="AP168" s="73"/>
      <c r="AQ168" s="73"/>
      <c r="AR168" s="73"/>
      <c r="AS168" s="73"/>
    </row>
    <row r="169" spans="2:45" x14ac:dyDescent="0.25">
      <c r="B169" s="73"/>
      <c r="C169" s="73"/>
      <c r="D169" s="73"/>
      <c r="E169" s="73"/>
      <c r="F169" s="73"/>
      <c r="G169" s="73"/>
      <c r="H169" s="73"/>
      <c r="I169" s="183"/>
      <c r="J169" s="73"/>
      <c r="K169" s="73"/>
      <c r="L169" s="73"/>
      <c r="M169" s="73"/>
      <c r="N169" s="73"/>
      <c r="O169" s="73"/>
      <c r="P169" s="73"/>
      <c r="Q169" s="73"/>
      <c r="R169" s="73"/>
      <c r="S169" s="73"/>
      <c r="T169" s="73"/>
      <c r="U169" s="73"/>
      <c r="V169" s="73"/>
      <c r="W169" s="73"/>
      <c r="X169" s="73"/>
      <c r="Y169" s="73"/>
      <c r="Z169" s="73"/>
      <c r="AA169" s="73"/>
      <c r="AB169" s="73"/>
      <c r="AC169" s="73"/>
      <c r="AD169" s="73"/>
      <c r="AE169" s="73"/>
      <c r="AF169" s="73"/>
      <c r="AG169" s="73"/>
      <c r="AH169" s="73"/>
      <c r="AI169" s="73"/>
      <c r="AJ169" s="73"/>
      <c r="AK169" s="73"/>
      <c r="AL169" s="73"/>
      <c r="AM169" s="73"/>
      <c r="AN169" s="73"/>
      <c r="AO169" s="73"/>
      <c r="AP169" s="73"/>
      <c r="AQ169" s="73"/>
      <c r="AR169" s="73"/>
      <c r="AS169" s="73"/>
    </row>
    <row r="170" spans="2:45" x14ac:dyDescent="0.25">
      <c r="B170" s="73"/>
      <c r="C170" s="73"/>
      <c r="D170" s="73"/>
      <c r="E170" s="73"/>
      <c r="F170" s="73"/>
      <c r="G170" s="73"/>
      <c r="H170" s="73"/>
      <c r="I170" s="183"/>
      <c r="J170" s="73"/>
      <c r="K170" s="73"/>
      <c r="L170" s="73"/>
      <c r="M170" s="73"/>
      <c r="N170" s="73"/>
      <c r="O170" s="73"/>
      <c r="P170" s="73"/>
      <c r="Q170" s="73"/>
      <c r="R170" s="73"/>
      <c r="S170" s="73"/>
      <c r="T170" s="73"/>
      <c r="U170" s="73"/>
      <c r="V170" s="73"/>
      <c r="W170" s="73"/>
      <c r="X170" s="73"/>
      <c r="Y170" s="73"/>
      <c r="Z170" s="73"/>
      <c r="AA170" s="73"/>
      <c r="AB170" s="73"/>
      <c r="AC170" s="73"/>
      <c r="AD170" s="73"/>
      <c r="AE170" s="73"/>
      <c r="AF170" s="73"/>
      <c r="AG170" s="73"/>
      <c r="AH170" s="73"/>
      <c r="AI170" s="73"/>
      <c r="AJ170" s="73"/>
      <c r="AK170" s="73"/>
      <c r="AL170" s="73"/>
      <c r="AM170" s="73"/>
      <c r="AN170" s="73"/>
      <c r="AO170" s="73"/>
      <c r="AP170" s="73"/>
      <c r="AQ170" s="73"/>
      <c r="AR170" s="73"/>
      <c r="AS170" s="73"/>
    </row>
    <row r="171" spans="2:45" x14ac:dyDescent="0.25">
      <c r="B171" s="73"/>
      <c r="C171" s="73"/>
      <c r="D171" s="73"/>
      <c r="E171" s="73"/>
      <c r="F171" s="73"/>
      <c r="G171" s="73"/>
      <c r="H171" s="73"/>
      <c r="I171" s="183"/>
      <c r="J171" s="73"/>
      <c r="K171" s="73"/>
      <c r="L171" s="73"/>
      <c r="M171" s="73"/>
      <c r="N171" s="73"/>
      <c r="O171" s="73"/>
      <c r="P171" s="73"/>
      <c r="Q171" s="73"/>
      <c r="R171" s="73"/>
      <c r="S171" s="73"/>
      <c r="T171" s="73"/>
      <c r="U171" s="73"/>
      <c r="V171" s="73"/>
      <c r="W171" s="73"/>
      <c r="X171" s="73"/>
      <c r="Y171" s="73"/>
      <c r="Z171" s="73"/>
      <c r="AA171" s="73"/>
      <c r="AB171" s="73"/>
      <c r="AC171" s="73"/>
      <c r="AD171" s="73"/>
      <c r="AE171" s="73"/>
      <c r="AF171" s="73"/>
      <c r="AG171" s="73"/>
      <c r="AH171" s="73"/>
      <c r="AI171" s="73"/>
      <c r="AJ171" s="73"/>
      <c r="AK171" s="73"/>
      <c r="AL171" s="73"/>
      <c r="AM171" s="73"/>
      <c r="AN171" s="73"/>
      <c r="AO171" s="73"/>
      <c r="AP171" s="73"/>
      <c r="AQ171" s="73"/>
      <c r="AR171" s="73"/>
      <c r="AS171" s="73"/>
    </row>
    <row r="172" spans="2:45" x14ac:dyDescent="0.25">
      <c r="B172" s="73"/>
      <c r="C172" s="73"/>
      <c r="D172" s="73"/>
      <c r="E172" s="73"/>
      <c r="F172" s="73"/>
      <c r="G172" s="73"/>
      <c r="H172" s="73"/>
      <c r="I172" s="183"/>
      <c r="J172" s="73"/>
      <c r="K172" s="73"/>
      <c r="L172" s="73"/>
      <c r="M172" s="73"/>
      <c r="N172" s="73"/>
      <c r="O172" s="73"/>
      <c r="P172" s="73"/>
      <c r="Q172" s="73"/>
      <c r="R172" s="73"/>
      <c r="S172" s="73"/>
      <c r="T172" s="73"/>
      <c r="U172" s="73"/>
      <c r="V172" s="73"/>
      <c r="W172" s="73"/>
      <c r="X172" s="73"/>
      <c r="Y172" s="73"/>
      <c r="Z172" s="73"/>
      <c r="AA172" s="73"/>
      <c r="AB172" s="73"/>
      <c r="AC172" s="73"/>
      <c r="AD172" s="73"/>
      <c r="AE172" s="73"/>
      <c r="AF172" s="73"/>
      <c r="AG172" s="73"/>
      <c r="AH172" s="73"/>
      <c r="AI172" s="73"/>
      <c r="AJ172" s="73"/>
      <c r="AK172" s="73"/>
      <c r="AL172" s="73"/>
      <c r="AM172" s="73"/>
      <c r="AN172" s="73"/>
      <c r="AO172" s="73"/>
      <c r="AP172" s="73"/>
      <c r="AQ172" s="73"/>
      <c r="AR172" s="73"/>
      <c r="AS172" s="73"/>
    </row>
    <row r="173" spans="2:45" x14ac:dyDescent="0.25">
      <c r="B173" s="73"/>
      <c r="C173" s="73"/>
      <c r="D173" s="73"/>
      <c r="E173" s="73"/>
      <c r="F173" s="73"/>
      <c r="G173" s="73"/>
      <c r="H173" s="73"/>
      <c r="I173" s="183"/>
      <c r="J173" s="73"/>
      <c r="K173" s="73"/>
      <c r="L173" s="73"/>
      <c r="M173" s="73"/>
      <c r="N173" s="73"/>
      <c r="O173" s="73"/>
      <c r="P173" s="73"/>
      <c r="Q173" s="73"/>
      <c r="R173" s="73"/>
      <c r="S173" s="73"/>
      <c r="T173" s="73"/>
      <c r="U173" s="73"/>
      <c r="V173" s="73"/>
      <c r="W173" s="73"/>
      <c r="X173" s="73"/>
      <c r="Y173" s="73"/>
      <c r="Z173" s="73"/>
      <c r="AA173" s="73"/>
      <c r="AB173" s="73"/>
      <c r="AC173" s="73"/>
      <c r="AD173" s="73"/>
      <c r="AE173" s="73"/>
      <c r="AF173" s="73"/>
      <c r="AG173" s="73"/>
      <c r="AH173" s="73"/>
      <c r="AI173" s="73"/>
      <c r="AJ173" s="73"/>
      <c r="AK173" s="73"/>
      <c r="AL173" s="73"/>
      <c r="AM173" s="73"/>
      <c r="AN173" s="73"/>
      <c r="AO173" s="73"/>
      <c r="AP173" s="73"/>
      <c r="AQ173" s="73"/>
      <c r="AR173" s="73"/>
      <c r="AS173" s="73"/>
    </row>
    <row r="174" spans="2:45" x14ac:dyDescent="0.25">
      <c r="B174" s="73"/>
      <c r="C174" s="73"/>
      <c r="D174" s="73"/>
      <c r="E174" s="73"/>
      <c r="F174" s="73"/>
      <c r="G174" s="73"/>
      <c r="H174" s="73"/>
      <c r="I174" s="183"/>
      <c r="J174" s="73"/>
      <c r="K174" s="73"/>
      <c r="L174" s="73"/>
      <c r="M174" s="73"/>
      <c r="N174" s="73"/>
      <c r="O174" s="73"/>
      <c r="P174" s="73"/>
      <c r="Q174" s="73"/>
      <c r="R174" s="73"/>
      <c r="S174" s="73"/>
      <c r="T174" s="73"/>
      <c r="U174" s="73"/>
      <c r="V174" s="73"/>
      <c r="W174" s="73"/>
      <c r="X174" s="73"/>
      <c r="Y174" s="73"/>
      <c r="Z174" s="73"/>
      <c r="AA174" s="73"/>
      <c r="AB174" s="73"/>
      <c r="AC174" s="73"/>
      <c r="AD174" s="73"/>
      <c r="AE174" s="73"/>
      <c r="AF174" s="73"/>
      <c r="AG174" s="73"/>
      <c r="AH174" s="73"/>
      <c r="AI174" s="73"/>
      <c r="AJ174" s="73"/>
      <c r="AK174" s="73"/>
      <c r="AL174" s="73"/>
      <c r="AM174" s="73"/>
      <c r="AN174" s="73"/>
      <c r="AO174" s="73"/>
      <c r="AP174" s="73"/>
      <c r="AQ174" s="73"/>
      <c r="AR174" s="73"/>
      <c r="AS174" s="73"/>
    </row>
    <row r="175" spans="2:45" x14ac:dyDescent="0.25">
      <c r="B175" s="73"/>
      <c r="C175" s="73"/>
      <c r="D175" s="73"/>
      <c r="E175" s="73"/>
      <c r="F175" s="73"/>
      <c r="G175" s="73"/>
      <c r="H175" s="73"/>
      <c r="I175" s="183"/>
      <c r="J175" s="73"/>
      <c r="K175" s="73"/>
      <c r="L175" s="73"/>
      <c r="M175" s="73"/>
      <c r="N175" s="73"/>
      <c r="O175" s="73"/>
      <c r="P175" s="73"/>
      <c r="Q175" s="73"/>
      <c r="R175" s="73"/>
      <c r="S175" s="73"/>
      <c r="T175" s="73"/>
      <c r="U175" s="73"/>
      <c r="V175" s="73"/>
      <c r="W175" s="73"/>
      <c r="X175" s="73"/>
      <c r="Y175" s="73"/>
      <c r="Z175" s="73"/>
      <c r="AA175" s="73"/>
      <c r="AB175" s="73"/>
      <c r="AC175" s="73"/>
      <c r="AD175" s="73"/>
      <c r="AE175" s="73"/>
      <c r="AF175" s="73"/>
      <c r="AG175" s="73"/>
      <c r="AH175" s="73"/>
      <c r="AI175" s="73"/>
      <c r="AJ175" s="73"/>
      <c r="AK175" s="73"/>
      <c r="AL175" s="73"/>
      <c r="AM175" s="73"/>
      <c r="AN175" s="73"/>
      <c r="AO175" s="73"/>
      <c r="AP175" s="73"/>
      <c r="AQ175" s="73"/>
      <c r="AR175" s="73"/>
      <c r="AS175" s="73"/>
    </row>
    <row r="176" spans="2:45" x14ac:dyDescent="0.25">
      <c r="B176" s="73"/>
      <c r="C176" s="73"/>
      <c r="D176" s="73"/>
      <c r="E176" s="73"/>
      <c r="F176" s="73"/>
      <c r="G176" s="73"/>
      <c r="H176" s="73"/>
      <c r="I176" s="183"/>
      <c r="J176" s="73"/>
      <c r="K176" s="73"/>
      <c r="L176" s="73"/>
      <c r="M176" s="73"/>
      <c r="N176" s="73"/>
      <c r="O176" s="73"/>
      <c r="P176" s="73"/>
      <c r="Q176" s="73"/>
      <c r="R176" s="73"/>
      <c r="S176" s="73"/>
      <c r="T176" s="73"/>
      <c r="U176" s="73"/>
      <c r="V176" s="73"/>
      <c r="W176" s="73"/>
      <c r="X176" s="73"/>
      <c r="Y176" s="73"/>
      <c r="Z176" s="73"/>
      <c r="AA176" s="73"/>
      <c r="AB176" s="73"/>
      <c r="AC176" s="73"/>
      <c r="AD176" s="73"/>
      <c r="AE176" s="73"/>
      <c r="AF176" s="73"/>
      <c r="AG176" s="73"/>
      <c r="AH176" s="73"/>
      <c r="AI176" s="73"/>
      <c r="AJ176" s="73"/>
      <c r="AK176" s="73"/>
      <c r="AL176" s="73"/>
      <c r="AM176" s="73"/>
      <c r="AN176" s="73"/>
      <c r="AO176" s="73"/>
      <c r="AP176" s="73"/>
      <c r="AQ176" s="73"/>
      <c r="AR176" s="73"/>
      <c r="AS176" s="73"/>
    </row>
    <row r="177" spans="2:45" x14ac:dyDescent="0.25">
      <c r="B177" s="73"/>
      <c r="C177" s="73"/>
      <c r="D177" s="73"/>
      <c r="E177" s="73"/>
      <c r="F177" s="73"/>
      <c r="G177" s="73"/>
      <c r="H177" s="73"/>
      <c r="I177" s="183"/>
      <c r="J177" s="73"/>
      <c r="K177" s="73"/>
      <c r="L177" s="73"/>
      <c r="M177" s="73"/>
      <c r="N177" s="73"/>
      <c r="O177" s="73"/>
      <c r="P177" s="73"/>
      <c r="Q177" s="73"/>
      <c r="R177" s="73"/>
      <c r="S177" s="73"/>
      <c r="T177" s="73"/>
      <c r="U177" s="73"/>
      <c r="V177" s="73"/>
      <c r="W177" s="73"/>
      <c r="X177" s="73"/>
      <c r="Y177" s="73"/>
      <c r="Z177" s="73"/>
      <c r="AA177" s="73"/>
      <c r="AB177" s="73"/>
      <c r="AC177" s="73"/>
      <c r="AD177" s="73"/>
      <c r="AE177" s="73"/>
      <c r="AF177" s="73"/>
      <c r="AG177" s="73"/>
      <c r="AH177" s="73"/>
      <c r="AI177" s="73"/>
      <c r="AJ177" s="73"/>
      <c r="AK177" s="73"/>
      <c r="AL177" s="73"/>
      <c r="AM177" s="73"/>
      <c r="AN177" s="73"/>
      <c r="AO177" s="73"/>
      <c r="AP177" s="73"/>
      <c r="AQ177" s="73"/>
      <c r="AR177" s="73"/>
      <c r="AS177" s="73"/>
    </row>
    <row r="178" spans="2:45" x14ac:dyDescent="0.25">
      <c r="B178" s="73"/>
      <c r="C178" s="73"/>
      <c r="D178" s="73"/>
      <c r="E178" s="73"/>
      <c r="F178" s="73"/>
      <c r="G178" s="73"/>
      <c r="H178" s="73"/>
      <c r="I178" s="183"/>
      <c r="J178" s="73"/>
      <c r="K178" s="73"/>
      <c r="L178" s="73"/>
      <c r="M178" s="73"/>
      <c r="N178" s="73"/>
      <c r="O178" s="73"/>
      <c r="P178" s="73"/>
      <c r="Q178" s="73"/>
      <c r="R178" s="73"/>
      <c r="S178" s="73"/>
      <c r="T178" s="73"/>
      <c r="U178" s="73"/>
      <c r="V178" s="73"/>
      <c r="W178" s="73"/>
      <c r="X178" s="73"/>
      <c r="Y178" s="73"/>
      <c r="Z178" s="73"/>
      <c r="AA178" s="73"/>
      <c r="AB178" s="73"/>
      <c r="AC178" s="73"/>
      <c r="AD178" s="73"/>
      <c r="AE178" s="73"/>
      <c r="AF178" s="73"/>
      <c r="AG178" s="73"/>
      <c r="AH178" s="73"/>
      <c r="AI178" s="73"/>
      <c r="AJ178" s="73"/>
      <c r="AK178" s="73"/>
      <c r="AL178" s="73"/>
      <c r="AM178" s="73"/>
      <c r="AN178" s="73"/>
      <c r="AO178" s="73"/>
      <c r="AP178" s="73"/>
      <c r="AQ178" s="73"/>
      <c r="AR178" s="73"/>
      <c r="AS178" s="73"/>
    </row>
    <row r="179" spans="2:45" x14ac:dyDescent="0.25">
      <c r="B179" s="73"/>
      <c r="C179" s="73"/>
      <c r="D179" s="73"/>
      <c r="E179" s="73"/>
      <c r="F179" s="73"/>
      <c r="G179" s="73"/>
      <c r="H179" s="73"/>
      <c r="I179" s="183"/>
      <c r="J179" s="73"/>
      <c r="K179" s="73"/>
      <c r="L179" s="73"/>
      <c r="M179" s="73"/>
      <c r="N179" s="73"/>
      <c r="O179" s="73"/>
      <c r="P179" s="73"/>
      <c r="Q179" s="73"/>
      <c r="R179" s="73"/>
      <c r="S179" s="73"/>
      <c r="T179" s="73"/>
      <c r="U179" s="73"/>
      <c r="V179" s="73"/>
      <c r="W179" s="73"/>
      <c r="X179" s="73"/>
      <c r="Y179" s="73"/>
      <c r="Z179" s="73"/>
      <c r="AA179" s="73"/>
      <c r="AB179" s="73"/>
      <c r="AC179" s="73"/>
      <c r="AD179" s="73"/>
      <c r="AE179" s="73"/>
      <c r="AF179" s="73"/>
      <c r="AG179" s="73"/>
      <c r="AH179" s="73"/>
      <c r="AI179" s="73"/>
      <c r="AJ179" s="73"/>
      <c r="AK179" s="73"/>
      <c r="AL179" s="73"/>
      <c r="AM179" s="73"/>
      <c r="AN179" s="73"/>
      <c r="AO179" s="73"/>
      <c r="AP179" s="73"/>
      <c r="AQ179" s="73"/>
      <c r="AR179" s="73"/>
      <c r="AS179" s="73"/>
    </row>
    <row r="180" spans="2:45" x14ac:dyDescent="0.25">
      <c r="B180" s="73"/>
      <c r="C180" s="73"/>
      <c r="D180" s="73"/>
      <c r="E180" s="73"/>
      <c r="F180" s="73"/>
      <c r="G180" s="73"/>
      <c r="H180" s="73"/>
      <c r="I180" s="183"/>
      <c r="J180" s="73"/>
      <c r="K180" s="73"/>
      <c r="L180" s="73"/>
      <c r="M180" s="73"/>
      <c r="N180" s="73"/>
      <c r="O180" s="73"/>
      <c r="P180" s="73"/>
      <c r="Q180" s="73"/>
      <c r="R180" s="73"/>
      <c r="S180" s="73"/>
      <c r="T180" s="73"/>
      <c r="U180" s="73"/>
      <c r="V180" s="73"/>
      <c r="W180" s="73"/>
      <c r="X180" s="73"/>
      <c r="Y180" s="73"/>
      <c r="Z180" s="73"/>
      <c r="AA180" s="73"/>
      <c r="AB180" s="73"/>
      <c r="AC180" s="73"/>
      <c r="AD180" s="73"/>
      <c r="AE180" s="73"/>
      <c r="AF180" s="73"/>
      <c r="AG180" s="73"/>
      <c r="AH180" s="73"/>
      <c r="AI180" s="73"/>
      <c r="AJ180" s="73"/>
      <c r="AK180" s="73"/>
      <c r="AL180" s="73"/>
      <c r="AM180" s="73"/>
      <c r="AN180" s="73"/>
      <c r="AO180" s="73"/>
      <c r="AP180" s="73"/>
      <c r="AQ180" s="73"/>
      <c r="AR180" s="73"/>
      <c r="AS180" s="73"/>
    </row>
    <row r="181" spans="2:45" x14ac:dyDescent="0.25">
      <c r="B181" s="73"/>
      <c r="C181" s="73"/>
      <c r="D181" s="73"/>
      <c r="E181" s="73"/>
      <c r="F181" s="73"/>
      <c r="G181" s="73"/>
      <c r="H181" s="73"/>
      <c r="I181" s="183"/>
      <c r="J181" s="73"/>
      <c r="K181" s="73"/>
      <c r="L181" s="73"/>
      <c r="M181" s="73"/>
      <c r="N181" s="73"/>
      <c r="O181" s="73"/>
      <c r="P181" s="73"/>
      <c r="Q181" s="73"/>
      <c r="R181" s="73"/>
      <c r="S181" s="73"/>
      <c r="T181" s="73"/>
      <c r="U181" s="73"/>
      <c r="V181" s="73"/>
      <c r="W181" s="73"/>
      <c r="X181" s="73"/>
      <c r="Y181" s="73"/>
      <c r="Z181" s="73"/>
      <c r="AA181" s="73"/>
      <c r="AB181" s="73"/>
      <c r="AC181" s="73"/>
      <c r="AD181" s="73"/>
      <c r="AE181" s="73"/>
      <c r="AF181" s="73"/>
      <c r="AG181" s="73"/>
      <c r="AH181" s="73"/>
      <c r="AI181" s="73"/>
      <c r="AJ181" s="73"/>
      <c r="AK181" s="73"/>
      <c r="AL181" s="73"/>
      <c r="AM181" s="73"/>
      <c r="AN181" s="73"/>
      <c r="AO181" s="73"/>
      <c r="AP181" s="73"/>
      <c r="AQ181" s="73"/>
      <c r="AR181" s="73"/>
      <c r="AS181" s="73"/>
    </row>
    <row r="182" spans="2:45" x14ac:dyDescent="0.25">
      <c r="B182" s="73"/>
      <c r="C182" s="73"/>
      <c r="D182" s="73"/>
      <c r="E182" s="73"/>
      <c r="F182" s="73"/>
      <c r="G182" s="73"/>
      <c r="H182" s="73"/>
      <c r="I182" s="183"/>
      <c r="J182" s="73"/>
      <c r="K182" s="73"/>
      <c r="L182" s="73"/>
      <c r="M182" s="73"/>
      <c r="N182" s="73"/>
      <c r="O182" s="73"/>
      <c r="P182" s="73"/>
      <c r="Q182" s="73"/>
      <c r="R182" s="73"/>
      <c r="S182" s="73"/>
      <c r="T182" s="73"/>
      <c r="U182" s="73"/>
      <c r="V182" s="73"/>
      <c r="W182" s="73"/>
      <c r="X182" s="73"/>
      <c r="Y182" s="73"/>
      <c r="Z182" s="73"/>
      <c r="AA182" s="73"/>
      <c r="AB182" s="73"/>
      <c r="AC182" s="73"/>
      <c r="AD182" s="73"/>
      <c r="AE182" s="73"/>
      <c r="AF182" s="73"/>
      <c r="AG182" s="73"/>
      <c r="AH182" s="73"/>
      <c r="AI182" s="73"/>
      <c r="AJ182" s="73"/>
      <c r="AK182" s="73"/>
      <c r="AL182" s="73"/>
      <c r="AM182" s="73"/>
      <c r="AN182" s="73"/>
      <c r="AO182" s="73"/>
      <c r="AP182" s="73"/>
      <c r="AQ182" s="73"/>
      <c r="AR182" s="73"/>
      <c r="AS182" s="73"/>
    </row>
    <row r="183" spans="2:45" x14ac:dyDescent="0.25">
      <c r="B183" s="73"/>
      <c r="C183" s="73"/>
      <c r="D183" s="73"/>
      <c r="E183" s="73"/>
      <c r="F183" s="73"/>
      <c r="G183" s="73"/>
      <c r="H183" s="73"/>
      <c r="I183" s="183"/>
      <c r="J183" s="73"/>
      <c r="K183" s="73"/>
      <c r="L183" s="73"/>
      <c r="M183" s="73"/>
      <c r="N183" s="73"/>
      <c r="O183" s="73"/>
      <c r="P183" s="73"/>
      <c r="Q183" s="73"/>
      <c r="R183" s="73"/>
      <c r="S183" s="73"/>
      <c r="T183" s="73"/>
      <c r="U183" s="73"/>
      <c r="V183" s="73"/>
      <c r="W183" s="73"/>
      <c r="X183" s="73"/>
      <c r="Y183" s="73"/>
      <c r="Z183" s="73"/>
      <c r="AA183" s="73"/>
      <c r="AB183" s="73"/>
      <c r="AC183" s="73"/>
      <c r="AD183" s="73"/>
      <c r="AE183" s="73"/>
      <c r="AF183" s="73"/>
      <c r="AG183" s="73"/>
      <c r="AH183" s="73"/>
      <c r="AI183" s="73"/>
      <c r="AJ183" s="73"/>
      <c r="AK183" s="73"/>
      <c r="AL183" s="73"/>
      <c r="AM183" s="73"/>
      <c r="AN183" s="73"/>
      <c r="AO183" s="73"/>
      <c r="AP183" s="73"/>
      <c r="AQ183" s="73"/>
      <c r="AR183" s="73"/>
      <c r="AS183" s="73"/>
    </row>
  </sheetData>
  <mergeCells count="9">
    <mergeCell ref="AO2:AR2"/>
    <mergeCell ref="F2:I2"/>
    <mergeCell ref="K2:N2"/>
    <mergeCell ref="P2:S2"/>
    <mergeCell ref="B2:D2"/>
    <mergeCell ref="U2:X2"/>
    <mergeCell ref="Z2:AC2"/>
    <mergeCell ref="AE2:AH2"/>
    <mergeCell ref="AJ2:AM2"/>
  </mergeCells>
  <dataValidations count="1">
    <dataValidation type="decimal" allowBlank="1" showDropDown="1" showInputMessage="1" showErrorMessage="1" prompt="Enter a number between 0% and 100%" sqref="L4:L15 Q4:Q15 AP4:AP15" xr:uid="{C57718EB-4B5C-4077-8965-EBEDB97612EA}">
      <formula1>0</formula1>
      <formula2>1</formula2>
    </dataValidation>
  </dataValidations>
  <pageMargins left="0.511811024" right="0.511811024" top="0.78740157499999996" bottom="0.78740157499999996" header="0.31496062000000002" footer="0.31496062000000002"/>
  <pageSetup paperSize="9" orientation="portrait"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F526D52-3A18-4FE3-93B2-8CBAE8984D1C}">
          <x14:formula1>
            <xm:f>'C:\Users\michele.cerqueira\AppData\Local\Microsoft\Windows\INetCache\Content.Outlook\CUTOBPMD\[ESTUDOS DE MERCADO - AVALIAÇÕES FINAIS.xlsx]Parâmetros'!#REF!</xm:f>
          </x14:formula1>
          <xm:sqref>K4:K15 P4:P15 AO4:AO15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R56"/>
  <sheetViews>
    <sheetView zoomScale="60" zoomScaleNormal="60" workbookViewId="0">
      <pane xSplit="9" ySplit="3" topLeftCell="K8" activePane="bottomRight" state="frozen"/>
      <selection pane="topRight" activeCell="J1" sqref="J1"/>
      <selection pane="bottomLeft" activeCell="A4" sqref="A4"/>
      <selection pane="bottomRight" activeCell="S10" sqref="S10"/>
    </sheetView>
  </sheetViews>
  <sheetFormatPr defaultRowHeight="15" x14ac:dyDescent="0.25"/>
  <cols>
    <col min="1" max="1" width="4.28515625" style="73" customWidth="1"/>
    <col min="2" max="2" width="17.5703125" style="74" customWidth="1"/>
    <col min="3" max="3" width="18.85546875" style="74" customWidth="1"/>
    <col min="4" max="4" width="41.42578125" style="74" customWidth="1"/>
    <col min="5" max="5" width="2.42578125" style="74" hidden="1" customWidth="1"/>
    <col min="6" max="6" width="20.140625" style="74" hidden="1" customWidth="1"/>
    <col min="7" max="7" width="14.28515625" style="74" hidden="1" customWidth="1"/>
    <col min="8" max="8" width="9.140625" style="74" hidden="1" customWidth="1"/>
    <col min="9" max="9" width="52.85546875" style="110" hidden="1" customWidth="1"/>
    <col min="10" max="10" width="1.85546875" style="74" customWidth="1"/>
    <col min="11" max="11" width="10" style="74" customWidth="1"/>
    <col min="12" max="12" width="14.28515625" style="74" bestFit="1" customWidth="1"/>
    <col min="13" max="13" width="9.140625" style="74" customWidth="1"/>
    <col min="14" max="14" width="98.28515625" style="74" customWidth="1"/>
    <col min="15" max="15" width="1.5703125" style="74" customWidth="1"/>
    <col min="16" max="16" width="13.140625" style="74" customWidth="1"/>
    <col min="17" max="17" width="10.85546875" style="74" customWidth="1"/>
    <col min="18" max="18" width="9.140625" style="74" customWidth="1"/>
    <col min="19" max="19" width="120.140625" style="74" customWidth="1"/>
    <col min="20" max="20" width="3" style="74" customWidth="1"/>
    <col min="21" max="21" width="11.42578125" style="74" hidden="1" customWidth="1"/>
    <col min="22" max="23" width="0" style="74" hidden="1" customWidth="1"/>
    <col min="24" max="24" width="73.5703125" style="74" hidden="1" customWidth="1"/>
    <col min="25" max="25" width="0" style="74" hidden="1" customWidth="1"/>
    <col min="26" max="26" width="12.85546875" style="74" hidden="1" customWidth="1"/>
    <col min="27" max="28" width="13" style="74" hidden="1" customWidth="1"/>
    <col min="29" max="29" width="82.140625" style="74" hidden="1" customWidth="1"/>
    <col min="30" max="30" width="0" style="74" hidden="1" customWidth="1"/>
    <col min="31" max="31" width="13.42578125" style="74" hidden="1" customWidth="1"/>
    <col min="32" max="32" width="13.5703125" style="74" hidden="1" customWidth="1"/>
    <col min="33" max="33" width="0" style="74" hidden="1" customWidth="1"/>
    <col min="34" max="34" width="69.85546875" style="74" hidden="1" customWidth="1"/>
    <col min="35" max="35" width="0" style="74" hidden="1" customWidth="1"/>
    <col min="36" max="36" width="14.140625" style="74" hidden="1" customWidth="1"/>
    <col min="37" max="37" width="12.42578125" style="74" hidden="1" customWidth="1"/>
    <col min="38" max="38" width="0" style="74" hidden="1" customWidth="1"/>
    <col min="39" max="39" width="78" style="74" hidden="1" customWidth="1"/>
    <col min="40" max="40" width="0" style="74" hidden="1" customWidth="1"/>
    <col min="41" max="41" width="12.7109375" style="74" customWidth="1"/>
    <col min="42" max="43" width="9.140625" style="74"/>
    <col min="44" max="44" width="126.85546875" style="74" customWidth="1"/>
    <col min="45" max="16384" width="9.140625" style="74"/>
  </cols>
  <sheetData>
    <row r="1" spans="1:44" x14ac:dyDescent="0.25">
      <c r="I1" s="74"/>
    </row>
    <row r="2" spans="1:44" ht="39.75" customHeight="1" x14ac:dyDescent="0.25">
      <c r="B2" s="233" t="s">
        <v>16</v>
      </c>
      <c r="C2" s="233"/>
      <c r="D2" s="233"/>
      <c r="F2" s="232" t="s">
        <v>121</v>
      </c>
      <c r="G2" s="232"/>
      <c r="H2" s="232"/>
      <c r="I2" s="232"/>
      <c r="K2" s="234" t="s">
        <v>119</v>
      </c>
      <c r="L2" s="235"/>
      <c r="M2" s="235"/>
      <c r="N2" s="236"/>
      <c r="P2" s="233" t="s">
        <v>120</v>
      </c>
      <c r="Q2" s="233"/>
      <c r="R2" s="233"/>
      <c r="S2" s="233"/>
      <c r="U2" s="232" t="s">
        <v>122</v>
      </c>
      <c r="V2" s="232"/>
      <c r="W2" s="232"/>
      <c r="X2" s="232"/>
      <c r="Z2" s="232" t="s">
        <v>123</v>
      </c>
      <c r="AA2" s="232"/>
      <c r="AB2" s="232"/>
      <c r="AC2" s="232"/>
      <c r="AE2" s="232" t="s">
        <v>124</v>
      </c>
      <c r="AF2" s="232"/>
      <c r="AG2" s="232"/>
      <c r="AH2" s="232"/>
      <c r="AJ2" s="232" t="s">
        <v>125</v>
      </c>
      <c r="AK2" s="232"/>
      <c r="AL2" s="232"/>
      <c r="AM2" s="232"/>
      <c r="AO2" s="233" t="s">
        <v>1318</v>
      </c>
      <c r="AP2" s="233"/>
      <c r="AQ2" s="233"/>
      <c r="AR2" s="233"/>
    </row>
    <row r="3" spans="1:44" ht="66.75" customHeight="1" x14ac:dyDescent="0.25">
      <c r="B3" s="1" t="s">
        <v>0</v>
      </c>
      <c r="C3" s="1" t="s">
        <v>1</v>
      </c>
      <c r="D3" s="1" t="s">
        <v>2</v>
      </c>
      <c r="F3" s="2" t="s">
        <v>17</v>
      </c>
      <c r="G3" s="2" t="s">
        <v>18</v>
      </c>
      <c r="H3" s="2" t="s">
        <v>21</v>
      </c>
      <c r="I3" s="2" t="s">
        <v>19</v>
      </c>
      <c r="K3" s="2" t="s">
        <v>17</v>
      </c>
      <c r="L3" s="2" t="s">
        <v>18</v>
      </c>
      <c r="M3" s="2" t="s">
        <v>21</v>
      </c>
      <c r="N3" s="2" t="s">
        <v>19</v>
      </c>
      <c r="P3" s="2" t="s">
        <v>17</v>
      </c>
      <c r="Q3" s="2" t="s">
        <v>18</v>
      </c>
      <c r="R3" s="2" t="s">
        <v>21</v>
      </c>
      <c r="S3" s="2" t="s">
        <v>19</v>
      </c>
      <c r="U3" s="2" t="s">
        <v>17</v>
      </c>
      <c r="V3" s="2" t="s">
        <v>18</v>
      </c>
      <c r="W3" s="2" t="s">
        <v>21</v>
      </c>
      <c r="X3" s="2" t="s">
        <v>19</v>
      </c>
      <c r="Z3" s="2" t="s">
        <v>17</v>
      </c>
      <c r="AA3" s="2" t="s">
        <v>18</v>
      </c>
      <c r="AB3" s="2" t="s">
        <v>21</v>
      </c>
      <c r="AC3" s="2" t="s">
        <v>19</v>
      </c>
      <c r="AE3" s="2" t="s">
        <v>17</v>
      </c>
      <c r="AF3" s="2" t="s">
        <v>18</v>
      </c>
      <c r="AG3" s="2" t="s">
        <v>21</v>
      </c>
      <c r="AH3" s="2" t="s">
        <v>19</v>
      </c>
      <c r="AJ3" s="2" t="s">
        <v>17</v>
      </c>
      <c r="AK3" s="2" t="s">
        <v>18</v>
      </c>
      <c r="AL3" s="2" t="s">
        <v>21</v>
      </c>
      <c r="AM3" s="2" t="s">
        <v>19</v>
      </c>
      <c r="AO3" s="2" t="s">
        <v>17</v>
      </c>
      <c r="AP3" s="2" t="s">
        <v>18</v>
      </c>
      <c r="AQ3" s="2" t="s">
        <v>21</v>
      </c>
      <c r="AR3" s="2" t="s">
        <v>19</v>
      </c>
    </row>
    <row r="4" spans="1:44" ht="157.5" x14ac:dyDescent="0.25">
      <c r="A4" s="73">
        <v>1</v>
      </c>
      <c r="B4" s="78" t="s">
        <v>3</v>
      </c>
      <c r="C4" s="78" t="s">
        <v>4</v>
      </c>
      <c r="D4" s="78" t="s">
        <v>127</v>
      </c>
      <c r="F4" s="88"/>
      <c r="G4" s="89"/>
      <c r="H4" s="90">
        <f>F4*G4</f>
        <v>0</v>
      </c>
      <c r="I4" s="91"/>
      <c r="K4" s="83">
        <v>1</v>
      </c>
      <c r="L4" s="84">
        <v>0.99</v>
      </c>
      <c r="M4" s="85">
        <f>K4*L4</f>
        <v>0.99</v>
      </c>
      <c r="N4" s="87" t="s">
        <v>1197</v>
      </c>
      <c r="P4" s="115">
        <v>1</v>
      </c>
      <c r="Q4" s="163">
        <v>0.8</v>
      </c>
      <c r="R4" s="164">
        <f>P4*Q4</f>
        <v>0.8</v>
      </c>
      <c r="S4" s="87" t="s">
        <v>1283</v>
      </c>
      <c r="U4" s="88"/>
      <c r="V4" s="89"/>
      <c r="W4" s="90">
        <f>U4*V4</f>
        <v>0</v>
      </c>
      <c r="X4" s="91"/>
      <c r="Z4" s="88"/>
      <c r="AA4" s="89"/>
      <c r="AB4" s="90">
        <f>Z4*AA4</f>
        <v>0</v>
      </c>
      <c r="AC4" s="91"/>
      <c r="AE4" s="88"/>
      <c r="AF4" s="89"/>
      <c r="AG4" s="90">
        <f>AE4*AF4</f>
        <v>0</v>
      </c>
      <c r="AH4" s="91"/>
      <c r="AJ4" s="88"/>
      <c r="AK4" s="89"/>
      <c r="AL4" s="90">
        <f>AJ4*AK4</f>
        <v>0</v>
      </c>
      <c r="AM4" s="91"/>
      <c r="AO4" s="165">
        <v>1</v>
      </c>
      <c r="AP4" s="166">
        <v>0.38</v>
      </c>
      <c r="AQ4" s="167">
        <f>AO4*AP4</f>
        <v>0.38</v>
      </c>
      <c r="AR4" s="168" t="s">
        <v>1204</v>
      </c>
    </row>
    <row r="5" spans="1:44" ht="157.5" x14ac:dyDescent="0.25">
      <c r="A5" s="73">
        <v>2</v>
      </c>
      <c r="B5" s="78" t="s">
        <v>3</v>
      </c>
      <c r="C5" s="78" t="s">
        <v>4</v>
      </c>
      <c r="D5" s="78" t="s">
        <v>33</v>
      </c>
      <c r="F5" s="88"/>
      <c r="G5" s="89"/>
      <c r="H5" s="90">
        <f t="shared" ref="H5:H56" si="0">F5*G5</f>
        <v>0</v>
      </c>
      <c r="I5" s="91"/>
      <c r="K5" s="126">
        <v>1</v>
      </c>
      <c r="L5" s="127">
        <v>0.95</v>
      </c>
      <c r="M5" s="85">
        <f t="shared" ref="M5:M56" si="1">K5*L5</f>
        <v>0.95</v>
      </c>
      <c r="N5" s="144" t="s">
        <v>1179</v>
      </c>
      <c r="P5" s="169">
        <v>1</v>
      </c>
      <c r="Q5" s="170">
        <v>0.75</v>
      </c>
      <c r="R5" s="164">
        <f t="shared" ref="R5:R56" si="2">P5*Q5</f>
        <v>0.75</v>
      </c>
      <c r="S5" s="144" t="s">
        <v>1284</v>
      </c>
      <c r="U5" s="88"/>
      <c r="V5" s="89"/>
      <c r="W5" s="90">
        <f t="shared" ref="W5:W56" si="3">U5*V5</f>
        <v>0</v>
      </c>
      <c r="X5" s="91"/>
      <c r="Z5" s="88"/>
      <c r="AA5" s="89"/>
      <c r="AB5" s="90">
        <f t="shared" ref="AB5:AB56" si="4">Z5*AA5</f>
        <v>0</v>
      </c>
      <c r="AC5" s="91"/>
      <c r="AE5" s="88"/>
      <c r="AF5" s="89"/>
      <c r="AG5" s="90">
        <f t="shared" ref="AG5:AG56" si="5">AE5*AF5</f>
        <v>0</v>
      </c>
      <c r="AH5" s="91"/>
      <c r="AJ5" s="88"/>
      <c r="AK5" s="89"/>
      <c r="AL5" s="90">
        <f t="shared" ref="AL5:AL56" si="6">AJ5*AK5</f>
        <v>0</v>
      </c>
      <c r="AM5" s="91"/>
      <c r="AO5" s="171">
        <v>1</v>
      </c>
      <c r="AP5" s="172">
        <v>0.15</v>
      </c>
      <c r="AQ5" s="167">
        <f t="shared" ref="AQ5:AQ56" si="7">AO5*AP5</f>
        <v>0.15</v>
      </c>
      <c r="AR5" s="173" t="s">
        <v>1189</v>
      </c>
    </row>
    <row r="6" spans="1:44" ht="267.75" x14ac:dyDescent="0.25">
      <c r="A6" s="73">
        <v>3</v>
      </c>
      <c r="B6" s="78" t="s">
        <v>3</v>
      </c>
      <c r="C6" s="78" t="s">
        <v>4</v>
      </c>
      <c r="D6" s="78" t="s">
        <v>128</v>
      </c>
      <c r="F6" s="88"/>
      <c r="G6" s="89"/>
      <c r="H6" s="90">
        <f t="shared" si="0"/>
        <v>0</v>
      </c>
      <c r="I6" s="91"/>
      <c r="K6" s="83">
        <v>1</v>
      </c>
      <c r="L6" s="84">
        <v>1</v>
      </c>
      <c r="M6" s="85">
        <f t="shared" si="1"/>
        <v>1</v>
      </c>
      <c r="N6" s="87"/>
      <c r="P6" s="115">
        <v>1</v>
      </c>
      <c r="Q6" s="163">
        <v>0.93</v>
      </c>
      <c r="R6" s="164">
        <f t="shared" si="2"/>
        <v>0.93</v>
      </c>
      <c r="S6" s="87" t="s">
        <v>1326</v>
      </c>
      <c r="U6" s="88"/>
      <c r="V6" s="89"/>
      <c r="W6" s="90">
        <f t="shared" si="3"/>
        <v>0</v>
      </c>
      <c r="X6" s="91"/>
      <c r="Z6" s="88"/>
      <c r="AA6" s="89"/>
      <c r="AB6" s="90">
        <f t="shared" si="4"/>
        <v>0</v>
      </c>
      <c r="AC6" s="91"/>
      <c r="AE6" s="88"/>
      <c r="AF6" s="89"/>
      <c r="AG6" s="90">
        <f t="shared" si="5"/>
        <v>0</v>
      </c>
      <c r="AH6" s="91"/>
      <c r="AJ6" s="88"/>
      <c r="AK6" s="89"/>
      <c r="AL6" s="90">
        <f t="shared" si="6"/>
        <v>0</v>
      </c>
      <c r="AM6" s="91"/>
      <c r="AO6" s="165">
        <v>1</v>
      </c>
      <c r="AP6" s="166">
        <v>0.16</v>
      </c>
      <c r="AQ6" s="167">
        <f t="shared" si="7"/>
        <v>0.16</v>
      </c>
      <c r="AR6" s="174" t="s">
        <v>1590</v>
      </c>
    </row>
    <row r="7" spans="1:44" ht="204.75" x14ac:dyDescent="0.25">
      <c r="A7" s="73">
        <v>4</v>
      </c>
      <c r="B7" s="78" t="s">
        <v>3</v>
      </c>
      <c r="C7" s="78" t="s">
        <v>4</v>
      </c>
      <c r="D7" s="78" t="s">
        <v>34</v>
      </c>
      <c r="F7" s="88"/>
      <c r="G7" s="89"/>
      <c r="H7" s="90">
        <f t="shared" si="0"/>
        <v>0</v>
      </c>
      <c r="I7" s="91"/>
      <c r="K7" s="126">
        <v>1</v>
      </c>
      <c r="L7" s="127">
        <v>0.94499999999999995</v>
      </c>
      <c r="M7" s="85">
        <f t="shared" si="1"/>
        <v>0.94499999999999995</v>
      </c>
      <c r="N7" s="144" t="s">
        <v>1285</v>
      </c>
      <c r="P7" s="169">
        <v>1</v>
      </c>
      <c r="Q7" s="170">
        <v>0.9</v>
      </c>
      <c r="R7" s="164">
        <f t="shared" si="2"/>
        <v>0.9</v>
      </c>
      <c r="S7" s="144" t="s">
        <v>1286</v>
      </c>
      <c r="U7" s="88"/>
      <c r="V7" s="89"/>
      <c r="W7" s="90">
        <f t="shared" si="3"/>
        <v>0</v>
      </c>
      <c r="X7" s="91"/>
      <c r="Z7" s="88"/>
      <c r="AA7" s="89"/>
      <c r="AB7" s="90">
        <f t="shared" si="4"/>
        <v>0</v>
      </c>
      <c r="AC7" s="91"/>
      <c r="AE7" s="88"/>
      <c r="AF7" s="89"/>
      <c r="AG7" s="90">
        <f t="shared" si="5"/>
        <v>0</v>
      </c>
      <c r="AH7" s="91"/>
      <c r="AJ7" s="88"/>
      <c r="AK7" s="89"/>
      <c r="AL7" s="90">
        <f t="shared" si="6"/>
        <v>0</v>
      </c>
      <c r="AM7" s="91"/>
      <c r="AO7" s="171">
        <v>1</v>
      </c>
      <c r="AP7" s="172">
        <v>0.13</v>
      </c>
      <c r="AQ7" s="167">
        <f t="shared" si="7"/>
        <v>0.13</v>
      </c>
      <c r="AR7" s="175" t="s">
        <v>1601</v>
      </c>
    </row>
    <row r="8" spans="1:44" ht="141.75" x14ac:dyDescent="0.25">
      <c r="A8" s="73">
        <v>5</v>
      </c>
      <c r="B8" s="78" t="s">
        <v>3</v>
      </c>
      <c r="C8" s="78" t="s">
        <v>4</v>
      </c>
      <c r="D8" s="78" t="s">
        <v>35</v>
      </c>
      <c r="F8" s="88"/>
      <c r="G8" s="89"/>
      <c r="H8" s="90">
        <f t="shared" si="0"/>
        <v>0</v>
      </c>
      <c r="I8" s="91"/>
      <c r="K8" s="83">
        <v>1</v>
      </c>
      <c r="L8" s="84">
        <v>0.7</v>
      </c>
      <c r="M8" s="85">
        <f t="shared" si="1"/>
        <v>0.7</v>
      </c>
      <c r="N8" s="87" t="s">
        <v>1180</v>
      </c>
      <c r="P8" s="115">
        <v>1</v>
      </c>
      <c r="Q8" s="163">
        <v>0.8</v>
      </c>
      <c r="R8" s="164">
        <f t="shared" si="2"/>
        <v>0.8</v>
      </c>
      <c r="S8" s="87" t="s">
        <v>1287</v>
      </c>
      <c r="U8" s="88"/>
      <c r="V8" s="89"/>
      <c r="W8" s="90">
        <f t="shared" si="3"/>
        <v>0</v>
      </c>
      <c r="X8" s="96"/>
      <c r="Z8" s="88"/>
      <c r="AA8" s="89"/>
      <c r="AB8" s="90">
        <f t="shared" si="4"/>
        <v>0</v>
      </c>
      <c r="AC8" s="96"/>
      <c r="AE8" s="88"/>
      <c r="AF8" s="89"/>
      <c r="AG8" s="90">
        <f t="shared" si="5"/>
        <v>0</v>
      </c>
      <c r="AH8" s="96"/>
      <c r="AJ8" s="88"/>
      <c r="AK8" s="89"/>
      <c r="AL8" s="90">
        <f t="shared" si="6"/>
        <v>0</v>
      </c>
      <c r="AM8" s="96"/>
      <c r="AO8" s="165">
        <v>1</v>
      </c>
      <c r="AP8" s="166">
        <v>0.3</v>
      </c>
      <c r="AQ8" s="167">
        <f t="shared" si="7"/>
        <v>0.3</v>
      </c>
      <c r="AR8" s="168" t="s">
        <v>1190</v>
      </c>
    </row>
    <row r="9" spans="1:44" ht="252" x14ac:dyDescent="0.25">
      <c r="A9" s="73">
        <v>6</v>
      </c>
      <c r="B9" s="78" t="s">
        <v>3</v>
      </c>
      <c r="C9" s="78" t="s">
        <v>4</v>
      </c>
      <c r="D9" s="78" t="s">
        <v>129</v>
      </c>
      <c r="F9" s="88"/>
      <c r="G9" s="89"/>
      <c r="H9" s="90">
        <f t="shared" si="0"/>
        <v>0</v>
      </c>
      <c r="I9" s="96"/>
      <c r="K9" s="126">
        <v>1</v>
      </c>
      <c r="L9" s="127">
        <v>0.78</v>
      </c>
      <c r="M9" s="85">
        <f t="shared" si="1"/>
        <v>0.78</v>
      </c>
      <c r="N9" s="144" t="s">
        <v>1622</v>
      </c>
      <c r="P9" s="169">
        <v>1</v>
      </c>
      <c r="Q9" s="170">
        <v>0.95</v>
      </c>
      <c r="R9" s="164">
        <f t="shared" si="2"/>
        <v>0.95</v>
      </c>
      <c r="S9" s="144" t="s">
        <v>1633</v>
      </c>
      <c r="U9" s="88"/>
      <c r="V9" s="89"/>
      <c r="W9" s="90">
        <f t="shared" si="3"/>
        <v>0</v>
      </c>
      <c r="X9" s="96"/>
      <c r="Z9" s="88"/>
      <c r="AA9" s="89"/>
      <c r="AB9" s="90">
        <f t="shared" si="4"/>
        <v>0</v>
      </c>
      <c r="AC9" s="96"/>
      <c r="AE9" s="88"/>
      <c r="AF9" s="89"/>
      <c r="AG9" s="90">
        <f t="shared" si="5"/>
        <v>0</v>
      </c>
      <c r="AH9" s="96"/>
      <c r="AJ9" s="88"/>
      <c r="AK9" s="89"/>
      <c r="AL9" s="90">
        <f t="shared" si="6"/>
        <v>0</v>
      </c>
      <c r="AM9" s="96"/>
      <c r="AO9" s="171">
        <v>1</v>
      </c>
      <c r="AP9" s="172">
        <v>0.1</v>
      </c>
      <c r="AQ9" s="167">
        <f t="shared" si="7"/>
        <v>0.1</v>
      </c>
      <c r="AR9" s="173" t="s">
        <v>1611</v>
      </c>
    </row>
    <row r="10" spans="1:44" ht="110.25" x14ac:dyDescent="0.25">
      <c r="A10" s="73">
        <v>7</v>
      </c>
      <c r="B10" s="78" t="s">
        <v>3</v>
      </c>
      <c r="C10" s="78" t="s">
        <v>4</v>
      </c>
      <c r="D10" s="78" t="s">
        <v>36</v>
      </c>
      <c r="F10" s="88"/>
      <c r="G10" s="89"/>
      <c r="H10" s="90">
        <f t="shared" si="0"/>
        <v>0</v>
      </c>
      <c r="I10" s="91"/>
      <c r="K10" s="83">
        <v>1</v>
      </c>
      <c r="L10" s="84">
        <v>0.75</v>
      </c>
      <c r="M10" s="85">
        <f t="shared" si="1"/>
        <v>0.75</v>
      </c>
      <c r="N10" s="87" t="s">
        <v>1181</v>
      </c>
      <c r="P10" s="115">
        <v>1</v>
      </c>
      <c r="Q10" s="163">
        <v>0.7</v>
      </c>
      <c r="R10" s="164">
        <f t="shared" si="2"/>
        <v>0.7</v>
      </c>
      <c r="S10" s="87" t="s">
        <v>1184</v>
      </c>
      <c r="U10" s="88"/>
      <c r="V10" s="89"/>
      <c r="W10" s="90">
        <f t="shared" si="3"/>
        <v>0</v>
      </c>
      <c r="X10" s="91"/>
      <c r="Z10" s="88"/>
      <c r="AA10" s="89"/>
      <c r="AB10" s="90">
        <f t="shared" si="4"/>
        <v>0</v>
      </c>
      <c r="AC10" s="91"/>
      <c r="AE10" s="88"/>
      <c r="AF10" s="89"/>
      <c r="AG10" s="90">
        <f t="shared" si="5"/>
        <v>0</v>
      </c>
      <c r="AH10" s="91"/>
      <c r="AJ10" s="88"/>
      <c r="AK10" s="89"/>
      <c r="AL10" s="90">
        <f t="shared" si="6"/>
        <v>0</v>
      </c>
      <c r="AM10" s="91"/>
      <c r="AO10" s="165">
        <v>1</v>
      </c>
      <c r="AP10" s="166">
        <v>0.2</v>
      </c>
      <c r="AQ10" s="167">
        <f t="shared" si="7"/>
        <v>0.2</v>
      </c>
      <c r="AR10" s="168" t="s">
        <v>1191</v>
      </c>
    </row>
    <row r="11" spans="1:44" ht="78.75" x14ac:dyDescent="0.25">
      <c r="A11" s="73">
        <v>8</v>
      </c>
      <c r="B11" s="78" t="s">
        <v>3</v>
      </c>
      <c r="C11" s="78" t="s">
        <v>4</v>
      </c>
      <c r="D11" s="78" t="s">
        <v>64</v>
      </c>
      <c r="F11" s="88"/>
      <c r="G11" s="89"/>
      <c r="H11" s="90">
        <f t="shared" si="0"/>
        <v>0</v>
      </c>
      <c r="I11" s="96"/>
      <c r="K11" s="126">
        <v>1</v>
      </c>
      <c r="L11" s="127">
        <v>1</v>
      </c>
      <c r="M11" s="85">
        <f t="shared" si="1"/>
        <v>1</v>
      </c>
      <c r="N11" s="144"/>
      <c r="P11" s="169">
        <v>1</v>
      </c>
      <c r="Q11" s="170">
        <v>0.9</v>
      </c>
      <c r="R11" s="164">
        <f t="shared" si="2"/>
        <v>0.9</v>
      </c>
      <c r="S11" s="144" t="s">
        <v>1185</v>
      </c>
      <c r="U11" s="88"/>
      <c r="V11" s="89"/>
      <c r="W11" s="90">
        <f t="shared" si="3"/>
        <v>0</v>
      </c>
      <c r="X11" s="91"/>
      <c r="Z11" s="88"/>
      <c r="AA11" s="89"/>
      <c r="AB11" s="90">
        <f t="shared" si="4"/>
        <v>0</v>
      </c>
      <c r="AC11" s="91"/>
      <c r="AE11" s="88"/>
      <c r="AF11" s="89"/>
      <c r="AG11" s="90">
        <f t="shared" si="5"/>
        <v>0</v>
      </c>
      <c r="AH11" s="91"/>
      <c r="AJ11" s="88"/>
      <c r="AK11" s="89"/>
      <c r="AL11" s="90">
        <f t="shared" si="6"/>
        <v>0</v>
      </c>
      <c r="AM11" s="91"/>
      <c r="AO11" s="171">
        <v>1</v>
      </c>
      <c r="AP11" s="172">
        <v>0.15</v>
      </c>
      <c r="AQ11" s="167">
        <f t="shared" si="7"/>
        <v>0.15</v>
      </c>
      <c r="AR11" s="173" t="s">
        <v>1192</v>
      </c>
    </row>
    <row r="12" spans="1:44" ht="78.75" x14ac:dyDescent="0.25">
      <c r="A12" s="73">
        <v>9</v>
      </c>
      <c r="B12" s="78" t="s">
        <v>3</v>
      </c>
      <c r="C12" s="78" t="s">
        <v>5</v>
      </c>
      <c r="D12" s="78" t="s">
        <v>37</v>
      </c>
      <c r="F12" s="103"/>
      <c r="G12" s="104"/>
      <c r="H12" s="90">
        <f t="shared" si="0"/>
        <v>0</v>
      </c>
      <c r="I12" s="91"/>
      <c r="K12" s="83">
        <v>1</v>
      </c>
      <c r="L12" s="99">
        <v>0.54</v>
      </c>
      <c r="M12" s="85">
        <f t="shared" si="1"/>
        <v>0.54</v>
      </c>
      <c r="N12" s="87" t="s">
        <v>1288</v>
      </c>
      <c r="P12" s="115">
        <v>1</v>
      </c>
      <c r="Q12" s="163">
        <v>1</v>
      </c>
      <c r="R12" s="164">
        <f t="shared" si="2"/>
        <v>1</v>
      </c>
      <c r="S12" s="87"/>
      <c r="U12" s="88"/>
      <c r="V12" s="89"/>
      <c r="W12" s="90">
        <f t="shared" si="3"/>
        <v>0</v>
      </c>
      <c r="X12" s="91"/>
      <c r="Z12" s="88"/>
      <c r="AA12" s="89"/>
      <c r="AB12" s="90">
        <f t="shared" si="4"/>
        <v>0</v>
      </c>
      <c r="AC12" s="91"/>
      <c r="AE12" s="88"/>
      <c r="AF12" s="89"/>
      <c r="AG12" s="90">
        <f t="shared" si="5"/>
        <v>0</v>
      </c>
      <c r="AH12" s="91"/>
      <c r="AJ12" s="88"/>
      <c r="AK12" s="89"/>
      <c r="AL12" s="90">
        <f t="shared" si="6"/>
        <v>0</v>
      </c>
      <c r="AM12" s="91"/>
      <c r="AO12" s="165">
        <v>1</v>
      </c>
      <c r="AP12" s="166">
        <v>0.05</v>
      </c>
      <c r="AQ12" s="167">
        <f t="shared" si="7"/>
        <v>0.05</v>
      </c>
      <c r="AR12" s="168" t="s">
        <v>1205</v>
      </c>
    </row>
    <row r="13" spans="1:44" ht="126" x14ac:dyDescent="0.25">
      <c r="A13" s="73">
        <v>10</v>
      </c>
      <c r="B13" s="78" t="s">
        <v>3</v>
      </c>
      <c r="C13" s="78" t="s">
        <v>5</v>
      </c>
      <c r="D13" s="78" t="s">
        <v>38</v>
      </c>
      <c r="F13" s="103"/>
      <c r="G13" s="104"/>
      <c r="H13" s="90">
        <f t="shared" si="0"/>
        <v>0</v>
      </c>
      <c r="I13" s="91"/>
      <c r="K13" s="126">
        <v>1</v>
      </c>
      <c r="L13" s="127">
        <v>0.54</v>
      </c>
      <c r="M13" s="85">
        <f t="shared" si="1"/>
        <v>0.54</v>
      </c>
      <c r="N13" s="144" t="s">
        <v>1323</v>
      </c>
      <c r="P13" s="169">
        <v>1</v>
      </c>
      <c r="Q13" s="170">
        <v>1</v>
      </c>
      <c r="R13" s="164">
        <f t="shared" si="2"/>
        <v>1</v>
      </c>
      <c r="S13" s="144"/>
      <c r="U13" s="88"/>
      <c r="V13" s="89"/>
      <c r="W13" s="90">
        <f t="shared" si="3"/>
        <v>0</v>
      </c>
      <c r="X13" s="91"/>
      <c r="Z13" s="88"/>
      <c r="AA13" s="89"/>
      <c r="AB13" s="90">
        <f t="shared" si="4"/>
        <v>0</v>
      </c>
      <c r="AC13" s="91"/>
      <c r="AE13" s="88"/>
      <c r="AF13" s="89"/>
      <c r="AG13" s="90">
        <f t="shared" si="5"/>
        <v>0</v>
      </c>
      <c r="AH13" s="91"/>
      <c r="AJ13" s="88"/>
      <c r="AK13" s="89"/>
      <c r="AL13" s="90">
        <f t="shared" si="6"/>
        <v>0</v>
      </c>
      <c r="AM13" s="91"/>
      <c r="AO13" s="171">
        <v>1</v>
      </c>
      <c r="AP13" s="172">
        <v>0.23</v>
      </c>
      <c r="AQ13" s="167">
        <f t="shared" si="7"/>
        <v>0.23</v>
      </c>
      <c r="AR13" s="173" t="s">
        <v>1206</v>
      </c>
    </row>
    <row r="14" spans="1:44" ht="144.75" customHeight="1" x14ac:dyDescent="0.25">
      <c r="A14" s="73">
        <v>11</v>
      </c>
      <c r="B14" s="78" t="s">
        <v>3</v>
      </c>
      <c r="C14" s="78" t="s">
        <v>31</v>
      </c>
      <c r="D14" s="78" t="s">
        <v>39</v>
      </c>
      <c r="F14" s="103"/>
      <c r="G14" s="104"/>
      <c r="H14" s="90">
        <f t="shared" si="0"/>
        <v>0</v>
      </c>
      <c r="I14" s="91"/>
      <c r="K14" s="83">
        <v>1</v>
      </c>
      <c r="L14" s="84">
        <v>0.85</v>
      </c>
      <c r="M14" s="85">
        <f t="shared" si="1"/>
        <v>0.85</v>
      </c>
      <c r="N14" s="87" t="s">
        <v>1199</v>
      </c>
      <c r="P14" s="115">
        <v>1</v>
      </c>
      <c r="Q14" s="163">
        <v>1</v>
      </c>
      <c r="R14" s="164">
        <f t="shared" si="2"/>
        <v>1</v>
      </c>
      <c r="S14" s="87"/>
      <c r="U14" s="88"/>
      <c r="V14" s="89"/>
      <c r="W14" s="90">
        <f t="shared" si="3"/>
        <v>0</v>
      </c>
      <c r="X14" s="91"/>
      <c r="Z14" s="88"/>
      <c r="AA14" s="89"/>
      <c r="AB14" s="90">
        <f t="shared" si="4"/>
        <v>0</v>
      </c>
      <c r="AC14" s="91"/>
      <c r="AE14" s="88"/>
      <c r="AF14" s="89"/>
      <c r="AG14" s="90">
        <f t="shared" si="5"/>
        <v>0</v>
      </c>
      <c r="AH14" s="91"/>
      <c r="AJ14" s="88"/>
      <c r="AK14" s="89"/>
      <c r="AL14" s="90">
        <f t="shared" si="6"/>
        <v>0</v>
      </c>
      <c r="AM14" s="91"/>
      <c r="AO14" s="165">
        <v>1</v>
      </c>
      <c r="AP14" s="166">
        <v>0.15</v>
      </c>
      <c r="AQ14" s="167">
        <f t="shared" si="7"/>
        <v>0.15</v>
      </c>
      <c r="AR14" s="168" t="s">
        <v>1195</v>
      </c>
    </row>
    <row r="15" spans="1:44" ht="90" customHeight="1" x14ac:dyDescent="0.25">
      <c r="A15" s="73">
        <v>12</v>
      </c>
      <c r="B15" s="78" t="s">
        <v>3</v>
      </c>
      <c r="C15" s="78" t="s">
        <v>31</v>
      </c>
      <c r="D15" s="78" t="s">
        <v>40</v>
      </c>
      <c r="F15" s="88"/>
      <c r="G15" s="89"/>
      <c r="H15" s="90">
        <f t="shared" si="0"/>
        <v>0</v>
      </c>
      <c r="I15" s="91"/>
      <c r="K15" s="126">
        <v>1</v>
      </c>
      <c r="L15" s="127">
        <v>1</v>
      </c>
      <c r="M15" s="85">
        <f t="shared" si="1"/>
        <v>1</v>
      </c>
      <c r="N15" s="144"/>
      <c r="P15" s="169">
        <v>1</v>
      </c>
      <c r="Q15" s="170">
        <v>0.95</v>
      </c>
      <c r="R15" s="164">
        <f t="shared" si="2"/>
        <v>0.95</v>
      </c>
      <c r="S15" s="144" t="s">
        <v>1187</v>
      </c>
      <c r="U15" s="88"/>
      <c r="V15" s="89"/>
      <c r="W15" s="90">
        <f t="shared" si="3"/>
        <v>0</v>
      </c>
      <c r="X15" s="91"/>
      <c r="Z15" s="88"/>
      <c r="AA15" s="89"/>
      <c r="AB15" s="90">
        <f t="shared" si="4"/>
        <v>0</v>
      </c>
      <c r="AC15" s="91"/>
      <c r="AE15" s="88"/>
      <c r="AF15" s="89"/>
      <c r="AG15" s="90">
        <f t="shared" si="5"/>
        <v>0</v>
      </c>
      <c r="AH15" s="91"/>
      <c r="AJ15" s="88"/>
      <c r="AK15" s="89"/>
      <c r="AL15" s="90">
        <f t="shared" si="6"/>
        <v>0</v>
      </c>
      <c r="AM15" s="91"/>
      <c r="AO15" s="171">
        <v>1</v>
      </c>
      <c r="AP15" s="172">
        <v>0.5</v>
      </c>
      <c r="AQ15" s="167">
        <f t="shared" si="7"/>
        <v>0.5</v>
      </c>
      <c r="AR15" s="173" t="s">
        <v>1196</v>
      </c>
    </row>
    <row r="16" spans="1:44" ht="281.25" customHeight="1" x14ac:dyDescent="0.25">
      <c r="A16" s="73">
        <v>13</v>
      </c>
      <c r="B16" s="78" t="s">
        <v>6</v>
      </c>
      <c r="C16" s="78" t="s">
        <v>7</v>
      </c>
      <c r="D16" s="78" t="s">
        <v>41</v>
      </c>
      <c r="F16" s="88"/>
      <c r="G16" s="89"/>
      <c r="H16" s="90">
        <f t="shared" si="0"/>
        <v>0</v>
      </c>
      <c r="I16" s="91"/>
      <c r="K16" s="100">
        <v>1</v>
      </c>
      <c r="L16" s="101">
        <v>1</v>
      </c>
      <c r="M16" s="85">
        <f t="shared" si="1"/>
        <v>1</v>
      </c>
      <c r="N16" s="102" t="s">
        <v>253</v>
      </c>
      <c r="P16" s="143">
        <v>1</v>
      </c>
      <c r="Q16" s="176">
        <v>0.7</v>
      </c>
      <c r="R16" s="164">
        <f t="shared" si="2"/>
        <v>0.7</v>
      </c>
      <c r="S16" s="102" t="s">
        <v>270</v>
      </c>
      <c r="U16" s="88"/>
      <c r="V16" s="89"/>
      <c r="W16" s="90">
        <f t="shared" si="3"/>
        <v>0</v>
      </c>
      <c r="X16" s="91"/>
      <c r="Z16" s="88"/>
      <c r="AA16" s="89"/>
      <c r="AB16" s="90">
        <f t="shared" si="4"/>
        <v>0</v>
      </c>
      <c r="AC16" s="91"/>
      <c r="AE16" s="88"/>
      <c r="AF16" s="89"/>
      <c r="AG16" s="90">
        <f t="shared" si="5"/>
        <v>0</v>
      </c>
      <c r="AH16" s="91"/>
      <c r="AJ16" s="88"/>
      <c r="AK16" s="89"/>
      <c r="AL16" s="90">
        <f t="shared" si="6"/>
        <v>0</v>
      </c>
      <c r="AM16" s="91"/>
      <c r="AO16" s="177">
        <v>1</v>
      </c>
      <c r="AP16" s="178">
        <v>0.75</v>
      </c>
      <c r="AQ16" s="167">
        <f t="shared" si="7"/>
        <v>0.75</v>
      </c>
      <c r="AR16" s="179" t="s">
        <v>286</v>
      </c>
    </row>
    <row r="17" spans="1:44" ht="141.75" x14ac:dyDescent="0.25">
      <c r="A17" s="73">
        <v>14</v>
      </c>
      <c r="B17" s="78" t="s">
        <v>6</v>
      </c>
      <c r="C17" s="78" t="s">
        <v>7</v>
      </c>
      <c r="D17" s="78" t="s">
        <v>130</v>
      </c>
      <c r="F17" s="88"/>
      <c r="G17" s="89"/>
      <c r="H17" s="90">
        <f t="shared" si="0"/>
        <v>0</v>
      </c>
      <c r="I17" s="91"/>
      <c r="K17" s="100">
        <v>1</v>
      </c>
      <c r="L17" s="101">
        <v>1</v>
      </c>
      <c r="M17" s="85">
        <f t="shared" si="1"/>
        <v>1</v>
      </c>
      <c r="N17" s="102" t="s">
        <v>254</v>
      </c>
      <c r="P17" s="143">
        <v>1</v>
      </c>
      <c r="Q17" s="176">
        <v>0.45</v>
      </c>
      <c r="R17" s="164">
        <f t="shared" si="2"/>
        <v>0.45</v>
      </c>
      <c r="S17" s="102" t="s">
        <v>271</v>
      </c>
      <c r="U17" s="88"/>
      <c r="V17" s="89"/>
      <c r="W17" s="90">
        <f t="shared" si="3"/>
        <v>0</v>
      </c>
      <c r="X17" s="91"/>
      <c r="Z17" s="88"/>
      <c r="AA17" s="89"/>
      <c r="AB17" s="90">
        <f t="shared" si="4"/>
        <v>0</v>
      </c>
      <c r="AC17" s="91"/>
      <c r="AE17" s="88"/>
      <c r="AF17" s="89"/>
      <c r="AG17" s="90">
        <f t="shared" si="5"/>
        <v>0</v>
      </c>
      <c r="AH17" s="91"/>
      <c r="AJ17" s="88"/>
      <c r="AK17" s="89"/>
      <c r="AL17" s="90">
        <f t="shared" si="6"/>
        <v>0</v>
      </c>
      <c r="AM17" s="91"/>
      <c r="AO17" s="177">
        <v>1</v>
      </c>
      <c r="AP17" s="178">
        <v>0.4</v>
      </c>
      <c r="AQ17" s="167">
        <f t="shared" si="7"/>
        <v>0.4</v>
      </c>
      <c r="AR17" s="179" t="s">
        <v>287</v>
      </c>
    </row>
    <row r="18" spans="1:44" ht="78.75" x14ac:dyDescent="0.25">
      <c r="A18" s="73">
        <v>15</v>
      </c>
      <c r="B18" s="78" t="s">
        <v>6</v>
      </c>
      <c r="C18" s="78" t="s">
        <v>7</v>
      </c>
      <c r="D18" s="78" t="s">
        <v>131</v>
      </c>
      <c r="F18" s="88"/>
      <c r="G18" s="89"/>
      <c r="H18" s="90">
        <f t="shared" si="0"/>
        <v>0</v>
      </c>
      <c r="I18" s="91"/>
      <c r="K18" s="100">
        <v>1</v>
      </c>
      <c r="L18" s="101">
        <v>1</v>
      </c>
      <c r="M18" s="85">
        <f t="shared" si="1"/>
        <v>1</v>
      </c>
      <c r="N18" s="102" t="s">
        <v>255</v>
      </c>
      <c r="P18" s="143">
        <v>1</v>
      </c>
      <c r="Q18" s="176">
        <v>1</v>
      </c>
      <c r="R18" s="164">
        <f t="shared" si="2"/>
        <v>1</v>
      </c>
      <c r="S18" s="102" t="s">
        <v>272</v>
      </c>
      <c r="U18" s="88"/>
      <c r="V18" s="89"/>
      <c r="W18" s="90">
        <f t="shared" si="3"/>
        <v>0</v>
      </c>
      <c r="X18" s="91"/>
      <c r="Z18" s="88"/>
      <c r="AA18" s="89"/>
      <c r="AB18" s="90">
        <f t="shared" si="4"/>
        <v>0</v>
      </c>
      <c r="AC18" s="91"/>
      <c r="AE18" s="88"/>
      <c r="AF18" s="89"/>
      <c r="AG18" s="90">
        <f t="shared" si="5"/>
        <v>0</v>
      </c>
      <c r="AH18" s="91"/>
      <c r="AJ18" s="88"/>
      <c r="AK18" s="89"/>
      <c r="AL18" s="90">
        <f t="shared" si="6"/>
        <v>0</v>
      </c>
      <c r="AM18" s="91"/>
      <c r="AO18" s="177">
        <v>1</v>
      </c>
      <c r="AP18" s="178">
        <v>0.95</v>
      </c>
      <c r="AQ18" s="167">
        <f t="shared" si="7"/>
        <v>0.95</v>
      </c>
      <c r="AR18" s="102" t="s">
        <v>288</v>
      </c>
    </row>
    <row r="19" spans="1:44" ht="110.25" x14ac:dyDescent="0.25">
      <c r="A19" s="73">
        <v>16</v>
      </c>
      <c r="B19" s="78" t="s">
        <v>6</v>
      </c>
      <c r="C19" s="78" t="s">
        <v>7</v>
      </c>
      <c r="D19" s="78" t="s">
        <v>42</v>
      </c>
      <c r="F19" s="88"/>
      <c r="G19" s="89"/>
      <c r="H19" s="90">
        <f t="shared" si="0"/>
        <v>0</v>
      </c>
      <c r="I19" s="91"/>
      <c r="K19" s="100">
        <v>1</v>
      </c>
      <c r="L19" s="101">
        <v>1</v>
      </c>
      <c r="M19" s="85">
        <f t="shared" si="1"/>
        <v>1</v>
      </c>
      <c r="N19" s="102" t="s">
        <v>256</v>
      </c>
      <c r="P19" s="143">
        <v>1</v>
      </c>
      <c r="Q19" s="176">
        <v>1</v>
      </c>
      <c r="R19" s="164">
        <f t="shared" si="2"/>
        <v>1</v>
      </c>
      <c r="S19" s="102" t="s">
        <v>273</v>
      </c>
      <c r="U19" s="88"/>
      <c r="V19" s="89"/>
      <c r="W19" s="90">
        <f t="shared" si="3"/>
        <v>0</v>
      </c>
      <c r="X19" s="91"/>
      <c r="Z19" s="88"/>
      <c r="AA19" s="89"/>
      <c r="AB19" s="90">
        <f t="shared" si="4"/>
        <v>0</v>
      </c>
      <c r="AC19" s="91"/>
      <c r="AE19" s="88"/>
      <c r="AF19" s="89"/>
      <c r="AG19" s="90">
        <f t="shared" si="5"/>
        <v>0</v>
      </c>
      <c r="AH19" s="91"/>
      <c r="AJ19" s="88"/>
      <c r="AK19" s="89"/>
      <c r="AL19" s="90">
        <f t="shared" si="6"/>
        <v>0</v>
      </c>
      <c r="AM19" s="91"/>
      <c r="AO19" s="177">
        <v>1</v>
      </c>
      <c r="AP19" s="178">
        <v>0.95</v>
      </c>
      <c r="AQ19" s="167">
        <f t="shared" si="7"/>
        <v>0.95</v>
      </c>
      <c r="AR19" s="102" t="s">
        <v>239</v>
      </c>
    </row>
    <row r="20" spans="1:44" ht="204.75" x14ac:dyDescent="0.25">
      <c r="A20" s="73">
        <v>17</v>
      </c>
      <c r="B20" s="78" t="s">
        <v>6</v>
      </c>
      <c r="C20" s="78" t="s">
        <v>7</v>
      </c>
      <c r="D20" s="78" t="s">
        <v>43</v>
      </c>
      <c r="F20" s="88"/>
      <c r="G20" s="89"/>
      <c r="H20" s="90">
        <f t="shared" si="0"/>
        <v>0</v>
      </c>
      <c r="I20" s="91"/>
      <c r="K20" s="100">
        <v>1</v>
      </c>
      <c r="L20" s="101">
        <v>0.75</v>
      </c>
      <c r="M20" s="85">
        <f t="shared" si="1"/>
        <v>0.75</v>
      </c>
      <c r="N20" s="102" t="s">
        <v>257</v>
      </c>
      <c r="P20" s="143">
        <v>1</v>
      </c>
      <c r="Q20" s="176">
        <v>0.93</v>
      </c>
      <c r="R20" s="164">
        <f t="shared" si="2"/>
        <v>0.93</v>
      </c>
      <c r="S20" s="102" t="s">
        <v>274</v>
      </c>
      <c r="U20" s="88"/>
      <c r="V20" s="89"/>
      <c r="W20" s="90">
        <f t="shared" si="3"/>
        <v>0</v>
      </c>
      <c r="X20" s="91"/>
      <c r="Z20" s="88"/>
      <c r="AA20" s="89"/>
      <c r="AB20" s="90">
        <f t="shared" si="4"/>
        <v>0</v>
      </c>
      <c r="AC20" s="91"/>
      <c r="AE20" s="88"/>
      <c r="AF20" s="89"/>
      <c r="AG20" s="90">
        <f t="shared" si="5"/>
        <v>0</v>
      </c>
      <c r="AH20" s="91"/>
      <c r="AJ20" s="88"/>
      <c r="AK20" s="89"/>
      <c r="AL20" s="90">
        <f t="shared" si="6"/>
        <v>0</v>
      </c>
      <c r="AM20" s="91"/>
      <c r="AO20" s="177">
        <v>1</v>
      </c>
      <c r="AP20" s="178">
        <v>0.65</v>
      </c>
      <c r="AQ20" s="167">
        <f>AO20*AP20</f>
        <v>0.65</v>
      </c>
      <c r="AR20" s="179" t="s">
        <v>240</v>
      </c>
    </row>
    <row r="21" spans="1:44" ht="173.25" x14ac:dyDescent="0.25">
      <c r="A21" s="73">
        <v>18</v>
      </c>
      <c r="B21" s="78" t="s">
        <v>6</v>
      </c>
      <c r="C21" s="78" t="s">
        <v>7</v>
      </c>
      <c r="D21" s="78" t="s">
        <v>44</v>
      </c>
      <c r="F21" s="88"/>
      <c r="G21" s="89"/>
      <c r="H21" s="90">
        <f t="shared" si="0"/>
        <v>0</v>
      </c>
      <c r="I21" s="91"/>
      <c r="K21" s="100">
        <v>1</v>
      </c>
      <c r="L21" s="101">
        <v>0.75</v>
      </c>
      <c r="M21" s="85">
        <f t="shared" si="1"/>
        <v>0.75</v>
      </c>
      <c r="N21" s="102" t="s">
        <v>258</v>
      </c>
      <c r="P21" s="143">
        <v>1</v>
      </c>
      <c r="Q21" s="176">
        <v>0.7</v>
      </c>
      <c r="R21" s="164">
        <f t="shared" si="2"/>
        <v>0.7</v>
      </c>
      <c r="S21" s="102" t="s">
        <v>1324</v>
      </c>
      <c r="U21" s="88"/>
      <c r="V21" s="89"/>
      <c r="W21" s="90">
        <f t="shared" si="3"/>
        <v>0</v>
      </c>
      <c r="X21" s="91"/>
      <c r="Z21" s="88"/>
      <c r="AA21" s="89"/>
      <c r="AB21" s="90">
        <f t="shared" si="4"/>
        <v>0</v>
      </c>
      <c r="AC21" s="91"/>
      <c r="AE21" s="88"/>
      <c r="AF21" s="89"/>
      <c r="AG21" s="90">
        <f t="shared" si="5"/>
        <v>0</v>
      </c>
      <c r="AH21" s="91"/>
      <c r="AJ21" s="88"/>
      <c r="AK21" s="89"/>
      <c r="AL21" s="90">
        <f t="shared" si="6"/>
        <v>0</v>
      </c>
      <c r="AM21" s="91"/>
      <c r="AO21" s="177">
        <v>1</v>
      </c>
      <c r="AP21" s="178">
        <v>0.68</v>
      </c>
      <c r="AQ21" s="167">
        <f t="shared" ref="AQ21:AQ23" si="8">AO21*AP21</f>
        <v>0.68</v>
      </c>
      <c r="AR21" s="102" t="s">
        <v>289</v>
      </c>
    </row>
    <row r="22" spans="1:44" ht="126" x14ac:dyDescent="0.25">
      <c r="A22" s="73">
        <v>19</v>
      </c>
      <c r="B22" s="78" t="s">
        <v>6</v>
      </c>
      <c r="C22" s="78" t="s">
        <v>7</v>
      </c>
      <c r="D22" s="78" t="s">
        <v>45</v>
      </c>
      <c r="F22" s="88"/>
      <c r="G22" s="89"/>
      <c r="H22" s="90">
        <f t="shared" si="0"/>
        <v>0</v>
      </c>
      <c r="I22" s="91"/>
      <c r="K22" s="100">
        <v>1</v>
      </c>
      <c r="L22" s="101">
        <v>0.65</v>
      </c>
      <c r="M22" s="85">
        <f t="shared" si="1"/>
        <v>0.65</v>
      </c>
      <c r="N22" s="102" t="s">
        <v>259</v>
      </c>
      <c r="P22" s="143">
        <v>1</v>
      </c>
      <c r="Q22" s="176">
        <v>0.6</v>
      </c>
      <c r="R22" s="164">
        <f t="shared" si="2"/>
        <v>0.6</v>
      </c>
      <c r="S22" s="102" t="s">
        <v>275</v>
      </c>
      <c r="U22" s="88"/>
      <c r="V22" s="89"/>
      <c r="W22" s="90">
        <f t="shared" si="3"/>
        <v>0</v>
      </c>
      <c r="X22" s="91"/>
      <c r="Z22" s="88"/>
      <c r="AA22" s="89"/>
      <c r="AB22" s="90">
        <f t="shared" si="4"/>
        <v>0</v>
      </c>
      <c r="AC22" s="91"/>
      <c r="AE22" s="88"/>
      <c r="AF22" s="89"/>
      <c r="AG22" s="90">
        <f t="shared" si="5"/>
        <v>0</v>
      </c>
      <c r="AH22" s="91"/>
      <c r="AJ22" s="88"/>
      <c r="AK22" s="89"/>
      <c r="AL22" s="90">
        <f t="shared" si="6"/>
        <v>0</v>
      </c>
      <c r="AM22" s="91"/>
      <c r="AO22" s="177">
        <v>1</v>
      </c>
      <c r="AP22" s="178">
        <v>0.35</v>
      </c>
      <c r="AQ22" s="167">
        <f t="shared" si="8"/>
        <v>0.35</v>
      </c>
      <c r="AR22" s="179" t="s">
        <v>290</v>
      </c>
    </row>
    <row r="23" spans="1:44" ht="157.5" x14ac:dyDescent="0.25">
      <c r="A23" s="73">
        <v>20</v>
      </c>
      <c r="B23" s="78" t="s">
        <v>6</v>
      </c>
      <c r="C23" s="78" t="s">
        <v>7</v>
      </c>
      <c r="D23" s="78" t="s">
        <v>46</v>
      </c>
      <c r="F23" s="88"/>
      <c r="G23" s="89"/>
      <c r="H23" s="90">
        <f t="shared" si="0"/>
        <v>0</v>
      </c>
      <c r="I23" s="91"/>
      <c r="K23" s="100">
        <v>1</v>
      </c>
      <c r="L23" s="101">
        <v>0.65</v>
      </c>
      <c r="M23" s="85">
        <f t="shared" si="1"/>
        <v>0.65</v>
      </c>
      <c r="N23" s="102" t="s">
        <v>260</v>
      </c>
      <c r="P23" s="143">
        <v>1</v>
      </c>
      <c r="Q23" s="176">
        <v>0.5</v>
      </c>
      <c r="R23" s="164">
        <f t="shared" si="2"/>
        <v>0.5</v>
      </c>
      <c r="S23" s="102" t="s">
        <v>276</v>
      </c>
      <c r="U23" s="88"/>
      <c r="V23" s="89"/>
      <c r="W23" s="90">
        <f t="shared" si="3"/>
        <v>0</v>
      </c>
      <c r="X23" s="91"/>
      <c r="Z23" s="88"/>
      <c r="AA23" s="89"/>
      <c r="AB23" s="90">
        <f t="shared" si="4"/>
        <v>0</v>
      </c>
      <c r="AC23" s="91"/>
      <c r="AE23" s="88"/>
      <c r="AF23" s="89"/>
      <c r="AG23" s="90">
        <f t="shared" si="5"/>
        <v>0</v>
      </c>
      <c r="AH23" s="91"/>
      <c r="AJ23" s="88"/>
      <c r="AK23" s="89"/>
      <c r="AL23" s="90">
        <f t="shared" si="6"/>
        <v>0</v>
      </c>
      <c r="AM23" s="91"/>
      <c r="AO23" s="177">
        <v>1</v>
      </c>
      <c r="AP23" s="178">
        <v>0.3</v>
      </c>
      <c r="AQ23" s="167">
        <f t="shared" si="8"/>
        <v>0.3</v>
      </c>
      <c r="AR23" s="179" t="s">
        <v>243</v>
      </c>
    </row>
    <row r="24" spans="1:44" ht="110.25" x14ac:dyDescent="0.25">
      <c r="A24" s="73">
        <v>21</v>
      </c>
      <c r="B24" s="78" t="s">
        <v>6</v>
      </c>
      <c r="C24" s="78" t="s">
        <v>7</v>
      </c>
      <c r="D24" s="78" t="s">
        <v>47</v>
      </c>
      <c r="F24" s="88"/>
      <c r="G24" s="89"/>
      <c r="H24" s="90">
        <f t="shared" si="0"/>
        <v>0</v>
      </c>
      <c r="I24" s="91"/>
      <c r="J24" s="74" t="s">
        <v>30</v>
      </c>
      <c r="K24" s="100">
        <v>1</v>
      </c>
      <c r="L24" s="101">
        <v>0.98</v>
      </c>
      <c r="M24" s="85">
        <f t="shared" si="1"/>
        <v>0.98</v>
      </c>
      <c r="N24" s="102" t="s">
        <v>142</v>
      </c>
      <c r="P24" s="143">
        <v>1</v>
      </c>
      <c r="Q24" s="176">
        <v>0.9</v>
      </c>
      <c r="R24" s="164">
        <f t="shared" si="2"/>
        <v>0.9</v>
      </c>
      <c r="S24" s="102" t="s">
        <v>224</v>
      </c>
      <c r="U24" s="88"/>
      <c r="V24" s="89"/>
      <c r="W24" s="90">
        <f t="shared" si="3"/>
        <v>0</v>
      </c>
      <c r="X24" s="91"/>
      <c r="Z24" s="88"/>
      <c r="AA24" s="89"/>
      <c r="AB24" s="90">
        <f t="shared" si="4"/>
        <v>0</v>
      </c>
      <c r="AC24" s="91"/>
      <c r="AE24" s="88"/>
      <c r="AF24" s="89"/>
      <c r="AG24" s="90">
        <f t="shared" si="5"/>
        <v>0</v>
      </c>
      <c r="AH24" s="91"/>
      <c r="AJ24" s="88"/>
      <c r="AK24" s="89"/>
      <c r="AL24" s="90">
        <f t="shared" si="6"/>
        <v>0</v>
      </c>
      <c r="AM24" s="91"/>
      <c r="AO24" s="177">
        <v>1</v>
      </c>
      <c r="AP24" s="178">
        <v>0.95</v>
      </c>
      <c r="AQ24" s="167">
        <f t="shared" si="7"/>
        <v>0.95</v>
      </c>
      <c r="AR24" s="179" t="s">
        <v>185</v>
      </c>
    </row>
    <row r="25" spans="1:44" s="73" customFormat="1" ht="173.25" x14ac:dyDescent="0.25">
      <c r="A25" s="73">
        <v>22</v>
      </c>
      <c r="B25" s="78" t="s">
        <v>6</v>
      </c>
      <c r="C25" s="78" t="s">
        <v>8</v>
      </c>
      <c r="D25" s="78" t="s">
        <v>48</v>
      </c>
      <c r="F25" s="103"/>
      <c r="G25" s="104"/>
      <c r="H25" s="105">
        <f t="shared" si="0"/>
        <v>0</v>
      </c>
      <c r="I25" s="106"/>
      <c r="K25" s="100">
        <v>1</v>
      </c>
      <c r="L25" s="101">
        <v>1</v>
      </c>
      <c r="M25" s="85">
        <f t="shared" si="1"/>
        <v>1</v>
      </c>
      <c r="N25" s="102" t="s">
        <v>261</v>
      </c>
      <c r="P25" s="143">
        <v>1</v>
      </c>
      <c r="Q25" s="176">
        <v>0.9</v>
      </c>
      <c r="R25" s="164">
        <f t="shared" si="2"/>
        <v>0.9</v>
      </c>
      <c r="S25" s="102" t="s">
        <v>277</v>
      </c>
      <c r="U25" s="103"/>
      <c r="V25" s="104"/>
      <c r="W25" s="105">
        <f t="shared" si="3"/>
        <v>0</v>
      </c>
      <c r="X25" s="106"/>
      <c r="Z25" s="103"/>
      <c r="AA25" s="104"/>
      <c r="AB25" s="105">
        <f t="shared" si="4"/>
        <v>0</v>
      </c>
      <c r="AC25" s="106"/>
      <c r="AE25" s="103"/>
      <c r="AF25" s="104"/>
      <c r="AG25" s="105">
        <f t="shared" si="5"/>
        <v>0</v>
      </c>
      <c r="AH25" s="106"/>
      <c r="AJ25" s="103"/>
      <c r="AK25" s="104"/>
      <c r="AL25" s="105">
        <f t="shared" si="6"/>
        <v>0</v>
      </c>
      <c r="AM25" s="106"/>
      <c r="AO25" s="177">
        <v>1</v>
      </c>
      <c r="AP25" s="178">
        <v>0.5</v>
      </c>
      <c r="AQ25" s="167">
        <f t="shared" si="7"/>
        <v>0.5</v>
      </c>
      <c r="AR25" s="179" t="s">
        <v>291</v>
      </c>
    </row>
    <row r="26" spans="1:44" ht="94.5" x14ac:dyDescent="0.25">
      <c r="A26" s="73">
        <v>23</v>
      </c>
      <c r="B26" s="78" t="s">
        <v>6</v>
      </c>
      <c r="C26" s="78" t="s">
        <v>8</v>
      </c>
      <c r="D26" s="78" t="s">
        <v>49</v>
      </c>
      <c r="F26" s="88"/>
      <c r="G26" s="89"/>
      <c r="H26" s="90">
        <f t="shared" si="0"/>
        <v>0</v>
      </c>
      <c r="I26" s="91"/>
      <c r="K26" s="100">
        <v>1</v>
      </c>
      <c r="L26" s="101">
        <v>1</v>
      </c>
      <c r="M26" s="85">
        <f t="shared" si="1"/>
        <v>1</v>
      </c>
      <c r="N26" s="102" t="s">
        <v>144</v>
      </c>
      <c r="P26" s="143">
        <v>1</v>
      </c>
      <c r="Q26" s="176">
        <v>1</v>
      </c>
      <c r="R26" s="164">
        <f t="shared" si="2"/>
        <v>1</v>
      </c>
      <c r="S26" s="102" t="s">
        <v>278</v>
      </c>
      <c r="U26" s="88"/>
      <c r="V26" s="89"/>
      <c r="W26" s="90">
        <f t="shared" si="3"/>
        <v>0</v>
      </c>
      <c r="X26" s="91"/>
      <c r="Z26" s="88"/>
      <c r="AA26" s="89"/>
      <c r="AB26" s="90">
        <f t="shared" si="4"/>
        <v>0</v>
      </c>
      <c r="AC26" s="91"/>
      <c r="AE26" s="88"/>
      <c r="AF26" s="89"/>
      <c r="AG26" s="90">
        <f t="shared" si="5"/>
        <v>0</v>
      </c>
      <c r="AH26" s="91"/>
      <c r="AJ26" s="88"/>
      <c r="AK26" s="89"/>
      <c r="AL26" s="90">
        <f t="shared" si="6"/>
        <v>0</v>
      </c>
      <c r="AM26" s="91"/>
      <c r="AO26" s="177">
        <v>1</v>
      </c>
      <c r="AP26" s="178">
        <v>0.7</v>
      </c>
      <c r="AQ26" s="167">
        <f t="shared" si="7"/>
        <v>0.7</v>
      </c>
      <c r="AR26" s="179" t="s">
        <v>244</v>
      </c>
    </row>
    <row r="27" spans="1:44" ht="94.5" x14ac:dyDescent="0.25">
      <c r="A27" s="73">
        <v>24</v>
      </c>
      <c r="B27" s="78" t="s">
        <v>6</v>
      </c>
      <c r="C27" s="78" t="s">
        <v>8</v>
      </c>
      <c r="D27" s="78" t="s">
        <v>50</v>
      </c>
      <c r="F27" s="88"/>
      <c r="G27" s="89"/>
      <c r="H27" s="90">
        <f t="shared" si="0"/>
        <v>0</v>
      </c>
      <c r="I27" s="91"/>
      <c r="K27" s="100">
        <v>1</v>
      </c>
      <c r="L27" s="101">
        <v>0.99</v>
      </c>
      <c r="M27" s="85">
        <f t="shared" si="1"/>
        <v>0.99</v>
      </c>
      <c r="N27" s="102" t="s">
        <v>262</v>
      </c>
      <c r="P27" s="143">
        <v>1</v>
      </c>
      <c r="Q27" s="176">
        <v>1</v>
      </c>
      <c r="R27" s="164">
        <f t="shared" si="2"/>
        <v>1</v>
      </c>
      <c r="S27" s="102" t="s">
        <v>279</v>
      </c>
      <c r="U27" s="88"/>
      <c r="V27" s="89"/>
      <c r="W27" s="90">
        <f t="shared" si="3"/>
        <v>0</v>
      </c>
      <c r="X27" s="91"/>
      <c r="Z27" s="88"/>
      <c r="AA27" s="89"/>
      <c r="AB27" s="90">
        <f t="shared" si="4"/>
        <v>0</v>
      </c>
      <c r="AC27" s="91"/>
      <c r="AE27" s="88"/>
      <c r="AF27" s="89"/>
      <c r="AG27" s="90">
        <f t="shared" si="5"/>
        <v>0</v>
      </c>
      <c r="AH27" s="91"/>
      <c r="AJ27" s="88"/>
      <c r="AK27" s="89"/>
      <c r="AL27" s="90">
        <f t="shared" si="6"/>
        <v>0</v>
      </c>
      <c r="AM27" s="91"/>
      <c r="AO27" s="177">
        <v>1</v>
      </c>
      <c r="AP27" s="178">
        <v>0.7</v>
      </c>
      <c r="AQ27" s="167">
        <f t="shared" si="7"/>
        <v>0.7</v>
      </c>
      <c r="AR27" s="179" t="s">
        <v>292</v>
      </c>
    </row>
    <row r="28" spans="1:44" ht="330.75" x14ac:dyDescent="0.25">
      <c r="A28" s="73">
        <v>25</v>
      </c>
      <c r="B28" s="78" t="s">
        <v>6</v>
      </c>
      <c r="C28" s="78" t="s">
        <v>8</v>
      </c>
      <c r="D28" s="78" t="s">
        <v>51</v>
      </c>
      <c r="F28" s="88"/>
      <c r="G28" s="89"/>
      <c r="H28" s="90">
        <f t="shared" si="0"/>
        <v>0</v>
      </c>
      <c r="I28" s="91"/>
      <c r="K28" s="100">
        <v>1</v>
      </c>
      <c r="L28" s="101">
        <v>0.65</v>
      </c>
      <c r="M28" s="85">
        <f t="shared" si="1"/>
        <v>0.65</v>
      </c>
      <c r="N28" s="102" t="s">
        <v>263</v>
      </c>
      <c r="P28" s="143">
        <v>1</v>
      </c>
      <c r="Q28" s="176">
        <v>0.6</v>
      </c>
      <c r="R28" s="164">
        <f t="shared" si="2"/>
        <v>0.6</v>
      </c>
      <c r="S28" s="102" t="s">
        <v>1325</v>
      </c>
      <c r="U28" s="88"/>
      <c r="V28" s="89"/>
      <c r="W28" s="90">
        <f t="shared" si="3"/>
        <v>0</v>
      </c>
      <c r="X28" s="91"/>
      <c r="Z28" s="88"/>
      <c r="AA28" s="89"/>
      <c r="AB28" s="90">
        <f t="shared" si="4"/>
        <v>0</v>
      </c>
      <c r="AC28" s="91"/>
      <c r="AE28" s="88"/>
      <c r="AF28" s="89"/>
      <c r="AG28" s="90">
        <f t="shared" si="5"/>
        <v>0</v>
      </c>
      <c r="AH28" s="91"/>
      <c r="AJ28" s="88"/>
      <c r="AK28" s="89"/>
      <c r="AL28" s="90">
        <f t="shared" si="6"/>
        <v>0</v>
      </c>
      <c r="AM28" s="91"/>
      <c r="AO28" s="177">
        <v>1</v>
      </c>
      <c r="AP28" s="178">
        <v>0.6</v>
      </c>
      <c r="AQ28" s="167">
        <f t="shared" si="7"/>
        <v>0.6</v>
      </c>
      <c r="AR28" s="179" t="s">
        <v>293</v>
      </c>
    </row>
    <row r="29" spans="1:44" ht="126" x14ac:dyDescent="0.25">
      <c r="A29" s="73">
        <v>26</v>
      </c>
      <c r="B29" s="78" t="s">
        <v>6</v>
      </c>
      <c r="C29" s="78" t="s">
        <v>8</v>
      </c>
      <c r="D29" s="78" t="s">
        <v>52</v>
      </c>
      <c r="F29" s="88"/>
      <c r="G29" s="89"/>
      <c r="H29" s="90">
        <f t="shared" si="0"/>
        <v>0</v>
      </c>
      <c r="I29" s="91"/>
      <c r="K29" s="100">
        <v>1</v>
      </c>
      <c r="L29" s="101">
        <v>0.9</v>
      </c>
      <c r="M29" s="85">
        <f t="shared" si="1"/>
        <v>0.9</v>
      </c>
      <c r="N29" s="102" t="s">
        <v>264</v>
      </c>
      <c r="P29" s="143">
        <v>1</v>
      </c>
      <c r="Q29" s="176">
        <v>0.7</v>
      </c>
      <c r="R29" s="164">
        <f t="shared" si="2"/>
        <v>0.7</v>
      </c>
      <c r="S29" s="102" t="s">
        <v>280</v>
      </c>
      <c r="U29" s="88"/>
      <c r="V29" s="89"/>
      <c r="W29" s="90">
        <f t="shared" si="3"/>
        <v>0</v>
      </c>
      <c r="X29" s="96"/>
      <c r="Z29" s="88"/>
      <c r="AA29" s="89"/>
      <c r="AB29" s="90">
        <f t="shared" si="4"/>
        <v>0</v>
      </c>
      <c r="AC29" s="96"/>
      <c r="AE29" s="88"/>
      <c r="AF29" s="89"/>
      <c r="AG29" s="90">
        <f t="shared" si="5"/>
        <v>0</v>
      </c>
      <c r="AH29" s="96"/>
      <c r="AJ29" s="88"/>
      <c r="AK29" s="89"/>
      <c r="AL29" s="90">
        <f t="shared" si="6"/>
        <v>0</v>
      </c>
      <c r="AM29" s="96"/>
      <c r="AO29" s="177">
        <v>1</v>
      </c>
      <c r="AP29" s="178">
        <v>0.75</v>
      </c>
      <c r="AQ29" s="167">
        <f t="shared" si="7"/>
        <v>0.75</v>
      </c>
      <c r="AR29" s="179" t="s">
        <v>294</v>
      </c>
    </row>
    <row r="30" spans="1:44" ht="252" x14ac:dyDescent="0.25">
      <c r="A30" s="73">
        <v>27</v>
      </c>
      <c r="B30" s="78" t="s">
        <v>6</v>
      </c>
      <c r="C30" s="78" t="s">
        <v>8</v>
      </c>
      <c r="D30" s="78" t="s">
        <v>53</v>
      </c>
      <c r="F30" s="88"/>
      <c r="G30" s="89"/>
      <c r="H30" s="90">
        <f t="shared" si="0"/>
        <v>0</v>
      </c>
      <c r="I30" s="91"/>
      <c r="K30" s="100">
        <v>1</v>
      </c>
      <c r="L30" s="107">
        <v>1</v>
      </c>
      <c r="M30" s="85">
        <f t="shared" si="1"/>
        <v>1</v>
      </c>
      <c r="N30" s="102"/>
      <c r="P30" s="143">
        <v>1</v>
      </c>
      <c r="Q30" s="176">
        <v>0.6</v>
      </c>
      <c r="R30" s="164">
        <f t="shared" si="2"/>
        <v>0.6</v>
      </c>
      <c r="S30" s="102" t="s">
        <v>281</v>
      </c>
      <c r="U30" s="88"/>
      <c r="V30" s="89"/>
      <c r="W30" s="90">
        <f t="shared" si="3"/>
        <v>0</v>
      </c>
      <c r="X30" s="91"/>
      <c r="Z30" s="88"/>
      <c r="AA30" s="89"/>
      <c r="AB30" s="90">
        <f t="shared" si="4"/>
        <v>0</v>
      </c>
      <c r="AC30" s="91"/>
      <c r="AE30" s="88"/>
      <c r="AF30" s="89"/>
      <c r="AG30" s="90">
        <f t="shared" si="5"/>
        <v>0</v>
      </c>
      <c r="AH30" s="91"/>
      <c r="AJ30" s="88"/>
      <c r="AK30" s="89"/>
      <c r="AL30" s="90">
        <f t="shared" si="6"/>
        <v>0</v>
      </c>
      <c r="AM30" s="91"/>
      <c r="AO30" s="177">
        <v>1</v>
      </c>
      <c r="AP30" s="178">
        <v>1</v>
      </c>
      <c r="AQ30" s="167">
        <f t="shared" si="7"/>
        <v>1</v>
      </c>
      <c r="AR30" s="179"/>
    </row>
    <row r="31" spans="1:44" ht="126" x14ac:dyDescent="0.25">
      <c r="A31" s="73">
        <v>28</v>
      </c>
      <c r="B31" s="78" t="s">
        <v>6</v>
      </c>
      <c r="C31" s="78" t="s">
        <v>8</v>
      </c>
      <c r="D31" s="78" t="s">
        <v>54</v>
      </c>
      <c r="F31" s="88"/>
      <c r="G31" s="89"/>
      <c r="H31" s="90">
        <f t="shared" si="0"/>
        <v>0</v>
      </c>
      <c r="I31" s="91"/>
      <c r="K31" s="100">
        <v>1</v>
      </c>
      <c r="L31" s="101">
        <v>1</v>
      </c>
      <c r="M31" s="85">
        <f t="shared" si="1"/>
        <v>1</v>
      </c>
      <c r="N31" s="102" t="s">
        <v>148</v>
      </c>
      <c r="P31" s="143">
        <v>1</v>
      </c>
      <c r="Q31" s="176">
        <v>1</v>
      </c>
      <c r="R31" s="164">
        <f t="shared" si="2"/>
        <v>1</v>
      </c>
      <c r="S31" s="102" t="s">
        <v>282</v>
      </c>
      <c r="U31" s="88"/>
      <c r="V31" s="89"/>
      <c r="W31" s="90">
        <f t="shared" si="3"/>
        <v>0</v>
      </c>
      <c r="X31" s="91"/>
      <c r="Z31" s="88"/>
      <c r="AA31" s="89"/>
      <c r="AB31" s="90">
        <f t="shared" si="4"/>
        <v>0</v>
      </c>
      <c r="AC31" s="91"/>
      <c r="AE31" s="88"/>
      <c r="AF31" s="89"/>
      <c r="AG31" s="90">
        <f t="shared" si="5"/>
        <v>0</v>
      </c>
      <c r="AH31" s="91"/>
      <c r="AJ31" s="88"/>
      <c r="AK31" s="89"/>
      <c r="AL31" s="90">
        <f t="shared" si="6"/>
        <v>0</v>
      </c>
      <c r="AM31" s="91"/>
      <c r="AO31" s="177">
        <v>1</v>
      </c>
      <c r="AP31" s="178">
        <v>1</v>
      </c>
      <c r="AQ31" s="167">
        <f t="shared" si="7"/>
        <v>1</v>
      </c>
      <c r="AR31" s="179" t="s">
        <v>295</v>
      </c>
    </row>
    <row r="32" spans="1:44" ht="141.75" x14ac:dyDescent="0.25">
      <c r="A32" s="73">
        <v>29</v>
      </c>
      <c r="B32" s="78" t="s">
        <v>6</v>
      </c>
      <c r="C32" s="78" t="s">
        <v>8</v>
      </c>
      <c r="D32" s="78" t="s">
        <v>55</v>
      </c>
      <c r="F32" s="88"/>
      <c r="G32" s="89"/>
      <c r="H32" s="90">
        <f t="shared" si="0"/>
        <v>0</v>
      </c>
      <c r="I32" s="91"/>
      <c r="K32" s="100">
        <v>1</v>
      </c>
      <c r="L32" s="101">
        <v>0.95</v>
      </c>
      <c r="M32" s="85">
        <f t="shared" si="1"/>
        <v>0.95</v>
      </c>
      <c r="N32" s="102" t="s">
        <v>265</v>
      </c>
      <c r="P32" s="143">
        <v>1</v>
      </c>
      <c r="Q32" s="176">
        <v>0.75</v>
      </c>
      <c r="R32" s="164">
        <f t="shared" si="2"/>
        <v>0.75</v>
      </c>
      <c r="S32" s="102" t="s">
        <v>1327</v>
      </c>
      <c r="U32" s="88"/>
      <c r="V32" s="89"/>
      <c r="W32" s="90">
        <f t="shared" si="3"/>
        <v>0</v>
      </c>
      <c r="X32" s="91"/>
      <c r="Z32" s="88"/>
      <c r="AA32" s="89"/>
      <c r="AB32" s="90">
        <f t="shared" si="4"/>
        <v>0</v>
      </c>
      <c r="AC32" s="91"/>
      <c r="AE32" s="88"/>
      <c r="AF32" s="89"/>
      <c r="AG32" s="90">
        <f t="shared" si="5"/>
        <v>0</v>
      </c>
      <c r="AH32" s="91"/>
      <c r="AJ32" s="88"/>
      <c r="AK32" s="89"/>
      <c r="AL32" s="90">
        <f t="shared" si="6"/>
        <v>0</v>
      </c>
      <c r="AM32" s="91"/>
      <c r="AO32" s="177">
        <v>1</v>
      </c>
      <c r="AP32" s="178">
        <v>0.7</v>
      </c>
      <c r="AQ32" s="167">
        <f t="shared" si="7"/>
        <v>0.7</v>
      </c>
      <c r="AR32" s="179" t="s">
        <v>296</v>
      </c>
    </row>
    <row r="33" spans="1:44" ht="94.5" x14ac:dyDescent="0.25">
      <c r="A33" s="73">
        <v>30</v>
      </c>
      <c r="B33" s="78" t="s">
        <v>6</v>
      </c>
      <c r="C33" s="78" t="s">
        <v>8</v>
      </c>
      <c r="D33" s="78" t="s">
        <v>56</v>
      </c>
      <c r="F33" s="88"/>
      <c r="G33" s="89"/>
      <c r="H33" s="90">
        <f t="shared" si="0"/>
        <v>0</v>
      </c>
      <c r="I33" s="91"/>
      <c r="K33" s="100">
        <v>1</v>
      </c>
      <c r="L33" s="101">
        <v>1</v>
      </c>
      <c r="M33" s="85">
        <f t="shared" si="1"/>
        <v>1</v>
      </c>
      <c r="N33" s="102" t="s">
        <v>266</v>
      </c>
      <c r="P33" s="143">
        <v>1</v>
      </c>
      <c r="Q33" s="176">
        <v>0.5</v>
      </c>
      <c r="R33" s="164">
        <f t="shared" si="2"/>
        <v>0.5</v>
      </c>
      <c r="S33" s="102" t="s">
        <v>172</v>
      </c>
      <c r="U33" s="88"/>
      <c r="V33" s="89"/>
      <c r="W33" s="90">
        <f t="shared" si="3"/>
        <v>0</v>
      </c>
      <c r="X33" s="91"/>
      <c r="Z33" s="88"/>
      <c r="AA33" s="89"/>
      <c r="AB33" s="90">
        <f t="shared" si="4"/>
        <v>0</v>
      </c>
      <c r="AC33" s="91"/>
      <c r="AE33" s="88"/>
      <c r="AF33" s="89"/>
      <c r="AG33" s="90">
        <f t="shared" si="5"/>
        <v>0</v>
      </c>
      <c r="AH33" s="91"/>
      <c r="AJ33" s="88"/>
      <c r="AK33" s="89"/>
      <c r="AL33" s="90">
        <f t="shared" si="6"/>
        <v>0</v>
      </c>
      <c r="AM33" s="91"/>
      <c r="AO33" s="177">
        <v>1</v>
      </c>
      <c r="AP33" s="178">
        <v>0.5</v>
      </c>
      <c r="AQ33" s="167">
        <f t="shared" si="7"/>
        <v>0.5</v>
      </c>
      <c r="AR33" s="179" t="s">
        <v>193</v>
      </c>
    </row>
    <row r="34" spans="1:44" ht="94.5" customHeight="1" x14ac:dyDescent="0.25">
      <c r="A34" s="73">
        <v>31</v>
      </c>
      <c r="B34" s="180" t="s">
        <v>6</v>
      </c>
      <c r="C34" s="180" t="s">
        <v>9</v>
      </c>
      <c r="D34" s="181" t="s">
        <v>57</v>
      </c>
      <c r="F34" s="88"/>
      <c r="G34" s="89"/>
      <c r="H34" s="90">
        <f t="shared" si="0"/>
        <v>0</v>
      </c>
      <c r="I34" s="91"/>
      <c r="K34" s="100">
        <v>1</v>
      </c>
      <c r="L34" s="101">
        <v>0.62</v>
      </c>
      <c r="M34" s="85">
        <f t="shared" si="1"/>
        <v>0.62</v>
      </c>
      <c r="N34" s="102" t="s">
        <v>267</v>
      </c>
      <c r="P34" s="143">
        <v>1</v>
      </c>
      <c r="Q34" s="176">
        <v>0.3</v>
      </c>
      <c r="R34" s="164">
        <f t="shared" si="2"/>
        <v>0.3</v>
      </c>
      <c r="S34" s="102" t="s">
        <v>283</v>
      </c>
      <c r="U34" s="88"/>
      <c r="V34" s="89"/>
      <c r="W34" s="90">
        <f t="shared" si="3"/>
        <v>0</v>
      </c>
      <c r="X34" s="91"/>
      <c r="Z34" s="88"/>
      <c r="AA34" s="89"/>
      <c r="AB34" s="90">
        <f t="shared" si="4"/>
        <v>0</v>
      </c>
      <c r="AC34" s="91"/>
      <c r="AE34" s="88"/>
      <c r="AF34" s="89"/>
      <c r="AG34" s="90">
        <f t="shared" si="5"/>
        <v>0</v>
      </c>
      <c r="AH34" s="91"/>
      <c r="AJ34" s="88"/>
      <c r="AK34" s="89"/>
      <c r="AL34" s="90">
        <f t="shared" si="6"/>
        <v>0</v>
      </c>
      <c r="AM34" s="91"/>
      <c r="AO34" s="177">
        <v>1</v>
      </c>
      <c r="AP34" s="178">
        <v>0.5</v>
      </c>
      <c r="AQ34" s="167">
        <f t="shared" si="7"/>
        <v>0.5</v>
      </c>
      <c r="AR34" s="179" t="s">
        <v>250</v>
      </c>
    </row>
    <row r="35" spans="1:44" ht="110.25" x14ac:dyDescent="0.25">
      <c r="A35" s="73">
        <v>32</v>
      </c>
      <c r="B35" s="78" t="s">
        <v>6</v>
      </c>
      <c r="C35" s="78" t="s">
        <v>9</v>
      </c>
      <c r="D35" s="102" t="s">
        <v>58</v>
      </c>
      <c r="F35" s="88"/>
      <c r="G35" s="89"/>
      <c r="H35" s="90">
        <f t="shared" si="0"/>
        <v>0</v>
      </c>
      <c r="I35" s="96"/>
      <c r="K35" s="100">
        <v>1</v>
      </c>
      <c r="L35" s="101">
        <v>0.9</v>
      </c>
      <c r="M35" s="85">
        <f t="shared" si="1"/>
        <v>0.9</v>
      </c>
      <c r="N35" s="102" t="s">
        <v>268</v>
      </c>
      <c r="P35" s="143">
        <v>1</v>
      </c>
      <c r="Q35" s="176">
        <v>0.7</v>
      </c>
      <c r="R35" s="164">
        <f t="shared" si="2"/>
        <v>0.7</v>
      </c>
      <c r="S35" s="102" t="s">
        <v>231</v>
      </c>
      <c r="U35" s="88"/>
      <c r="V35" s="89"/>
      <c r="W35" s="90">
        <f t="shared" si="3"/>
        <v>0</v>
      </c>
      <c r="X35" s="91"/>
      <c r="Z35" s="88"/>
      <c r="AA35" s="89"/>
      <c r="AB35" s="90">
        <f t="shared" si="4"/>
        <v>0</v>
      </c>
      <c r="AC35" s="91"/>
      <c r="AE35" s="88"/>
      <c r="AF35" s="89"/>
      <c r="AG35" s="90">
        <f t="shared" si="5"/>
        <v>0</v>
      </c>
      <c r="AH35" s="91"/>
      <c r="AJ35" s="88"/>
      <c r="AK35" s="89"/>
      <c r="AL35" s="90">
        <f t="shared" si="6"/>
        <v>0</v>
      </c>
      <c r="AM35" s="91"/>
      <c r="AO35" s="177">
        <v>1</v>
      </c>
      <c r="AP35" s="178">
        <v>0.5</v>
      </c>
      <c r="AQ35" s="167">
        <f t="shared" si="7"/>
        <v>0.5</v>
      </c>
      <c r="AR35" s="179" t="s">
        <v>195</v>
      </c>
    </row>
    <row r="36" spans="1:44" ht="157.5" x14ac:dyDescent="0.25">
      <c r="A36" s="73">
        <v>33</v>
      </c>
      <c r="B36" s="78" t="s">
        <v>6</v>
      </c>
      <c r="C36" s="78" t="s">
        <v>9</v>
      </c>
      <c r="D36" s="78" t="s">
        <v>59</v>
      </c>
      <c r="F36" s="88"/>
      <c r="G36" s="89"/>
      <c r="H36" s="90">
        <f t="shared" si="0"/>
        <v>0</v>
      </c>
      <c r="I36" s="91"/>
      <c r="K36" s="100">
        <v>1</v>
      </c>
      <c r="L36" s="101">
        <v>1</v>
      </c>
      <c r="M36" s="85">
        <f t="shared" si="1"/>
        <v>1</v>
      </c>
      <c r="N36" s="102"/>
      <c r="P36" s="143">
        <v>1</v>
      </c>
      <c r="Q36" s="176">
        <v>0.5</v>
      </c>
      <c r="R36" s="164">
        <f t="shared" si="2"/>
        <v>0.5</v>
      </c>
      <c r="S36" s="102" t="s">
        <v>284</v>
      </c>
      <c r="U36" s="88"/>
      <c r="V36" s="89"/>
      <c r="W36" s="90">
        <f t="shared" si="3"/>
        <v>0</v>
      </c>
      <c r="X36" s="91"/>
      <c r="Z36" s="88"/>
      <c r="AA36" s="89"/>
      <c r="AB36" s="90">
        <f t="shared" si="4"/>
        <v>0</v>
      </c>
      <c r="AC36" s="91"/>
      <c r="AE36" s="88"/>
      <c r="AF36" s="89"/>
      <c r="AG36" s="90">
        <f t="shared" si="5"/>
        <v>0</v>
      </c>
      <c r="AH36" s="91"/>
      <c r="AJ36" s="88"/>
      <c r="AK36" s="89"/>
      <c r="AL36" s="90">
        <f t="shared" si="6"/>
        <v>0</v>
      </c>
      <c r="AM36" s="91"/>
      <c r="AO36" s="177">
        <v>1</v>
      </c>
      <c r="AP36" s="178">
        <v>0.8</v>
      </c>
      <c r="AQ36" s="167">
        <f t="shared" si="7"/>
        <v>0.8</v>
      </c>
      <c r="AR36" s="179" t="s">
        <v>196</v>
      </c>
    </row>
    <row r="37" spans="1:44" ht="141.75" x14ac:dyDescent="0.25">
      <c r="A37" s="73">
        <v>34</v>
      </c>
      <c r="B37" s="78" t="s">
        <v>6</v>
      </c>
      <c r="C37" s="78" t="s">
        <v>9</v>
      </c>
      <c r="D37" s="78" t="s">
        <v>60</v>
      </c>
      <c r="F37" s="88"/>
      <c r="G37" s="89"/>
      <c r="H37" s="90">
        <f t="shared" si="0"/>
        <v>0</v>
      </c>
      <c r="I37" s="91"/>
      <c r="K37" s="100">
        <v>1</v>
      </c>
      <c r="L37" s="101">
        <v>0.96</v>
      </c>
      <c r="M37" s="85">
        <f t="shared" si="1"/>
        <v>0.96</v>
      </c>
      <c r="N37" s="102" t="s">
        <v>269</v>
      </c>
      <c r="P37" s="143">
        <v>1</v>
      </c>
      <c r="Q37" s="176">
        <v>1</v>
      </c>
      <c r="R37" s="164">
        <f t="shared" si="2"/>
        <v>1</v>
      </c>
      <c r="S37" s="102" t="s">
        <v>176</v>
      </c>
      <c r="U37" s="88"/>
      <c r="V37" s="89"/>
      <c r="W37" s="90">
        <f t="shared" si="3"/>
        <v>0</v>
      </c>
      <c r="X37" s="91"/>
      <c r="Z37" s="88"/>
      <c r="AA37" s="89"/>
      <c r="AB37" s="90">
        <f t="shared" si="4"/>
        <v>0</v>
      </c>
      <c r="AC37" s="91"/>
      <c r="AE37" s="88"/>
      <c r="AF37" s="89"/>
      <c r="AG37" s="90">
        <f t="shared" si="5"/>
        <v>0</v>
      </c>
      <c r="AH37" s="91"/>
      <c r="AJ37" s="88"/>
      <c r="AK37" s="89"/>
      <c r="AL37" s="90">
        <f t="shared" si="6"/>
        <v>0</v>
      </c>
      <c r="AM37" s="91"/>
      <c r="AO37" s="177">
        <v>0</v>
      </c>
      <c r="AP37" s="178">
        <v>0</v>
      </c>
      <c r="AQ37" s="167">
        <f t="shared" si="7"/>
        <v>0</v>
      </c>
      <c r="AR37" s="179" t="s">
        <v>297</v>
      </c>
    </row>
    <row r="38" spans="1:44" ht="299.25" x14ac:dyDescent="0.25">
      <c r="A38" s="73">
        <v>35</v>
      </c>
      <c r="B38" s="78" t="s">
        <v>6</v>
      </c>
      <c r="C38" s="78" t="s">
        <v>9</v>
      </c>
      <c r="D38" s="78" t="s">
        <v>61</v>
      </c>
      <c r="F38" s="88"/>
      <c r="G38" s="89"/>
      <c r="H38" s="90">
        <f t="shared" si="0"/>
        <v>0</v>
      </c>
      <c r="I38" s="91"/>
      <c r="K38" s="100">
        <v>1</v>
      </c>
      <c r="L38" s="101">
        <v>0.9</v>
      </c>
      <c r="M38" s="85">
        <f t="shared" si="1"/>
        <v>0.9</v>
      </c>
      <c r="N38" s="102" t="s">
        <v>1321</v>
      </c>
      <c r="P38" s="143">
        <v>1</v>
      </c>
      <c r="Q38" s="176">
        <v>0.98</v>
      </c>
      <c r="R38" s="164">
        <f t="shared" si="2"/>
        <v>0.98</v>
      </c>
      <c r="S38" s="102" t="s">
        <v>234</v>
      </c>
      <c r="U38" s="88"/>
      <c r="V38" s="89"/>
      <c r="W38" s="90">
        <f t="shared" si="3"/>
        <v>0</v>
      </c>
      <c r="X38" s="91"/>
      <c r="Z38" s="88"/>
      <c r="AA38" s="89"/>
      <c r="AB38" s="90">
        <f t="shared" si="4"/>
        <v>0</v>
      </c>
      <c r="AC38" s="91"/>
      <c r="AE38" s="88"/>
      <c r="AF38" s="89"/>
      <c r="AG38" s="90">
        <f t="shared" si="5"/>
        <v>0</v>
      </c>
      <c r="AH38" s="91"/>
      <c r="AJ38" s="88"/>
      <c r="AK38" s="89"/>
      <c r="AL38" s="90">
        <f t="shared" si="6"/>
        <v>0</v>
      </c>
      <c r="AM38" s="91"/>
      <c r="AO38" s="177">
        <v>1</v>
      </c>
      <c r="AP38" s="178">
        <v>0.65</v>
      </c>
      <c r="AQ38" s="167">
        <f t="shared" si="7"/>
        <v>0.65</v>
      </c>
      <c r="AR38" s="179" t="s">
        <v>298</v>
      </c>
    </row>
    <row r="39" spans="1:44" ht="236.25" x14ac:dyDescent="0.25">
      <c r="A39" s="73">
        <v>36</v>
      </c>
      <c r="B39" s="78" t="s">
        <v>6</v>
      </c>
      <c r="C39" s="78" t="s">
        <v>9</v>
      </c>
      <c r="D39" s="78" t="s">
        <v>62</v>
      </c>
      <c r="F39" s="88"/>
      <c r="G39" s="89"/>
      <c r="H39" s="90">
        <f t="shared" si="0"/>
        <v>0</v>
      </c>
      <c r="I39" s="91"/>
      <c r="K39" s="100">
        <v>1</v>
      </c>
      <c r="L39" s="101">
        <v>0.9</v>
      </c>
      <c r="M39" s="85">
        <f t="shared" si="1"/>
        <v>0.9</v>
      </c>
      <c r="N39" s="102" t="s">
        <v>216</v>
      </c>
      <c r="P39" s="143">
        <v>1</v>
      </c>
      <c r="Q39" s="176">
        <v>0.96</v>
      </c>
      <c r="R39" s="164">
        <f t="shared" si="2"/>
        <v>0.96</v>
      </c>
      <c r="S39" s="102" t="s">
        <v>177</v>
      </c>
      <c r="U39" s="88"/>
      <c r="V39" s="89"/>
      <c r="W39" s="90">
        <f t="shared" si="3"/>
        <v>0</v>
      </c>
      <c r="X39" s="91"/>
      <c r="Z39" s="88"/>
      <c r="AA39" s="89"/>
      <c r="AB39" s="90">
        <f t="shared" si="4"/>
        <v>0</v>
      </c>
      <c r="AC39" s="91"/>
      <c r="AE39" s="88"/>
      <c r="AF39" s="89"/>
      <c r="AG39" s="90">
        <f t="shared" si="5"/>
        <v>0</v>
      </c>
      <c r="AH39" s="91"/>
      <c r="AJ39" s="88"/>
      <c r="AK39" s="89"/>
      <c r="AL39" s="90">
        <f t="shared" si="6"/>
        <v>0</v>
      </c>
      <c r="AM39" s="91"/>
      <c r="AO39" s="177">
        <v>1</v>
      </c>
      <c r="AP39" s="178">
        <v>0.6</v>
      </c>
      <c r="AQ39" s="167">
        <f t="shared" si="7"/>
        <v>0.6</v>
      </c>
      <c r="AR39" s="179" t="s">
        <v>198</v>
      </c>
    </row>
    <row r="40" spans="1:44" ht="127.5" customHeight="1" x14ac:dyDescent="0.25">
      <c r="A40" s="73">
        <v>37</v>
      </c>
      <c r="B40" s="78" t="s">
        <v>6</v>
      </c>
      <c r="C40" s="78" t="s">
        <v>9</v>
      </c>
      <c r="D40" s="78" t="s">
        <v>63</v>
      </c>
      <c r="F40" s="88"/>
      <c r="G40" s="89"/>
      <c r="H40" s="90">
        <f t="shared" si="0"/>
        <v>0</v>
      </c>
      <c r="I40" s="91"/>
      <c r="K40" s="100">
        <v>1</v>
      </c>
      <c r="L40" s="101">
        <v>0.65</v>
      </c>
      <c r="M40" s="85">
        <f t="shared" si="1"/>
        <v>0.65</v>
      </c>
      <c r="N40" s="102" t="s">
        <v>1322</v>
      </c>
      <c r="P40" s="143">
        <v>1</v>
      </c>
      <c r="Q40" s="176">
        <v>1</v>
      </c>
      <c r="R40" s="164">
        <f t="shared" si="2"/>
        <v>1</v>
      </c>
      <c r="S40" s="102" t="s">
        <v>285</v>
      </c>
      <c r="U40" s="88"/>
      <c r="V40" s="89"/>
      <c r="W40" s="90">
        <f t="shared" si="3"/>
        <v>0</v>
      </c>
      <c r="X40" s="91"/>
      <c r="Z40" s="88"/>
      <c r="AA40" s="89"/>
      <c r="AB40" s="90">
        <f t="shared" si="4"/>
        <v>0</v>
      </c>
      <c r="AC40" s="91"/>
      <c r="AE40" s="88"/>
      <c r="AF40" s="89"/>
      <c r="AG40" s="90">
        <f t="shared" si="5"/>
        <v>0</v>
      </c>
      <c r="AH40" s="91"/>
      <c r="AJ40" s="88"/>
      <c r="AK40" s="89"/>
      <c r="AL40" s="90">
        <f t="shared" si="6"/>
        <v>0</v>
      </c>
      <c r="AM40" s="91"/>
      <c r="AO40" s="177">
        <v>1</v>
      </c>
      <c r="AP40" s="178">
        <v>0.6</v>
      </c>
      <c r="AQ40" s="167">
        <f t="shared" si="7"/>
        <v>0.6</v>
      </c>
      <c r="AR40" s="179" t="s">
        <v>199</v>
      </c>
    </row>
    <row r="41" spans="1:44" ht="94.5" x14ac:dyDescent="0.25">
      <c r="A41" s="73">
        <v>38</v>
      </c>
      <c r="B41" s="78" t="s">
        <v>10</v>
      </c>
      <c r="C41" s="78" t="s">
        <v>11</v>
      </c>
      <c r="D41" s="78" t="s">
        <v>65</v>
      </c>
      <c r="F41" s="88"/>
      <c r="G41" s="89"/>
      <c r="H41" s="90">
        <f t="shared" si="0"/>
        <v>0</v>
      </c>
      <c r="I41" s="91"/>
      <c r="K41" s="100">
        <v>1</v>
      </c>
      <c r="L41" s="101">
        <v>0.95</v>
      </c>
      <c r="M41" s="85">
        <f t="shared" si="1"/>
        <v>0.95</v>
      </c>
      <c r="N41" s="102" t="s">
        <v>1319</v>
      </c>
      <c r="P41" s="143">
        <v>1</v>
      </c>
      <c r="Q41" s="176">
        <v>0.83</v>
      </c>
      <c r="R41" s="164">
        <f t="shared" si="2"/>
        <v>0.83</v>
      </c>
      <c r="S41" s="102" t="s">
        <v>1328</v>
      </c>
      <c r="U41" s="88"/>
      <c r="V41" s="89"/>
      <c r="W41" s="90">
        <f t="shared" si="3"/>
        <v>0</v>
      </c>
      <c r="X41" s="91"/>
      <c r="Z41" s="88"/>
      <c r="AA41" s="89"/>
      <c r="AB41" s="90">
        <f t="shared" si="4"/>
        <v>0</v>
      </c>
      <c r="AC41" s="91"/>
      <c r="AE41" s="88"/>
      <c r="AF41" s="89"/>
      <c r="AG41" s="90">
        <f t="shared" si="5"/>
        <v>0</v>
      </c>
      <c r="AH41" s="91"/>
      <c r="AJ41" s="88"/>
      <c r="AK41" s="89"/>
      <c r="AL41" s="90">
        <f t="shared" si="6"/>
        <v>0</v>
      </c>
      <c r="AM41" s="91"/>
      <c r="AO41" s="177">
        <v>1</v>
      </c>
      <c r="AP41" s="178">
        <v>0.83</v>
      </c>
      <c r="AQ41" s="167">
        <f t="shared" si="7"/>
        <v>0.83</v>
      </c>
      <c r="AR41" s="179" t="s">
        <v>1329</v>
      </c>
    </row>
    <row r="42" spans="1:44" ht="105.75" customHeight="1" x14ac:dyDescent="0.25">
      <c r="A42" s="73">
        <v>39</v>
      </c>
      <c r="B42" s="78" t="s">
        <v>10</v>
      </c>
      <c r="C42" s="78" t="s">
        <v>11</v>
      </c>
      <c r="D42" s="78" t="s">
        <v>66</v>
      </c>
      <c r="F42" s="88"/>
      <c r="G42" s="89"/>
      <c r="H42" s="90">
        <f t="shared" si="0"/>
        <v>0</v>
      </c>
      <c r="I42" s="91"/>
      <c r="K42" s="100">
        <v>1</v>
      </c>
      <c r="L42" s="101">
        <v>1</v>
      </c>
      <c r="M42" s="85">
        <f t="shared" si="1"/>
        <v>1</v>
      </c>
      <c r="N42" s="102" t="s">
        <v>1058</v>
      </c>
      <c r="P42" s="143">
        <v>1</v>
      </c>
      <c r="Q42" s="176">
        <v>1</v>
      </c>
      <c r="R42" s="164">
        <f t="shared" si="2"/>
        <v>1</v>
      </c>
      <c r="S42" s="102" t="s">
        <v>1064</v>
      </c>
      <c r="U42" s="88"/>
      <c r="V42" s="89"/>
      <c r="W42" s="90">
        <f t="shared" si="3"/>
        <v>0</v>
      </c>
      <c r="X42" s="91"/>
      <c r="Z42" s="88"/>
      <c r="AA42" s="89"/>
      <c r="AB42" s="90">
        <f t="shared" si="4"/>
        <v>0</v>
      </c>
      <c r="AC42" s="91"/>
      <c r="AE42" s="88"/>
      <c r="AF42" s="89"/>
      <c r="AG42" s="90">
        <f t="shared" si="5"/>
        <v>0</v>
      </c>
      <c r="AH42" s="91"/>
      <c r="AJ42" s="88"/>
      <c r="AK42" s="89"/>
      <c r="AL42" s="90">
        <f t="shared" si="6"/>
        <v>0</v>
      </c>
      <c r="AM42" s="91"/>
      <c r="AO42" s="177">
        <v>1</v>
      </c>
      <c r="AP42" s="178">
        <v>1</v>
      </c>
      <c r="AQ42" s="167">
        <f t="shared" si="7"/>
        <v>1</v>
      </c>
      <c r="AR42" s="179" t="s">
        <v>1066</v>
      </c>
    </row>
    <row r="43" spans="1:44" ht="45.75" customHeight="1" x14ac:dyDescent="0.25">
      <c r="A43" s="73">
        <v>40</v>
      </c>
      <c r="B43" s="78" t="s">
        <v>10</v>
      </c>
      <c r="C43" s="78" t="s">
        <v>11</v>
      </c>
      <c r="D43" s="78" t="s">
        <v>67</v>
      </c>
      <c r="F43" s="88"/>
      <c r="G43" s="89"/>
      <c r="H43" s="90">
        <f t="shared" si="0"/>
        <v>0</v>
      </c>
      <c r="I43" s="91"/>
      <c r="K43" s="100">
        <v>1</v>
      </c>
      <c r="L43" s="101">
        <v>0.85</v>
      </c>
      <c r="M43" s="85">
        <f t="shared" si="1"/>
        <v>0.85</v>
      </c>
      <c r="N43" s="102" t="s">
        <v>1320</v>
      </c>
      <c r="P43" s="143">
        <v>1</v>
      </c>
      <c r="Q43" s="176">
        <v>0.9</v>
      </c>
      <c r="R43" s="164">
        <f t="shared" si="2"/>
        <v>0.9</v>
      </c>
      <c r="S43" s="102" t="s">
        <v>1330</v>
      </c>
      <c r="U43" s="88"/>
      <c r="V43" s="89"/>
      <c r="W43" s="90">
        <f t="shared" si="3"/>
        <v>0</v>
      </c>
      <c r="X43" s="91"/>
      <c r="Z43" s="88"/>
      <c r="AA43" s="89"/>
      <c r="AB43" s="90">
        <f t="shared" si="4"/>
        <v>0</v>
      </c>
      <c r="AC43" s="91"/>
      <c r="AE43" s="88"/>
      <c r="AF43" s="89"/>
      <c r="AG43" s="90">
        <f t="shared" si="5"/>
        <v>0</v>
      </c>
      <c r="AH43" s="91"/>
      <c r="AJ43" s="88"/>
      <c r="AK43" s="89"/>
      <c r="AL43" s="90">
        <f t="shared" si="6"/>
        <v>0</v>
      </c>
      <c r="AM43" s="91"/>
      <c r="AO43" s="177">
        <v>1</v>
      </c>
      <c r="AP43" s="101">
        <v>0.6</v>
      </c>
      <c r="AQ43" s="167">
        <f t="shared" si="7"/>
        <v>0.6</v>
      </c>
      <c r="AR43" s="179" t="s">
        <v>1331</v>
      </c>
    </row>
    <row r="44" spans="1:44" ht="94.5" x14ac:dyDescent="0.25">
      <c r="A44" s="73">
        <v>41</v>
      </c>
      <c r="B44" s="78" t="s">
        <v>10</v>
      </c>
      <c r="C44" s="78" t="s">
        <v>11</v>
      </c>
      <c r="D44" s="78" t="s">
        <v>68</v>
      </c>
      <c r="F44" s="88"/>
      <c r="G44" s="89"/>
      <c r="H44" s="90">
        <f t="shared" si="0"/>
        <v>0</v>
      </c>
      <c r="I44" s="91"/>
      <c r="K44" s="100">
        <v>1</v>
      </c>
      <c r="L44" s="101">
        <v>1</v>
      </c>
      <c r="M44" s="85">
        <f t="shared" si="1"/>
        <v>1</v>
      </c>
      <c r="N44" s="102" t="s">
        <v>1059</v>
      </c>
      <c r="P44" s="143">
        <v>1</v>
      </c>
      <c r="Q44" s="176">
        <v>0.83</v>
      </c>
      <c r="R44" s="164">
        <f t="shared" si="2"/>
        <v>0.83</v>
      </c>
      <c r="S44" s="102" t="s">
        <v>1332</v>
      </c>
      <c r="U44" s="88"/>
      <c r="V44" s="89"/>
      <c r="W44" s="90">
        <f t="shared" si="3"/>
        <v>0</v>
      </c>
      <c r="X44" s="91"/>
      <c r="Z44" s="88"/>
      <c r="AA44" s="89"/>
      <c r="AB44" s="90">
        <f t="shared" si="4"/>
        <v>0</v>
      </c>
      <c r="AC44" s="91"/>
      <c r="AE44" s="88"/>
      <c r="AF44" s="89"/>
      <c r="AG44" s="90">
        <f t="shared" si="5"/>
        <v>0</v>
      </c>
      <c r="AH44" s="91"/>
      <c r="AJ44" s="88"/>
      <c r="AK44" s="89"/>
      <c r="AL44" s="90">
        <f t="shared" si="6"/>
        <v>0</v>
      </c>
      <c r="AM44" s="91"/>
      <c r="AO44" s="177">
        <v>1</v>
      </c>
      <c r="AP44" s="178">
        <v>0.83</v>
      </c>
      <c r="AQ44" s="167">
        <f t="shared" si="7"/>
        <v>0.83</v>
      </c>
      <c r="AR44" s="179" t="s">
        <v>1333</v>
      </c>
    </row>
    <row r="45" spans="1:44" ht="47.25" x14ac:dyDescent="0.25">
      <c r="A45" s="73">
        <v>42</v>
      </c>
      <c r="B45" s="78" t="s">
        <v>10</v>
      </c>
      <c r="C45" s="78" t="s">
        <v>11</v>
      </c>
      <c r="D45" s="78" t="s">
        <v>69</v>
      </c>
      <c r="F45" s="88"/>
      <c r="G45" s="89"/>
      <c r="H45" s="90">
        <f t="shared" si="0"/>
        <v>0</v>
      </c>
      <c r="I45" s="91"/>
      <c r="K45" s="100">
        <v>1</v>
      </c>
      <c r="L45" s="101">
        <v>1</v>
      </c>
      <c r="M45" s="85">
        <f t="shared" si="1"/>
        <v>1</v>
      </c>
      <c r="N45" s="102" t="s">
        <v>1063</v>
      </c>
      <c r="P45" s="143">
        <v>1</v>
      </c>
      <c r="Q45" s="176">
        <v>0.7</v>
      </c>
      <c r="R45" s="164">
        <f t="shared" si="2"/>
        <v>0.7</v>
      </c>
      <c r="S45" s="102" t="s">
        <v>1276</v>
      </c>
      <c r="U45" s="88"/>
      <c r="V45" s="89"/>
      <c r="W45" s="90">
        <f t="shared" si="3"/>
        <v>0</v>
      </c>
      <c r="X45" s="91"/>
      <c r="Z45" s="88"/>
      <c r="AA45" s="89"/>
      <c r="AB45" s="90">
        <f t="shared" si="4"/>
        <v>0</v>
      </c>
      <c r="AC45" s="91"/>
      <c r="AE45" s="88"/>
      <c r="AF45" s="89"/>
      <c r="AG45" s="90">
        <f t="shared" si="5"/>
        <v>0</v>
      </c>
      <c r="AH45" s="91"/>
      <c r="AJ45" s="88"/>
      <c r="AK45" s="89"/>
      <c r="AL45" s="90">
        <f t="shared" si="6"/>
        <v>0</v>
      </c>
      <c r="AM45" s="91"/>
      <c r="AO45" s="177">
        <v>1</v>
      </c>
      <c r="AP45" s="178">
        <v>0.95</v>
      </c>
      <c r="AQ45" s="167">
        <f t="shared" si="7"/>
        <v>0.95</v>
      </c>
      <c r="AR45" s="179" t="s">
        <v>1277</v>
      </c>
    </row>
    <row r="46" spans="1:44" ht="78.75" x14ac:dyDescent="0.25">
      <c r="A46" s="73">
        <v>43</v>
      </c>
      <c r="B46" s="78" t="s">
        <v>10</v>
      </c>
      <c r="C46" s="78" t="s">
        <v>11</v>
      </c>
      <c r="D46" s="78" t="s">
        <v>70</v>
      </c>
      <c r="F46" s="88"/>
      <c r="G46" s="89"/>
      <c r="H46" s="90">
        <f t="shared" si="0"/>
        <v>0</v>
      </c>
      <c r="I46" s="91"/>
      <c r="K46" s="100">
        <v>1</v>
      </c>
      <c r="L46" s="101">
        <v>1</v>
      </c>
      <c r="M46" s="85">
        <f t="shared" si="1"/>
        <v>1</v>
      </c>
      <c r="N46" s="102" t="s">
        <v>1061</v>
      </c>
      <c r="P46" s="143">
        <v>1</v>
      </c>
      <c r="Q46" s="176">
        <v>0.9</v>
      </c>
      <c r="R46" s="164">
        <f t="shared" si="2"/>
        <v>0.9</v>
      </c>
      <c r="S46" s="102" t="s">
        <v>1334</v>
      </c>
      <c r="U46" s="88"/>
      <c r="V46" s="89"/>
      <c r="W46" s="90">
        <f t="shared" si="3"/>
        <v>0</v>
      </c>
      <c r="X46" s="91"/>
      <c r="Z46" s="88"/>
      <c r="AA46" s="89"/>
      <c r="AB46" s="90">
        <f t="shared" si="4"/>
        <v>0</v>
      </c>
      <c r="AC46" s="91"/>
      <c r="AE46" s="88"/>
      <c r="AF46" s="89"/>
      <c r="AG46" s="90">
        <f t="shared" si="5"/>
        <v>0</v>
      </c>
      <c r="AH46" s="91"/>
      <c r="AJ46" s="88"/>
      <c r="AK46" s="89"/>
      <c r="AL46" s="90">
        <f t="shared" si="6"/>
        <v>0</v>
      </c>
      <c r="AM46" s="91"/>
      <c r="AO46" s="177">
        <v>1</v>
      </c>
      <c r="AP46" s="178">
        <v>0.95</v>
      </c>
      <c r="AQ46" s="167">
        <f t="shared" si="7"/>
        <v>0.95</v>
      </c>
      <c r="AR46" s="179" t="s">
        <v>1335</v>
      </c>
    </row>
    <row r="47" spans="1:44" ht="63" x14ac:dyDescent="0.25">
      <c r="A47" s="73">
        <v>44</v>
      </c>
      <c r="B47" s="78" t="s">
        <v>10</v>
      </c>
      <c r="C47" s="78" t="s">
        <v>11</v>
      </c>
      <c r="D47" s="78" t="s">
        <v>12</v>
      </c>
      <c r="F47" s="88"/>
      <c r="G47" s="89"/>
      <c r="H47" s="90">
        <f t="shared" si="0"/>
        <v>0</v>
      </c>
      <c r="I47" s="91"/>
      <c r="K47" s="100">
        <v>1</v>
      </c>
      <c r="L47" s="101">
        <v>1</v>
      </c>
      <c r="M47" s="85">
        <f t="shared" si="1"/>
        <v>1</v>
      </c>
      <c r="N47" s="102" t="s">
        <v>1062</v>
      </c>
      <c r="P47" s="143">
        <v>1</v>
      </c>
      <c r="Q47" s="176">
        <v>1</v>
      </c>
      <c r="R47" s="164">
        <f t="shared" si="2"/>
        <v>1</v>
      </c>
      <c r="S47" s="122" t="s">
        <v>1065</v>
      </c>
      <c r="U47" s="88"/>
      <c r="V47" s="89"/>
      <c r="W47" s="90">
        <f t="shared" si="3"/>
        <v>0</v>
      </c>
      <c r="X47" s="91"/>
      <c r="Z47" s="88"/>
      <c r="AA47" s="89"/>
      <c r="AB47" s="90">
        <f t="shared" si="4"/>
        <v>0</v>
      </c>
      <c r="AC47" s="91"/>
      <c r="AE47" s="88"/>
      <c r="AF47" s="89"/>
      <c r="AG47" s="90">
        <f t="shared" si="5"/>
        <v>0</v>
      </c>
      <c r="AH47" s="91"/>
      <c r="AJ47" s="88"/>
      <c r="AK47" s="89"/>
      <c r="AL47" s="90">
        <f t="shared" si="6"/>
        <v>0</v>
      </c>
      <c r="AM47" s="91"/>
      <c r="AO47" s="177">
        <v>1</v>
      </c>
      <c r="AP47" s="178">
        <v>1</v>
      </c>
      <c r="AQ47" s="167">
        <f t="shared" si="7"/>
        <v>1</v>
      </c>
      <c r="AR47" s="179" t="s">
        <v>1058</v>
      </c>
    </row>
    <row r="48" spans="1:44" ht="94.5" x14ac:dyDescent="0.25">
      <c r="A48" s="73">
        <v>45</v>
      </c>
      <c r="B48" s="78" t="s">
        <v>10</v>
      </c>
      <c r="C48" s="78" t="s">
        <v>71</v>
      </c>
      <c r="D48" s="78" t="s">
        <v>72</v>
      </c>
      <c r="F48" s="88"/>
      <c r="G48" s="89"/>
      <c r="H48" s="90">
        <f t="shared" si="0"/>
        <v>0</v>
      </c>
      <c r="I48" s="91"/>
      <c r="K48" s="100">
        <v>1</v>
      </c>
      <c r="L48" s="101">
        <v>0.95</v>
      </c>
      <c r="M48" s="85">
        <f t="shared" si="1"/>
        <v>0.95</v>
      </c>
      <c r="N48" s="102" t="s">
        <v>1280</v>
      </c>
      <c r="P48" s="143">
        <v>1</v>
      </c>
      <c r="Q48" s="176">
        <v>0.85</v>
      </c>
      <c r="R48" s="164">
        <f t="shared" si="2"/>
        <v>0.85</v>
      </c>
      <c r="S48" s="102" t="s">
        <v>1281</v>
      </c>
      <c r="U48" s="88"/>
      <c r="V48" s="89"/>
      <c r="W48" s="90">
        <f t="shared" si="3"/>
        <v>0</v>
      </c>
      <c r="X48" s="91"/>
      <c r="Z48" s="88"/>
      <c r="AA48" s="89"/>
      <c r="AB48" s="90">
        <f t="shared" si="4"/>
        <v>0</v>
      </c>
      <c r="AC48" s="91"/>
      <c r="AE48" s="88"/>
      <c r="AF48" s="89"/>
      <c r="AG48" s="90">
        <f t="shared" si="5"/>
        <v>0</v>
      </c>
      <c r="AH48" s="91"/>
      <c r="AJ48" s="88"/>
      <c r="AK48" s="89"/>
      <c r="AL48" s="90">
        <f t="shared" si="6"/>
        <v>0</v>
      </c>
      <c r="AM48" s="91"/>
      <c r="AO48" s="177">
        <v>1</v>
      </c>
      <c r="AP48" s="101">
        <v>0.8</v>
      </c>
      <c r="AQ48" s="167">
        <f t="shared" si="7"/>
        <v>0.8</v>
      </c>
      <c r="AR48" s="179" t="s">
        <v>1336</v>
      </c>
    </row>
    <row r="49" spans="1:44" ht="63" x14ac:dyDescent="0.25">
      <c r="A49" s="73">
        <v>46</v>
      </c>
      <c r="B49" s="78" t="s">
        <v>10</v>
      </c>
      <c r="C49" s="78" t="s">
        <v>11</v>
      </c>
      <c r="D49" s="78" t="s">
        <v>13</v>
      </c>
      <c r="F49" s="88"/>
      <c r="G49" s="89"/>
      <c r="H49" s="90">
        <f t="shared" si="0"/>
        <v>0</v>
      </c>
      <c r="I49" s="91"/>
      <c r="K49" s="100">
        <v>1</v>
      </c>
      <c r="L49" s="101">
        <v>1</v>
      </c>
      <c r="M49" s="85">
        <f t="shared" si="1"/>
        <v>1</v>
      </c>
      <c r="N49" s="102" t="s">
        <v>1063</v>
      </c>
      <c r="P49" s="143">
        <v>1</v>
      </c>
      <c r="Q49" s="176">
        <v>1</v>
      </c>
      <c r="R49" s="164">
        <f t="shared" si="2"/>
        <v>1</v>
      </c>
      <c r="S49" s="102" t="s">
        <v>1062</v>
      </c>
      <c r="U49" s="88"/>
      <c r="V49" s="89"/>
      <c r="W49" s="90">
        <f t="shared" si="3"/>
        <v>0</v>
      </c>
      <c r="X49" s="91"/>
      <c r="Z49" s="88"/>
      <c r="AA49" s="89"/>
      <c r="AB49" s="90">
        <f t="shared" si="4"/>
        <v>0</v>
      </c>
      <c r="AC49" s="91"/>
      <c r="AE49" s="88"/>
      <c r="AF49" s="89"/>
      <c r="AG49" s="90">
        <f t="shared" si="5"/>
        <v>0</v>
      </c>
      <c r="AH49" s="91"/>
      <c r="AJ49" s="88"/>
      <c r="AK49" s="89"/>
      <c r="AL49" s="90">
        <f t="shared" si="6"/>
        <v>0</v>
      </c>
      <c r="AM49" s="91"/>
      <c r="AO49" s="177">
        <v>1</v>
      </c>
      <c r="AP49" s="178">
        <v>1</v>
      </c>
      <c r="AQ49" s="167">
        <f t="shared" si="7"/>
        <v>1</v>
      </c>
      <c r="AR49" s="179" t="s">
        <v>1062</v>
      </c>
    </row>
    <row r="50" spans="1:44" ht="110.25" x14ac:dyDescent="0.25">
      <c r="A50" s="73">
        <v>47</v>
      </c>
      <c r="B50" s="78" t="s">
        <v>14</v>
      </c>
      <c r="C50" s="78" t="s">
        <v>14</v>
      </c>
      <c r="D50" s="78" t="s">
        <v>15</v>
      </c>
      <c r="F50" s="88"/>
      <c r="G50" s="89"/>
      <c r="H50" s="90">
        <f t="shared" si="0"/>
        <v>0</v>
      </c>
      <c r="I50" s="91"/>
      <c r="K50" s="100">
        <v>1</v>
      </c>
      <c r="L50" s="101">
        <v>1</v>
      </c>
      <c r="M50" s="85">
        <f t="shared" si="1"/>
        <v>1</v>
      </c>
      <c r="N50" s="102" t="s">
        <v>1087</v>
      </c>
      <c r="P50" s="143">
        <v>1</v>
      </c>
      <c r="Q50" s="176">
        <v>0.55000000000000004</v>
      </c>
      <c r="R50" s="164">
        <f t="shared" si="2"/>
        <v>0.55000000000000004</v>
      </c>
      <c r="S50" s="102" t="s">
        <v>1296</v>
      </c>
      <c r="U50" s="88"/>
      <c r="V50" s="89"/>
      <c r="W50" s="90">
        <f t="shared" si="3"/>
        <v>0</v>
      </c>
      <c r="X50" s="91"/>
      <c r="Z50" s="88"/>
      <c r="AA50" s="89"/>
      <c r="AB50" s="90">
        <f t="shared" si="4"/>
        <v>0</v>
      </c>
      <c r="AC50" s="91"/>
      <c r="AE50" s="88"/>
      <c r="AF50" s="89"/>
      <c r="AG50" s="90">
        <f t="shared" si="5"/>
        <v>0</v>
      </c>
      <c r="AH50" s="91"/>
      <c r="AJ50" s="88"/>
      <c r="AK50" s="89"/>
      <c r="AL50" s="90">
        <f t="shared" si="6"/>
        <v>0</v>
      </c>
      <c r="AM50" s="91"/>
      <c r="AO50" s="177">
        <v>1</v>
      </c>
      <c r="AP50" s="178">
        <v>1</v>
      </c>
      <c r="AQ50" s="167">
        <f t="shared" si="7"/>
        <v>1</v>
      </c>
      <c r="AR50" s="102" t="s">
        <v>1102</v>
      </c>
    </row>
    <row r="51" spans="1:44" ht="142.5" customHeight="1" x14ac:dyDescent="0.25">
      <c r="A51" s="73">
        <v>48</v>
      </c>
      <c r="B51" s="78" t="s">
        <v>14</v>
      </c>
      <c r="C51" s="78" t="s">
        <v>14</v>
      </c>
      <c r="D51" s="78" t="s">
        <v>73</v>
      </c>
      <c r="F51" s="88"/>
      <c r="G51" s="89"/>
      <c r="H51" s="90">
        <f t="shared" si="0"/>
        <v>0</v>
      </c>
      <c r="I51" s="91"/>
      <c r="K51" s="100">
        <v>1</v>
      </c>
      <c r="L51" s="101">
        <v>0.65</v>
      </c>
      <c r="M51" s="85">
        <f t="shared" si="1"/>
        <v>0.65</v>
      </c>
      <c r="N51" s="102" t="s">
        <v>1098</v>
      </c>
      <c r="P51" s="143">
        <v>1</v>
      </c>
      <c r="Q51" s="176">
        <v>0.95</v>
      </c>
      <c r="R51" s="164">
        <f t="shared" si="2"/>
        <v>0.95</v>
      </c>
      <c r="S51" s="102" t="s">
        <v>1100</v>
      </c>
      <c r="U51" s="88"/>
      <c r="V51" s="89"/>
      <c r="W51" s="90">
        <f t="shared" si="3"/>
        <v>0</v>
      </c>
      <c r="X51" s="91"/>
      <c r="Z51" s="88"/>
      <c r="AA51" s="89"/>
      <c r="AB51" s="90">
        <f t="shared" si="4"/>
        <v>0</v>
      </c>
      <c r="AC51" s="91"/>
      <c r="AE51" s="88"/>
      <c r="AF51" s="89"/>
      <c r="AG51" s="90">
        <f t="shared" si="5"/>
        <v>0</v>
      </c>
      <c r="AH51" s="91"/>
      <c r="AJ51" s="88"/>
      <c r="AK51" s="89"/>
      <c r="AL51" s="90">
        <f t="shared" si="6"/>
        <v>0</v>
      </c>
      <c r="AM51" s="91"/>
      <c r="AO51" s="177">
        <v>1</v>
      </c>
      <c r="AP51" s="178">
        <v>0.4</v>
      </c>
      <c r="AQ51" s="167">
        <f t="shared" si="7"/>
        <v>0.4</v>
      </c>
      <c r="AR51" s="179" t="s">
        <v>1311</v>
      </c>
    </row>
    <row r="52" spans="1:44" ht="226.5" customHeight="1" x14ac:dyDescent="0.25">
      <c r="A52" s="73">
        <v>49</v>
      </c>
      <c r="B52" s="78" t="s">
        <v>14</v>
      </c>
      <c r="C52" s="78" t="s">
        <v>14</v>
      </c>
      <c r="D52" s="78" t="s">
        <v>74</v>
      </c>
      <c r="F52" s="88"/>
      <c r="G52" s="89"/>
      <c r="H52" s="90">
        <f t="shared" si="0"/>
        <v>0</v>
      </c>
      <c r="I52" s="91"/>
      <c r="K52" s="100">
        <v>1</v>
      </c>
      <c r="L52" s="101">
        <v>0.5</v>
      </c>
      <c r="M52" s="85">
        <f t="shared" si="1"/>
        <v>0.5</v>
      </c>
      <c r="N52" s="102" t="s">
        <v>1099</v>
      </c>
      <c r="P52" s="143">
        <v>1</v>
      </c>
      <c r="Q52" s="176">
        <v>0.85</v>
      </c>
      <c r="R52" s="164">
        <f t="shared" si="2"/>
        <v>0.85</v>
      </c>
      <c r="S52" s="102" t="s">
        <v>1338</v>
      </c>
      <c r="U52" s="88"/>
      <c r="V52" s="89"/>
      <c r="W52" s="90">
        <f t="shared" si="3"/>
        <v>0</v>
      </c>
      <c r="X52" s="91"/>
      <c r="Z52" s="88"/>
      <c r="AA52" s="89"/>
      <c r="AB52" s="90">
        <f t="shared" si="4"/>
        <v>0</v>
      </c>
      <c r="AC52" s="91"/>
      <c r="AE52" s="88"/>
      <c r="AF52" s="89"/>
      <c r="AG52" s="90">
        <f t="shared" si="5"/>
        <v>0</v>
      </c>
      <c r="AH52" s="91"/>
      <c r="AJ52" s="88"/>
      <c r="AK52" s="89"/>
      <c r="AL52" s="90">
        <f t="shared" si="6"/>
        <v>0</v>
      </c>
      <c r="AM52" s="91"/>
      <c r="AO52" s="177">
        <v>1</v>
      </c>
      <c r="AP52" s="178">
        <v>0.4</v>
      </c>
      <c r="AQ52" s="167">
        <f t="shared" si="7"/>
        <v>0.4</v>
      </c>
      <c r="AR52" s="102" t="s">
        <v>1339</v>
      </c>
    </row>
    <row r="53" spans="1:44" ht="138" customHeight="1" x14ac:dyDescent="0.25">
      <c r="A53" s="73">
        <v>50</v>
      </c>
      <c r="B53" s="78" t="s">
        <v>14</v>
      </c>
      <c r="C53" s="78" t="s">
        <v>14</v>
      </c>
      <c r="D53" s="78" t="s">
        <v>75</v>
      </c>
      <c r="F53" s="88"/>
      <c r="G53" s="89"/>
      <c r="H53" s="90">
        <f t="shared" si="0"/>
        <v>0</v>
      </c>
      <c r="I53" s="91"/>
      <c r="K53" s="100">
        <v>1</v>
      </c>
      <c r="L53" s="101">
        <v>1</v>
      </c>
      <c r="M53" s="85">
        <f t="shared" si="1"/>
        <v>1</v>
      </c>
      <c r="N53" s="102" t="s">
        <v>1087</v>
      </c>
      <c r="P53" s="143">
        <v>1</v>
      </c>
      <c r="Q53" s="176">
        <v>0.7</v>
      </c>
      <c r="R53" s="164">
        <f t="shared" si="2"/>
        <v>0.7</v>
      </c>
      <c r="S53" s="102" t="s">
        <v>1086</v>
      </c>
      <c r="U53" s="88"/>
      <c r="V53" s="89"/>
      <c r="W53" s="90">
        <f t="shared" si="3"/>
        <v>0</v>
      </c>
      <c r="X53" s="91"/>
      <c r="Z53" s="88"/>
      <c r="AA53" s="89"/>
      <c r="AB53" s="90">
        <f t="shared" si="4"/>
        <v>0</v>
      </c>
      <c r="AC53" s="91"/>
      <c r="AE53" s="88"/>
      <c r="AF53" s="89"/>
      <c r="AG53" s="90">
        <f t="shared" si="5"/>
        <v>0</v>
      </c>
      <c r="AH53" s="91"/>
      <c r="AJ53" s="88"/>
      <c r="AK53" s="89"/>
      <c r="AL53" s="90">
        <f t="shared" si="6"/>
        <v>0</v>
      </c>
      <c r="AM53" s="91"/>
      <c r="AO53" s="177">
        <v>1</v>
      </c>
      <c r="AP53" s="178">
        <v>1</v>
      </c>
      <c r="AQ53" s="167">
        <f t="shared" si="7"/>
        <v>1</v>
      </c>
      <c r="AR53" s="179" t="s">
        <v>1087</v>
      </c>
    </row>
    <row r="54" spans="1:44" ht="109.5" customHeight="1" x14ac:dyDescent="0.25">
      <c r="A54" s="73">
        <v>51</v>
      </c>
      <c r="B54" s="78" t="s">
        <v>14</v>
      </c>
      <c r="C54" s="78" t="s">
        <v>14</v>
      </c>
      <c r="D54" s="78" t="s">
        <v>76</v>
      </c>
      <c r="F54" s="88"/>
      <c r="G54" s="89"/>
      <c r="H54" s="90">
        <f t="shared" si="0"/>
        <v>0</v>
      </c>
      <c r="I54" s="91"/>
      <c r="K54" s="100">
        <v>1</v>
      </c>
      <c r="L54" s="101">
        <v>1</v>
      </c>
      <c r="M54" s="85">
        <f t="shared" si="1"/>
        <v>1</v>
      </c>
      <c r="N54" s="102" t="s">
        <v>1087</v>
      </c>
      <c r="P54" s="143">
        <v>1</v>
      </c>
      <c r="Q54" s="176">
        <v>1</v>
      </c>
      <c r="R54" s="164">
        <f t="shared" si="2"/>
        <v>1</v>
      </c>
      <c r="S54" s="102" t="s">
        <v>1087</v>
      </c>
      <c r="U54" s="88"/>
      <c r="V54" s="89"/>
      <c r="W54" s="90">
        <f t="shared" si="3"/>
        <v>0</v>
      </c>
      <c r="X54" s="91"/>
      <c r="Z54" s="88"/>
      <c r="AA54" s="89"/>
      <c r="AB54" s="90">
        <f t="shared" si="4"/>
        <v>0</v>
      </c>
      <c r="AC54" s="91"/>
      <c r="AE54" s="88"/>
      <c r="AF54" s="89"/>
      <c r="AG54" s="90">
        <f t="shared" si="5"/>
        <v>0</v>
      </c>
      <c r="AH54" s="91"/>
      <c r="AJ54" s="88"/>
      <c r="AK54" s="89"/>
      <c r="AL54" s="90">
        <f t="shared" si="6"/>
        <v>0</v>
      </c>
      <c r="AM54" s="91"/>
      <c r="AO54" s="177">
        <v>1</v>
      </c>
      <c r="AP54" s="178">
        <v>1</v>
      </c>
      <c r="AQ54" s="167">
        <f t="shared" si="7"/>
        <v>1</v>
      </c>
      <c r="AR54" s="179" t="s">
        <v>1087</v>
      </c>
    </row>
    <row r="55" spans="1:44" ht="78.75" x14ac:dyDescent="0.25">
      <c r="A55" s="73">
        <v>52</v>
      </c>
      <c r="B55" s="78" t="s">
        <v>14</v>
      </c>
      <c r="C55" s="78" t="s">
        <v>14</v>
      </c>
      <c r="D55" s="78" t="s">
        <v>77</v>
      </c>
      <c r="F55" s="88"/>
      <c r="G55" s="89"/>
      <c r="H55" s="90">
        <f t="shared" si="0"/>
        <v>0</v>
      </c>
      <c r="I55" s="91"/>
      <c r="K55" s="100">
        <v>1</v>
      </c>
      <c r="L55" s="101">
        <v>1</v>
      </c>
      <c r="M55" s="85">
        <f t="shared" si="1"/>
        <v>1</v>
      </c>
      <c r="N55" s="102" t="s">
        <v>1087</v>
      </c>
      <c r="P55" s="143">
        <v>1</v>
      </c>
      <c r="Q55" s="176">
        <v>0.9</v>
      </c>
      <c r="R55" s="164">
        <f t="shared" si="2"/>
        <v>0.9</v>
      </c>
      <c r="S55" s="102" t="s">
        <v>1101</v>
      </c>
      <c r="U55" s="88"/>
      <c r="V55" s="89"/>
      <c r="W55" s="90">
        <f t="shared" si="3"/>
        <v>0</v>
      </c>
      <c r="X55" s="91"/>
      <c r="Z55" s="88"/>
      <c r="AA55" s="89"/>
      <c r="AB55" s="90">
        <f t="shared" si="4"/>
        <v>0</v>
      </c>
      <c r="AC55" s="91"/>
      <c r="AE55" s="88"/>
      <c r="AF55" s="89"/>
      <c r="AG55" s="90">
        <f t="shared" si="5"/>
        <v>0</v>
      </c>
      <c r="AH55" s="91"/>
      <c r="AJ55" s="88"/>
      <c r="AK55" s="89"/>
      <c r="AL55" s="90">
        <f t="shared" si="6"/>
        <v>0</v>
      </c>
      <c r="AM55" s="91"/>
      <c r="AO55" s="177">
        <v>1</v>
      </c>
      <c r="AP55" s="178">
        <v>0.75</v>
      </c>
      <c r="AQ55" s="167">
        <f t="shared" si="7"/>
        <v>0.75</v>
      </c>
      <c r="AR55" s="179" t="s">
        <v>1337</v>
      </c>
    </row>
    <row r="56" spans="1:44" ht="79.5" customHeight="1" x14ac:dyDescent="0.25">
      <c r="A56" s="73">
        <v>53</v>
      </c>
      <c r="B56" s="78" t="s">
        <v>14</v>
      </c>
      <c r="C56" s="78" t="s">
        <v>14</v>
      </c>
      <c r="D56" s="78" t="s">
        <v>78</v>
      </c>
      <c r="F56" s="88">
        <v>1</v>
      </c>
      <c r="G56" s="89"/>
      <c r="H56" s="90">
        <f t="shared" si="0"/>
        <v>0</v>
      </c>
      <c r="I56" s="91"/>
      <c r="K56" s="100">
        <v>1</v>
      </c>
      <c r="L56" s="101">
        <v>1</v>
      </c>
      <c r="M56" s="85">
        <f t="shared" si="1"/>
        <v>1</v>
      </c>
      <c r="N56" s="102" t="s">
        <v>1087</v>
      </c>
      <c r="P56" s="143">
        <v>1</v>
      </c>
      <c r="Q56" s="176">
        <v>0.9</v>
      </c>
      <c r="R56" s="164">
        <f t="shared" si="2"/>
        <v>0.9</v>
      </c>
      <c r="S56" s="102" t="s">
        <v>1091</v>
      </c>
      <c r="U56" s="88"/>
      <c r="V56" s="89"/>
      <c r="W56" s="90">
        <f t="shared" si="3"/>
        <v>0</v>
      </c>
      <c r="X56" s="108"/>
      <c r="Z56" s="88"/>
      <c r="AA56" s="89"/>
      <c r="AB56" s="90">
        <f t="shared" si="4"/>
        <v>0</v>
      </c>
      <c r="AC56" s="108"/>
      <c r="AE56" s="88"/>
      <c r="AF56" s="89"/>
      <c r="AG56" s="90">
        <f t="shared" si="5"/>
        <v>0</v>
      </c>
      <c r="AH56" s="108"/>
      <c r="AJ56" s="88"/>
      <c r="AK56" s="89"/>
      <c r="AL56" s="90">
        <f t="shared" si="6"/>
        <v>0</v>
      </c>
      <c r="AM56" s="108"/>
      <c r="AO56" s="177">
        <v>1</v>
      </c>
      <c r="AP56" s="178">
        <v>1</v>
      </c>
      <c r="AQ56" s="167">
        <f t="shared" si="7"/>
        <v>1</v>
      </c>
      <c r="AR56" s="182"/>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99200F67-FEB6-49E6-81F8-E774FF65B040}">
      <formula1>0</formula1>
      <formula2>1</formula2>
    </dataValidation>
  </dataValidations>
  <pageMargins left="0.511811024" right="0.511811024" top="0.78740157499999996" bottom="0.78740157499999996" header="0.31496062000000002" footer="0.31496062000000002"/>
  <pageSetup paperSize="9" orientation="portrait"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1BD8A9D0-2025-4E1A-8A04-F6AA077174EB}">
          <x14:formula1>
            <xm:f>'C:\Users\michele.cerqueira\AppData\Local\Microsoft\Windows\INetCache\Content.Outlook\CUTOBPMD\[ESTUDOS DE MERCADO - AVALIAÇÕES FINAIS.xlsx]Parâmetros'!#REF!</xm:f>
          </x14:formula1>
          <xm:sqref>K4:K15 P4:P15 AO4:AO15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S70"/>
  <sheetViews>
    <sheetView zoomScale="60" zoomScaleNormal="60" workbookViewId="0">
      <pane xSplit="4" ySplit="3" topLeftCell="O9" activePane="bottomRight" state="frozen"/>
      <selection pane="topRight" activeCell="E1" sqref="E1"/>
      <selection pane="bottomLeft" activeCell="A4" sqref="A4"/>
      <selection pane="bottomRight" activeCell="S10" sqref="S10"/>
    </sheetView>
  </sheetViews>
  <sheetFormatPr defaultRowHeight="15" x14ac:dyDescent="0.25"/>
  <cols>
    <col min="1" max="1" width="4.140625" style="73" customWidth="1"/>
    <col min="2" max="2" width="18.5703125" style="74" bestFit="1" customWidth="1"/>
    <col min="3" max="3" width="18.5703125" style="74" customWidth="1"/>
    <col min="4" max="4" width="47.85546875" style="74" customWidth="1"/>
    <col min="5" max="5" width="2.42578125" style="74" customWidth="1"/>
    <col min="6" max="6" width="20.140625" style="74" hidden="1" customWidth="1"/>
    <col min="7" max="7" width="14.28515625" style="74" hidden="1" customWidth="1"/>
    <col min="8" max="8" width="9.140625" style="74" hidden="1" customWidth="1"/>
    <col min="9" max="9" width="52.85546875" style="110" hidden="1" customWidth="1"/>
    <col min="10" max="10" width="1.85546875" style="74" hidden="1" customWidth="1"/>
    <col min="11" max="11" width="18.85546875" style="74" customWidth="1"/>
    <col min="12" max="12" width="14.28515625" style="74" bestFit="1" customWidth="1"/>
    <col min="13" max="13" width="9.140625" style="74" customWidth="1"/>
    <col min="14" max="14" width="141.7109375" style="74" customWidth="1"/>
    <col min="15" max="15" width="1.5703125" style="74" customWidth="1"/>
    <col min="16" max="16" width="17.28515625" style="74" customWidth="1"/>
    <col min="17" max="17" width="14.28515625" style="74" bestFit="1" customWidth="1"/>
    <col min="18" max="18" width="9.140625" style="74" customWidth="1"/>
    <col min="19" max="19" width="134.140625" style="74" customWidth="1"/>
    <col min="20" max="20" width="3.7109375" style="74" customWidth="1"/>
    <col min="21" max="21" width="13.42578125" style="74" hidden="1" customWidth="1"/>
    <col min="22" max="22" width="13" style="74" hidden="1" customWidth="1"/>
    <col min="23" max="23" width="0" style="74" hidden="1" customWidth="1"/>
    <col min="24" max="24" width="66.28515625" style="74" hidden="1" customWidth="1"/>
    <col min="25" max="25" width="0" style="74" hidden="1" customWidth="1"/>
    <col min="26" max="26" width="15" style="74" hidden="1" customWidth="1"/>
    <col min="27" max="27" width="14.7109375" style="74" hidden="1" customWidth="1"/>
    <col min="28" max="28" width="14" style="74" hidden="1" customWidth="1"/>
    <col min="29" max="29" width="47" style="74" hidden="1" customWidth="1"/>
    <col min="30" max="30" width="0" style="74" hidden="1" customWidth="1"/>
    <col min="31" max="31" width="14.85546875" style="74" hidden="1" customWidth="1"/>
    <col min="32" max="32" width="18" style="74" hidden="1" customWidth="1"/>
    <col min="33" max="33" width="15.85546875" style="74" hidden="1" customWidth="1"/>
    <col min="34" max="34" width="77.5703125" style="74" hidden="1" customWidth="1"/>
    <col min="35" max="35" width="0" style="74" hidden="1" customWidth="1"/>
    <col min="36" max="37" width="12.5703125" style="74" hidden="1" customWidth="1"/>
    <col min="38" max="38" width="12.28515625" style="74" hidden="1" customWidth="1"/>
    <col min="39" max="39" width="84.42578125" style="74" hidden="1" customWidth="1"/>
    <col min="40" max="40" width="0" style="74" hidden="1" customWidth="1"/>
    <col min="41" max="41" width="20" style="74" customWidth="1"/>
    <col min="42" max="42" width="13.28515625" style="74" customWidth="1"/>
    <col min="43" max="43" width="12.140625" style="74" customWidth="1"/>
    <col min="44" max="44" width="149.28515625" style="74" customWidth="1"/>
    <col min="45" max="16384" width="9.140625" style="74"/>
  </cols>
  <sheetData>
    <row r="1" spans="1:45" x14ac:dyDescent="0.25">
      <c r="I1" s="74"/>
    </row>
    <row r="2" spans="1:45" ht="39.75" customHeight="1" x14ac:dyDescent="0.25">
      <c r="B2" s="233" t="s">
        <v>16</v>
      </c>
      <c r="C2" s="233"/>
      <c r="D2" s="233"/>
      <c r="F2" s="232" t="s">
        <v>121</v>
      </c>
      <c r="G2" s="232"/>
      <c r="H2" s="232"/>
      <c r="I2" s="232"/>
      <c r="K2" s="234" t="s">
        <v>119</v>
      </c>
      <c r="L2" s="235"/>
      <c r="M2" s="235"/>
      <c r="N2" s="236"/>
      <c r="P2" s="233" t="s">
        <v>120</v>
      </c>
      <c r="Q2" s="233"/>
      <c r="R2" s="233"/>
      <c r="S2" s="233"/>
      <c r="U2" s="232" t="s">
        <v>122</v>
      </c>
      <c r="V2" s="232"/>
      <c r="W2" s="232"/>
      <c r="X2" s="232"/>
      <c r="Z2" s="232" t="s">
        <v>123</v>
      </c>
      <c r="AA2" s="232"/>
      <c r="AB2" s="232"/>
      <c r="AC2" s="232"/>
      <c r="AE2" s="232" t="s">
        <v>124</v>
      </c>
      <c r="AF2" s="232"/>
      <c r="AG2" s="232"/>
      <c r="AH2" s="232"/>
      <c r="AJ2" s="232" t="s">
        <v>125</v>
      </c>
      <c r="AK2" s="232"/>
      <c r="AL2" s="232"/>
      <c r="AM2" s="232"/>
      <c r="AO2" s="233" t="s">
        <v>1318</v>
      </c>
      <c r="AP2" s="233"/>
      <c r="AQ2" s="233"/>
      <c r="AR2" s="233"/>
    </row>
    <row r="3" spans="1:45" ht="57.75" customHeight="1" x14ac:dyDescent="0.25">
      <c r="B3" s="66" t="s">
        <v>0</v>
      </c>
      <c r="C3" s="66" t="s">
        <v>1</v>
      </c>
      <c r="D3" s="66" t="s">
        <v>2</v>
      </c>
      <c r="F3" s="67" t="s">
        <v>17</v>
      </c>
      <c r="G3" s="67" t="s">
        <v>18</v>
      </c>
      <c r="H3" s="67" t="s">
        <v>21</v>
      </c>
      <c r="I3" s="67" t="s">
        <v>19</v>
      </c>
      <c r="K3" s="67" t="s">
        <v>17</v>
      </c>
      <c r="L3" s="67" t="s">
        <v>18</v>
      </c>
      <c r="M3" s="67" t="s">
        <v>21</v>
      </c>
      <c r="N3" s="67" t="s">
        <v>19</v>
      </c>
      <c r="P3" s="67" t="s">
        <v>17</v>
      </c>
      <c r="Q3" s="67" t="s">
        <v>18</v>
      </c>
      <c r="R3" s="67" t="s">
        <v>21</v>
      </c>
      <c r="S3" s="67" t="s">
        <v>19</v>
      </c>
      <c r="U3" s="67" t="s">
        <v>17</v>
      </c>
      <c r="V3" s="67" t="s">
        <v>18</v>
      </c>
      <c r="W3" s="67" t="s">
        <v>21</v>
      </c>
      <c r="X3" s="67" t="s">
        <v>19</v>
      </c>
      <c r="Z3" s="67" t="s">
        <v>17</v>
      </c>
      <c r="AA3" s="67" t="s">
        <v>18</v>
      </c>
      <c r="AB3" s="67" t="s">
        <v>21</v>
      </c>
      <c r="AC3" s="67" t="s">
        <v>19</v>
      </c>
      <c r="AE3" s="67" t="s">
        <v>17</v>
      </c>
      <c r="AF3" s="67" t="s">
        <v>18</v>
      </c>
      <c r="AG3" s="67" t="s">
        <v>21</v>
      </c>
      <c r="AH3" s="67" t="s">
        <v>19</v>
      </c>
      <c r="AJ3" s="67" t="s">
        <v>17</v>
      </c>
      <c r="AK3" s="67" t="s">
        <v>18</v>
      </c>
      <c r="AL3" s="67" t="s">
        <v>21</v>
      </c>
      <c r="AM3" s="67" t="s">
        <v>19</v>
      </c>
      <c r="AO3" s="67" t="s">
        <v>17</v>
      </c>
      <c r="AP3" s="67" t="s">
        <v>18</v>
      </c>
      <c r="AQ3" s="67" t="s">
        <v>21</v>
      </c>
      <c r="AR3" s="67" t="s">
        <v>19</v>
      </c>
    </row>
    <row r="4" spans="1:45" ht="141.75" x14ac:dyDescent="0.25">
      <c r="A4" s="77">
        <v>1</v>
      </c>
      <c r="B4" s="78" t="s">
        <v>3</v>
      </c>
      <c r="C4" s="78" t="s">
        <v>4</v>
      </c>
      <c r="D4" s="78" t="s">
        <v>127</v>
      </c>
      <c r="E4" s="77"/>
      <c r="F4" s="79"/>
      <c r="G4" s="80"/>
      <c r="H4" s="81">
        <f>F4*G4</f>
        <v>0</v>
      </c>
      <c r="I4" s="82"/>
      <c r="J4" s="77"/>
      <c r="K4" s="83">
        <v>1</v>
      </c>
      <c r="L4" s="84">
        <v>0.99</v>
      </c>
      <c r="M4" s="85">
        <f>K4*L4</f>
        <v>0.99</v>
      </c>
      <c r="N4" s="86" t="s">
        <v>1197</v>
      </c>
      <c r="O4" s="77"/>
      <c r="P4" s="83">
        <v>1</v>
      </c>
      <c r="Q4" s="118">
        <v>0.8</v>
      </c>
      <c r="R4" s="85">
        <f>P4*Q4</f>
        <v>0.8</v>
      </c>
      <c r="S4" s="86" t="s">
        <v>1283</v>
      </c>
      <c r="T4" s="77"/>
      <c r="U4" s="79"/>
      <c r="V4" s="80"/>
      <c r="W4" s="81">
        <f>U4*V4</f>
        <v>0</v>
      </c>
      <c r="X4" s="82"/>
      <c r="Y4" s="77"/>
      <c r="Z4" s="79"/>
      <c r="AA4" s="80"/>
      <c r="AB4" s="81">
        <f>Z4*AA4</f>
        <v>0</v>
      </c>
      <c r="AC4" s="82"/>
      <c r="AD4" s="77"/>
      <c r="AE4" s="79"/>
      <c r="AF4" s="80"/>
      <c r="AG4" s="81">
        <f>AE4*AF4</f>
        <v>0</v>
      </c>
      <c r="AH4" s="82"/>
      <c r="AI4" s="77"/>
      <c r="AJ4" s="79"/>
      <c r="AK4" s="80"/>
      <c r="AL4" s="81">
        <f>AJ4*AK4</f>
        <v>0</v>
      </c>
      <c r="AM4" s="82"/>
      <c r="AN4" s="77"/>
      <c r="AO4" s="83">
        <v>1</v>
      </c>
      <c r="AP4" s="118">
        <v>0.4</v>
      </c>
      <c r="AQ4" s="85">
        <f>AO4*AP4</f>
        <v>0.4</v>
      </c>
      <c r="AR4" s="86" t="s">
        <v>1188</v>
      </c>
      <c r="AS4" s="160"/>
    </row>
    <row r="5" spans="1:45" ht="141.75" x14ac:dyDescent="0.25">
      <c r="A5" s="77">
        <v>2</v>
      </c>
      <c r="B5" s="78" t="s">
        <v>3</v>
      </c>
      <c r="C5" s="78" t="s">
        <v>4</v>
      </c>
      <c r="D5" s="78" t="s">
        <v>33</v>
      </c>
      <c r="E5" s="77"/>
      <c r="F5" s="79"/>
      <c r="G5" s="80"/>
      <c r="H5" s="81">
        <f t="shared" ref="H5:H56" si="0">F5*G5</f>
        <v>0</v>
      </c>
      <c r="I5" s="82"/>
      <c r="J5" s="77"/>
      <c r="K5" s="126">
        <v>1</v>
      </c>
      <c r="L5" s="127">
        <v>0.95</v>
      </c>
      <c r="M5" s="85">
        <f t="shared" ref="M5:M56" si="1">K5*L5</f>
        <v>0.95</v>
      </c>
      <c r="N5" s="128" t="s">
        <v>1179</v>
      </c>
      <c r="O5" s="77"/>
      <c r="P5" s="126">
        <v>1</v>
      </c>
      <c r="Q5" s="129">
        <v>0.75</v>
      </c>
      <c r="R5" s="85">
        <f t="shared" ref="R5:R56" si="2">P5*Q5</f>
        <v>0.75</v>
      </c>
      <c r="S5" s="128" t="s">
        <v>1284</v>
      </c>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79"/>
      <c r="AK5" s="80"/>
      <c r="AL5" s="81">
        <f t="shared" ref="AL5:AL56" si="6">AJ5*AK5</f>
        <v>0</v>
      </c>
      <c r="AM5" s="82"/>
      <c r="AN5" s="77"/>
      <c r="AO5" s="126">
        <v>1</v>
      </c>
      <c r="AP5" s="129">
        <v>0.15</v>
      </c>
      <c r="AQ5" s="85">
        <f t="shared" ref="AQ5:AQ56" si="7">AO5*AP5</f>
        <v>0.15</v>
      </c>
      <c r="AR5" s="128" t="s">
        <v>1189</v>
      </c>
      <c r="AS5" s="160"/>
    </row>
    <row r="6" spans="1:45" ht="189" x14ac:dyDescent="0.25">
      <c r="A6" s="77">
        <v>3</v>
      </c>
      <c r="B6" s="78" t="s">
        <v>3</v>
      </c>
      <c r="C6" s="78" t="s">
        <v>4</v>
      </c>
      <c r="D6" s="78" t="s">
        <v>128</v>
      </c>
      <c r="E6" s="77"/>
      <c r="F6" s="79"/>
      <c r="G6" s="80"/>
      <c r="H6" s="81">
        <f t="shared" si="0"/>
        <v>0</v>
      </c>
      <c r="I6" s="82"/>
      <c r="J6" s="77"/>
      <c r="K6" s="83">
        <v>1</v>
      </c>
      <c r="L6" s="84">
        <v>1</v>
      </c>
      <c r="M6" s="85">
        <f t="shared" si="1"/>
        <v>1</v>
      </c>
      <c r="N6" s="86"/>
      <c r="O6" s="77"/>
      <c r="P6" s="83">
        <v>1</v>
      </c>
      <c r="Q6" s="118">
        <v>0.95</v>
      </c>
      <c r="R6" s="85">
        <f t="shared" si="2"/>
        <v>0.95</v>
      </c>
      <c r="S6" s="86" t="s">
        <v>1200</v>
      </c>
      <c r="T6" s="77"/>
      <c r="U6" s="79"/>
      <c r="V6" s="80"/>
      <c r="W6" s="81">
        <f t="shared" si="3"/>
        <v>0</v>
      </c>
      <c r="X6" s="82"/>
      <c r="Y6" s="77"/>
      <c r="Z6" s="79"/>
      <c r="AA6" s="80"/>
      <c r="AB6" s="81">
        <f t="shared" si="4"/>
        <v>0</v>
      </c>
      <c r="AC6" s="82"/>
      <c r="AD6" s="77"/>
      <c r="AE6" s="79"/>
      <c r="AF6" s="80"/>
      <c r="AG6" s="81">
        <f t="shared" si="5"/>
        <v>0</v>
      </c>
      <c r="AH6" s="82"/>
      <c r="AI6" s="77"/>
      <c r="AJ6" s="79"/>
      <c r="AK6" s="80"/>
      <c r="AL6" s="81">
        <f t="shared" si="6"/>
        <v>0</v>
      </c>
      <c r="AM6" s="82"/>
      <c r="AN6" s="77"/>
      <c r="AO6" s="83">
        <v>1</v>
      </c>
      <c r="AP6" s="118">
        <v>0.2</v>
      </c>
      <c r="AQ6" s="85">
        <f t="shared" si="7"/>
        <v>0.2</v>
      </c>
      <c r="AR6" s="82" t="s">
        <v>1589</v>
      </c>
      <c r="AS6" s="160"/>
    </row>
    <row r="7" spans="1:45" ht="267" customHeight="1" x14ac:dyDescent="0.25">
      <c r="A7" s="77">
        <v>4</v>
      </c>
      <c r="B7" s="78" t="s">
        <v>3</v>
      </c>
      <c r="C7" s="78" t="s">
        <v>4</v>
      </c>
      <c r="D7" s="78" t="s">
        <v>34</v>
      </c>
      <c r="E7" s="77"/>
      <c r="F7" s="79"/>
      <c r="G7" s="80"/>
      <c r="H7" s="81">
        <f t="shared" si="0"/>
        <v>0</v>
      </c>
      <c r="I7" s="82"/>
      <c r="J7" s="77"/>
      <c r="K7" s="126">
        <v>1</v>
      </c>
      <c r="L7" s="127">
        <v>0.94499999999999995</v>
      </c>
      <c r="M7" s="85">
        <f t="shared" si="1"/>
        <v>0.94499999999999995</v>
      </c>
      <c r="N7" s="128" t="s">
        <v>1285</v>
      </c>
      <c r="O7" s="77"/>
      <c r="P7" s="126">
        <v>1</v>
      </c>
      <c r="Q7" s="129">
        <v>0.9</v>
      </c>
      <c r="R7" s="85">
        <f t="shared" si="2"/>
        <v>0.9</v>
      </c>
      <c r="S7" s="128" t="s">
        <v>1286</v>
      </c>
      <c r="T7" s="77"/>
      <c r="U7" s="79"/>
      <c r="V7" s="80"/>
      <c r="W7" s="81">
        <f t="shared" si="3"/>
        <v>0</v>
      </c>
      <c r="X7" s="82"/>
      <c r="Y7" s="77"/>
      <c r="Z7" s="79"/>
      <c r="AA7" s="80"/>
      <c r="AB7" s="81">
        <f t="shared" si="4"/>
        <v>0</v>
      </c>
      <c r="AC7" s="82"/>
      <c r="AD7" s="77"/>
      <c r="AE7" s="79"/>
      <c r="AF7" s="80"/>
      <c r="AG7" s="81">
        <f t="shared" si="5"/>
        <v>0</v>
      </c>
      <c r="AH7" s="82"/>
      <c r="AI7" s="77"/>
      <c r="AJ7" s="79"/>
      <c r="AK7" s="80"/>
      <c r="AL7" s="81">
        <f t="shared" si="6"/>
        <v>0</v>
      </c>
      <c r="AM7" s="82"/>
      <c r="AN7" s="77"/>
      <c r="AO7" s="126">
        <v>1</v>
      </c>
      <c r="AP7" s="129">
        <v>0.15</v>
      </c>
      <c r="AQ7" s="85">
        <f t="shared" si="7"/>
        <v>0.15</v>
      </c>
      <c r="AR7" s="128" t="s">
        <v>1600</v>
      </c>
      <c r="AS7" s="160"/>
    </row>
    <row r="8" spans="1:45" ht="149.25" customHeight="1" x14ac:dyDescent="0.25">
      <c r="A8" s="77">
        <v>5</v>
      </c>
      <c r="B8" s="78" t="s">
        <v>3</v>
      </c>
      <c r="C8" s="78" t="s">
        <v>4</v>
      </c>
      <c r="D8" s="78" t="s">
        <v>35</v>
      </c>
      <c r="E8" s="77"/>
      <c r="F8" s="79"/>
      <c r="G8" s="80"/>
      <c r="H8" s="81">
        <f t="shared" si="0"/>
        <v>0</v>
      </c>
      <c r="I8" s="82"/>
      <c r="J8" s="77"/>
      <c r="K8" s="83">
        <v>1</v>
      </c>
      <c r="L8" s="84">
        <v>0.7</v>
      </c>
      <c r="M8" s="85">
        <f t="shared" si="1"/>
        <v>0.7</v>
      </c>
      <c r="N8" s="86" t="s">
        <v>1180</v>
      </c>
      <c r="O8" s="77"/>
      <c r="P8" s="83">
        <v>1</v>
      </c>
      <c r="Q8" s="118">
        <v>0.8</v>
      </c>
      <c r="R8" s="85">
        <f t="shared" si="2"/>
        <v>0.8</v>
      </c>
      <c r="S8" s="86" t="s">
        <v>1287</v>
      </c>
      <c r="T8" s="77"/>
      <c r="U8" s="79"/>
      <c r="V8" s="80"/>
      <c r="W8" s="81">
        <f t="shared" si="3"/>
        <v>0</v>
      </c>
      <c r="X8" s="78"/>
      <c r="Y8" s="77"/>
      <c r="Z8" s="79"/>
      <c r="AA8" s="80"/>
      <c r="AB8" s="81">
        <f t="shared" si="4"/>
        <v>0</v>
      </c>
      <c r="AC8" s="78"/>
      <c r="AD8" s="77"/>
      <c r="AE8" s="79"/>
      <c r="AF8" s="80"/>
      <c r="AG8" s="81">
        <f t="shared" si="5"/>
        <v>0</v>
      </c>
      <c r="AH8" s="78"/>
      <c r="AI8" s="77"/>
      <c r="AJ8" s="79"/>
      <c r="AK8" s="80"/>
      <c r="AL8" s="81">
        <f t="shared" si="6"/>
        <v>0</v>
      </c>
      <c r="AM8" s="78"/>
      <c r="AN8" s="77"/>
      <c r="AO8" s="83">
        <v>1</v>
      </c>
      <c r="AP8" s="118">
        <v>0.3</v>
      </c>
      <c r="AQ8" s="85">
        <f t="shared" si="7"/>
        <v>0.3</v>
      </c>
      <c r="AR8" s="86" t="s">
        <v>1190</v>
      </c>
      <c r="AS8" s="160"/>
    </row>
    <row r="9" spans="1:45" ht="311.25" customHeight="1" x14ac:dyDescent="0.25">
      <c r="A9" s="77">
        <v>6</v>
      </c>
      <c r="B9" s="78" t="s">
        <v>3</v>
      </c>
      <c r="C9" s="78" t="s">
        <v>4</v>
      </c>
      <c r="D9" s="78" t="s">
        <v>129</v>
      </c>
      <c r="E9" s="77"/>
      <c r="F9" s="79"/>
      <c r="G9" s="80"/>
      <c r="H9" s="81">
        <f t="shared" si="0"/>
        <v>0</v>
      </c>
      <c r="I9" s="78"/>
      <c r="J9" s="77"/>
      <c r="K9" s="126">
        <v>1</v>
      </c>
      <c r="L9" s="127">
        <v>0.79</v>
      </c>
      <c r="M9" s="85">
        <f t="shared" si="1"/>
        <v>0.79</v>
      </c>
      <c r="N9" s="128" t="s">
        <v>1623</v>
      </c>
      <c r="O9" s="77"/>
      <c r="P9" s="126">
        <v>1</v>
      </c>
      <c r="Q9" s="129">
        <v>0.95</v>
      </c>
      <c r="R9" s="85">
        <f t="shared" si="2"/>
        <v>0.95</v>
      </c>
      <c r="S9" s="128" t="s">
        <v>1633</v>
      </c>
      <c r="T9" s="77"/>
      <c r="U9" s="79"/>
      <c r="V9" s="80"/>
      <c r="W9" s="81">
        <f t="shared" si="3"/>
        <v>0</v>
      </c>
      <c r="X9" s="78"/>
      <c r="Y9" s="77"/>
      <c r="Z9" s="79"/>
      <c r="AA9" s="80"/>
      <c r="AB9" s="81">
        <f t="shared" si="4"/>
        <v>0</v>
      </c>
      <c r="AC9" s="78"/>
      <c r="AD9" s="77"/>
      <c r="AE9" s="79"/>
      <c r="AF9" s="80"/>
      <c r="AG9" s="81">
        <f t="shared" si="5"/>
        <v>0</v>
      </c>
      <c r="AH9" s="78"/>
      <c r="AI9" s="77"/>
      <c r="AJ9" s="79"/>
      <c r="AK9" s="80"/>
      <c r="AL9" s="81">
        <f t="shared" si="6"/>
        <v>0</v>
      </c>
      <c r="AM9" s="78"/>
      <c r="AN9" s="77"/>
      <c r="AO9" s="126">
        <v>1</v>
      </c>
      <c r="AP9" s="129">
        <v>0.1</v>
      </c>
      <c r="AQ9" s="85">
        <f t="shared" si="7"/>
        <v>0.1</v>
      </c>
      <c r="AR9" s="128" t="s">
        <v>1611</v>
      </c>
      <c r="AS9" s="160"/>
    </row>
    <row r="10" spans="1:45" ht="129" customHeight="1" x14ac:dyDescent="0.25">
      <c r="A10" s="77">
        <v>7</v>
      </c>
      <c r="B10" s="78" t="s">
        <v>3</v>
      </c>
      <c r="C10" s="78" t="s">
        <v>4</v>
      </c>
      <c r="D10" s="78" t="s">
        <v>36</v>
      </c>
      <c r="E10" s="77"/>
      <c r="F10" s="79"/>
      <c r="G10" s="80"/>
      <c r="H10" s="81">
        <f t="shared" si="0"/>
        <v>0</v>
      </c>
      <c r="I10" s="82"/>
      <c r="J10" s="77"/>
      <c r="K10" s="83">
        <v>1</v>
      </c>
      <c r="L10" s="84">
        <v>0.75</v>
      </c>
      <c r="M10" s="85">
        <f t="shared" si="1"/>
        <v>0.75</v>
      </c>
      <c r="N10" s="86" t="s">
        <v>1181</v>
      </c>
      <c r="O10" s="77"/>
      <c r="P10" s="83">
        <v>1</v>
      </c>
      <c r="Q10" s="118">
        <v>0.7</v>
      </c>
      <c r="R10" s="85">
        <f t="shared" si="2"/>
        <v>0.7</v>
      </c>
      <c r="S10" s="86" t="s">
        <v>1184</v>
      </c>
      <c r="T10" s="77"/>
      <c r="U10" s="79"/>
      <c r="V10" s="80"/>
      <c r="W10" s="81">
        <f t="shared" si="3"/>
        <v>0</v>
      </c>
      <c r="X10" s="82"/>
      <c r="Y10" s="77"/>
      <c r="Z10" s="79"/>
      <c r="AA10" s="80"/>
      <c r="AB10" s="81">
        <f t="shared" si="4"/>
        <v>0</v>
      </c>
      <c r="AC10" s="82"/>
      <c r="AD10" s="77"/>
      <c r="AE10" s="79"/>
      <c r="AF10" s="80"/>
      <c r="AG10" s="81">
        <f t="shared" si="5"/>
        <v>0</v>
      </c>
      <c r="AH10" s="82"/>
      <c r="AI10" s="77"/>
      <c r="AJ10" s="79"/>
      <c r="AK10" s="80"/>
      <c r="AL10" s="81">
        <f t="shared" si="6"/>
        <v>0</v>
      </c>
      <c r="AM10" s="82"/>
      <c r="AN10" s="77"/>
      <c r="AO10" s="83">
        <v>1</v>
      </c>
      <c r="AP10" s="118">
        <v>0.2</v>
      </c>
      <c r="AQ10" s="85">
        <f t="shared" si="7"/>
        <v>0.2</v>
      </c>
      <c r="AR10" s="86" t="s">
        <v>1191</v>
      </c>
      <c r="AS10" s="160"/>
    </row>
    <row r="11" spans="1:45" ht="122.25" customHeight="1" x14ac:dyDescent="0.25">
      <c r="A11" s="77">
        <v>8</v>
      </c>
      <c r="B11" s="78" t="s">
        <v>3</v>
      </c>
      <c r="C11" s="78" t="s">
        <v>4</v>
      </c>
      <c r="D11" s="78" t="s">
        <v>64</v>
      </c>
      <c r="E11" s="77"/>
      <c r="F11" s="79"/>
      <c r="G11" s="80"/>
      <c r="H11" s="81">
        <f t="shared" si="0"/>
        <v>0</v>
      </c>
      <c r="I11" s="78"/>
      <c r="J11" s="77"/>
      <c r="K11" s="126">
        <v>1</v>
      </c>
      <c r="L11" s="127">
        <v>1</v>
      </c>
      <c r="M11" s="85">
        <f t="shared" si="1"/>
        <v>1</v>
      </c>
      <c r="N11" s="128"/>
      <c r="O11" s="77"/>
      <c r="P11" s="126">
        <v>1</v>
      </c>
      <c r="Q11" s="129">
        <v>0.9</v>
      </c>
      <c r="R11" s="85">
        <f t="shared" si="2"/>
        <v>0.9</v>
      </c>
      <c r="S11" s="128" t="s">
        <v>1185</v>
      </c>
      <c r="T11" s="77"/>
      <c r="U11" s="79"/>
      <c r="V11" s="80"/>
      <c r="W11" s="81">
        <f t="shared" si="3"/>
        <v>0</v>
      </c>
      <c r="X11" s="82"/>
      <c r="Y11" s="77"/>
      <c r="Z11" s="79"/>
      <c r="AA11" s="80"/>
      <c r="AB11" s="81">
        <f t="shared" si="4"/>
        <v>0</v>
      </c>
      <c r="AC11" s="82"/>
      <c r="AD11" s="77"/>
      <c r="AE11" s="79"/>
      <c r="AF11" s="80"/>
      <c r="AG11" s="81">
        <f t="shared" si="5"/>
        <v>0</v>
      </c>
      <c r="AH11" s="82"/>
      <c r="AI11" s="77"/>
      <c r="AJ11" s="79"/>
      <c r="AK11" s="80"/>
      <c r="AL11" s="81">
        <f t="shared" si="6"/>
        <v>0</v>
      </c>
      <c r="AM11" s="82"/>
      <c r="AN11" s="77"/>
      <c r="AO11" s="126">
        <v>1</v>
      </c>
      <c r="AP11" s="129">
        <v>0.15</v>
      </c>
      <c r="AQ11" s="85">
        <f t="shared" si="7"/>
        <v>0.15</v>
      </c>
      <c r="AR11" s="128" t="s">
        <v>1192</v>
      </c>
      <c r="AS11" s="160"/>
    </row>
    <row r="12" spans="1:45" ht="95.25" customHeight="1" x14ac:dyDescent="0.25">
      <c r="A12" s="77">
        <v>9</v>
      </c>
      <c r="B12" s="78" t="s">
        <v>3</v>
      </c>
      <c r="C12" s="78" t="s">
        <v>5</v>
      </c>
      <c r="D12" s="78" t="s">
        <v>37</v>
      </c>
      <c r="E12" s="77"/>
      <c r="F12" s="79"/>
      <c r="G12" s="80"/>
      <c r="H12" s="81">
        <f t="shared" si="0"/>
        <v>0</v>
      </c>
      <c r="I12" s="82"/>
      <c r="J12" s="77"/>
      <c r="K12" s="83">
        <v>1</v>
      </c>
      <c r="L12" s="99">
        <v>0.54</v>
      </c>
      <c r="M12" s="85">
        <f t="shared" si="1"/>
        <v>0.54</v>
      </c>
      <c r="N12" s="86" t="s">
        <v>1288</v>
      </c>
      <c r="O12" s="77"/>
      <c r="P12" s="83">
        <v>1</v>
      </c>
      <c r="Q12" s="118">
        <v>1</v>
      </c>
      <c r="R12" s="85">
        <f t="shared" si="2"/>
        <v>1</v>
      </c>
      <c r="S12" s="86"/>
      <c r="T12" s="77"/>
      <c r="U12" s="79"/>
      <c r="V12" s="80"/>
      <c r="W12" s="81">
        <f t="shared" si="3"/>
        <v>0</v>
      </c>
      <c r="X12" s="82"/>
      <c r="Y12" s="77"/>
      <c r="Z12" s="79"/>
      <c r="AA12" s="80"/>
      <c r="AB12" s="81">
        <f t="shared" si="4"/>
        <v>0</v>
      </c>
      <c r="AC12" s="82"/>
      <c r="AD12" s="77"/>
      <c r="AE12" s="79"/>
      <c r="AF12" s="80"/>
      <c r="AG12" s="81">
        <f t="shared" si="5"/>
        <v>0</v>
      </c>
      <c r="AH12" s="82"/>
      <c r="AI12" s="77"/>
      <c r="AJ12" s="79"/>
      <c r="AK12" s="80"/>
      <c r="AL12" s="81">
        <f t="shared" si="6"/>
        <v>0</v>
      </c>
      <c r="AM12" s="82"/>
      <c r="AN12" s="77"/>
      <c r="AO12" s="83">
        <v>1</v>
      </c>
      <c r="AP12" s="118">
        <v>0.1</v>
      </c>
      <c r="AQ12" s="85">
        <f t="shared" si="7"/>
        <v>0.1</v>
      </c>
      <c r="AR12" s="86" t="s">
        <v>1208</v>
      </c>
      <c r="AS12" s="160"/>
    </row>
    <row r="13" spans="1:45" ht="195" customHeight="1" x14ac:dyDescent="0.25">
      <c r="A13" s="77">
        <v>10</v>
      </c>
      <c r="B13" s="78" t="s">
        <v>3</v>
      </c>
      <c r="C13" s="78" t="s">
        <v>5</v>
      </c>
      <c r="D13" s="78" t="s">
        <v>38</v>
      </c>
      <c r="E13" s="77"/>
      <c r="F13" s="79"/>
      <c r="G13" s="80"/>
      <c r="H13" s="81">
        <f t="shared" si="0"/>
        <v>0</v>
      </c>
      <c r="I13" s="82"/>
      <c r="J13" s="77"/>
      <c r="K13" s="126">
        <v>1</v>
      </c>
      <c r="L13" s="127">
        <v>0.54</v>
      </c>
      <c r="M13" s="85">
        <f t="shared" si="1"/>
        <v>0.54</v>
      </c>
      <c r="N13" s="128" t="s">
        <v>1534</v>
      </c>
      <c r="O13" s="77"/>
      <c r="P13" s="126">
        <v>1</v>
      </c>
      <c r="Q13" s="129">
        <v>0.9</v>
      </c>
      <c r="R13" s="85">
        <f t="shared" si="2"/>
        <v>0.9</v>
      </c>
      <c r="S13" s="128" t="s">
        <v>1207</v>
      </c>
      <c r="T13" s="77"/>
      <c r="U13" s="79"/>
      <c r="V13" s="80"/>
      <c r="W13" s="81">
        <f t="shared" si="3"/>
        <v>0</v>
      </c>
      <c r="X13" s="82"/>
      <c r="Y13" s="77"/>
      <c r="Z13" s="79"/>
      <c r="AA13" s="80"/>
      <c r="AB13" s="81">
        <f t="shared" si="4"/>
        <v>0</v>
      </c>
      <c r="AC13" s="82"/>
      <c r="AD13" s="77"/>
      <c r="AE13" s="79"/>
      <c r="AF13" s="80"/>
      <c r="AG13" s="81">
        <f t="shared" si="5"/>
        <v>0</v>
      </c>
      <c r="AH13" s="82"/>
      <c r="AI13" s="77"/>
      <c r="AJ13" s="79"/>
      <c r="AK13" s="80"/>
      <c r="AL13" s="81">
        <f t="shared" si="6"/>
        <v>0</v>
      </c>
      <c r="AM13" s="82"/>
      <c r="AN13" s="77"/>
      <c r="AO13" s="126">
        <v>1</v>
      </c>
      <c r="AP13" s="129">
        <v>0.25</v>
      </c>
      <c r="AQ13" s="85">
        <f t="shared" si="7"/>
        <v>0.25</v>
      </c>
      <c r="AR13" s="128" t="s">
        <v>1194</v>
      </c>
      <c r="AS13" s="160"/>
    </row>
    <row r="14" spans="1:45" ht="78.75" x14ac:dyDescent="0.25">
      <c r="A14" s="77">
        <v>11</v>
      </c>
      <c r="B14" s="78" t="s">
        <v>3</v>
      </c>
      <c r="C14" s="78" t="s">
        <v>31</v>
      </c>
      <c r="D14" s="78" t="s">
        <v>39</v>
      </c>
      <c r="E14" s="77"/>
      <c r="F14" s="79"/>
      <c r="G14" s="80"/>
      <c r="H14" s="81">
        <f t="shared" si="0"/>
        <v>0</v>
      </c>
      <c r="I14" s="82"/>
      <c r="J14" s="77"/>
      <c r="K14" s="83">
        <v>1</v>
      </c>
      <c r="L14" s="84">
        <v>0.85</v>
      </c>
      <c r="M14" s="85">
        <f t="shared" si="1"/>
        <v>0.85</v>
      </c>
      <c r="N14" s="86" t="s">
        <v>1199</v>
      </c>
      <c r="O14" s="77"/>
      <c r="P14" s="83">
        <v>1</v>
      </c>
      <c r="Q14" s="118">
        <v>1</v>
      </c>
      <c r="R14" s="85">
        <f t="shared" si="2"/>
        <v>1</v>
      </c>
      <c r="S14" s="86"/>
      <c r="T14" s="77"/>
      <c r="U14" s="79"/>
      <c r="V14" s="80"/>
      <c r="W14" s="81">
        <f t="shared" si="3"/>
        <v>0</v>
      </c>
      <c r="X14" s="82"/>
      <c r="Y14" s="77"/>
      <c r="Z14" s="79"/>
      <c r="AA14" s="80"/>
      <c r="AB14" s="81">
        <f t="shared" si="4"/>
        <v>0</v>
      </c>
      <c r="AC14" s="82"/>
      <c r="AD14" s="77"/>
      <c r="AE14" s="79"/>
      <c r="AF14" s="80"/>
      <c r="AG14" s="81">
        <f t="shared" si="5"/>
        <v>0</v>
      </c>
      <c r="AH14" s="82"/>
      <c r="AI14" s="77"/>
      <c r="AJ14" s="79"/>
      <c r="AK14" s="80"/>
      <c r="AL14" s="81">
        <f t="shared" si="6"/>
        <v>0</v>
      </c>
      <c r="AM14" s="82"/>
      <c r="AN14" s="77"/>
      <c r="AO14" s="83">
        <v>1</v>
      </c>
      <c r="AP14" s="118">
        <v>0.15</v>
      </c>
      <c r="AQ14" s="85">
        <f t="shared" si="7"/>
        <v>0.15</v>
      </c>
      <c r="AR14" s="86" t="s">
        <v>1195</v>
      </c>
      <c r="AS14" s="160"/>
    </row>
    <row r="15" spans="1:45" ht="87" customHeight="1" x14ac:dyDescent="0.25">
      <c r="A15" s="77">
        <v>12</v>
      </c>
      <c r="B15" s="78" t="s">
        <v>3</v>
      </c>
      <c r="C15" s="78" t="s">
        <v>31</v>
      </c>
      <c r="D15" s="78" t="s">
        <v>40</v>
      </c>
      <c r="E15" s="77"/>
      <c r="F15" s="79"/>
      <c r="G15" s="80"/>
      <c r="H15" s="81">
        <f t="shared" si="0"/>
        <v>0</v>
      </c>
      <c r="I15" s="82"/>
      <c r="J15" s="77"/>
      <c r="K15" s="126">
        <v>1</v>
      </c>
      <c r="L15" s="127">
        <v>1</v>
      </c>
      <c r="M15" s="85">
        <f t="shared" si="1"/>
        <v>1</v>
      </c>
      <c r="N15" s="128"/>
      <c r="O15" s="77"/>
      <c r="P15" s="126">
        <v>1</v>
      </c>
      <c r="Q15" s="129">
        <v>0.95</v>
      </c>
      <c r="R15" s="85">
        <f t="shared" si="2"/>
        <v>0.95</v>
      </c>
      <c r="S15" s="128" t="s">
        <v>1187</v>
      </c>
      <c r="T15" s="77"/>
      <c r="U15" s="79"/>
      <c r="V15" s="80"/>
      <c r="W15" s="81">
        <f t="shared" si="3"/>
        <v>0</v>
      </c>
      <c r="X15" s="82"/>
      <c r="Y15" s="77"/>
      <c r="Z15" s="79"/>
      <c r="AA15" s="80"/>
      <c r="AB15" s="81">
        <f t="shared" si="4"/>
        <v>0</v>
      </c>
      <c r="AC15" s="82"/>
      <c r="AD15" s="77"/>
      <c r="AE15" s="79"/>
      <c r="AF15" s="80"/>
      <c r="AG15" s="81">
        <f t="shared" si="5"/>
        <v>0</v>
      </c>
      <c r="AH15" s="82"/>
      <c r="AI15" s="77"/>
      <c r="AJ15" s="79"/>
      <c r="AK15" s="80"/>
      <c r="AL15" s="81">
        <f t="shared" si="6"/>
        <v>0</v>
      </c>
      <c r="AM15" s="82"/>
      <c r="AN15" s="77"/>
      <c r="AO15" s="126">
        <v>1</v>
      </c>
      <c r="AP15" s="129">
        <v>0.5</v>
      </c>
      <c r="AQ15" s="85">
        <f t="shared" si="7"/>
        <v>0.5</v>
      </c>
      <c r="AR15" s="128" t="s">
        <v>1196</v>
      </c>
      <c r="AS15" s="160"/>
    </row>
    <row r="16" spans="1:45" ht="284.25" customHeight="1" x14ac:dyDescent="0.25">
      <c r="A16" s="77">
        <v>13</v>
      </c>
      <c r="B16" s="78" t="s">
        <v>6</v>
      </c>
      <c r="C16" s="78" t="s">
        <v>7</v>
      </c>
      <c r="D16" s="78" t="s">
        <v>41</v>
      </c>
      <c r="E16" s="77"/>
      <c r="F16" s="79"/>
      <c r="G16" s="80"/>
      <c r="H16" s="81">
        <f t="shared" si="0"/>
        <v>0</v>
      </c>
      <c r="I16" s="82"/>
      <c r="J16" s="77"/>
      <c r="K16" s="100">
        <v>1</v>
      </c>
      <c r="L16" s="101">
        <v>1</v>
      </c>
      <c r="M16" s="85">
        <f t="shared" si="1"/>
        <v>1</v>
      </c>
      <c r="N16" s="102" t="s">
        <v>299</v>
      </c>
      <c r="O16" s="77"/>
      <c r="P16" s="100">
        <v>1</v>
      </c>
      <c r="Q16" s="101">
        <v>0.9</v>
      </c>
      <c r="R16" s="85">
        <f t="shared" si="2"/>
        <v>0.9</v>
      </c>
      <c r="S16" s="102" t="s">
        <v>317</v>
      </c>
      <c r="T16" s="77"/>
      <c r="U16" s="79"/>
      <c r="V16" s="80"/>
      <c r="W16" s="81">
        <f t="shared" si="3"/>
        <v>0</v>
      </c>
      <c r="X16" s="82"/>
      <c r="Y16" s="77"/>
      <c r="Z16" s="79"/>
      <c r="AA16" s="80"/>
      <c r="AB16" s="81">
        <f t="shared" si="4"/>
        <v>0</v>
      </c>
      <c r="AC16" s="82"/>
      <c r="AD16" s="77"/>
      <c r="AE16" s="79"/>
      <c r="AF16" s="80"/>
      <c r="AG16" s="81">
        <f t="shared" si="5"/>
        <v>0</v>
      </c>
      <c r="AH16" s="82"/>
      <c r="AI16" s="77"/>
      <c r="AJ16" s="79"/>
      <c r="AK16" s="80"/>
      <c r="AL16" s="81">
        <f t="shared" si="6"/>
        <v>0</v>
      </c>
      <c r="AM16" s="82"/>
      <c r="AN16" s="77"/>
      <c r="AO16" s="100">
        <v>1</v>
      </c>
      <c r="AP16" s="101">
        <v>0.95</v>
      </c>
      <c r="AQ16" s="85">
        <f t="shared" si="7"/>
        <v>0.95</v>
      </c>
      <c r="AR16" s="102" t="s">
        <v>335</v>
      </c>
      <c r="AS16" s="160"/>
    </row>
    <row r="17" spans="1:45" ht="126" x14ac:dyDescent="0.25">
      <c r="A17" s="77">
        <v>14</v>
      </c>
      <c r="B17" s="78" t="s">
        <v>6</v>
      </c>
      <c r="C17" s="78" t="s">
        <v>7</v>
      </c>
      <c r="D17" s="78" t="s">
        <v>130</v>
      </c>
      <c r="E17" s="77"/>
      <c r="F17" s="79"/>
      <c r="G17" s="80"/>
      <c r="H17" s="81">
        <f t="shared" si="0"/>
        <v>0</v>
      </c>
      <c r="I17" s="82"/>
      <c r="J17" s="77"/>
      <c r="K17" s="100">
        <v>1</v>
      </c>
      <c r="L17" s="101">
        <v>1</v>
      </c>
      <c r="M17" s="85">
        <f t="shared" si="1"/>
        <v>1</v>
      </c>
      <c r="N17" s="102" t="s">
        <v>300</v>
      </c>
      <c r="O17" s="77"/>
      <c r="P17" s="100">
        <v>1</v>
      </c>
      <c r="Q17" s="101">
        <v>0.4</v>
      </c>
      <c r="R17" s="85">
        <f t="shared" si="2"/>
        <v>0.4</v>
      </c>
      <c r="S17" s="102" t="s">
        <v>318</v>
      </c>
      <c r="T17" s="77"/>
      <c r="U17" s="79"/>
      <c r="V17" s="80"/>
      <c r="W17" s="81">
        <f t="shared" si="3"/>
        <v>0</v>
      </c>
      <c r="X17" s="82"/>
      <c r="Y17" s="77"/>
      <c r="Z17" s="79"/>
      <c r="AA17" s="80"/>
      <c r="AB17" s="81">
        <f t="shared" si="4"/>
        <v>0</v>
      </c>
      <c r="AC17" s="82"/>
      <c r="AD17" s="77"/>
      <c r="AE17" s="79"/>
      <c r="AF17" s="80"/>
      <c r="AG17" s="81">
        <f t="shared" si="5"/>
        <v>0</v>
      </c>
      <c r="AH17" s="82"/>
      <c r="AI17" s="77"/>
      <c r="AJ17" s="79"/>
      <c r="AK17" s="80"/>
      <c r="AL17" s="81">
        <f t="shared" si="6"/>
        <v>0</v>
      </c>
      <c r="AM17" s="82"/>
      <c r="AN17" s="77"/>
      <c r="AO17" s="100">
        <v>1</v>
      </c>
      <c r="AP17" s="101">
        <v>0.55000000000000004</v>
      </c>
      <c r="AQ17" s="85">
        <f t="shared" si="7"/>
        <v>0.55000000000000004</v>
      </c>
      <c r="AR17" s="102" t="s">
        <v>336</v>
      </c>
      <c r="AS17" s="160"/>
    </row>
    <row r="18" spans="1:45" ht="94.5" x14ac:dyDescent="0.25">
      <c r="A18" s="77">
        <v>15</v>
      </c>
      <c r="B18" s="78" t="s">
        <v>6</v>
      </c>
      <c r="C18" s="78" t="s">
        <v>7</v>
      </c>
      <c r="D18" s="78" t="s">
        <v>131</v>
      </c>
      <c r="E18" s="77"/>
      <c r="F18" s="79"/>
      <c r="G18" s="80"/>
      <c r="H18" s="81">
        <f t="shared" si="0"/>
        <v>0</v>
      </c>
      <c r="I18" s="82"/>
      <c r="J18" s="77"/>
      <c r="K18" s="100">
        <v>1</v>
      </c>
      <c r="L18" s="101">
        <v>1</v>
      </c>
      <c r="M18" s="85">
        <f t="shared" si="1"/>
        <v>1</v>
      </c>
      <c r="N18" s="78" t="s">
        <v>301</v>
      </c>
      <c r="O18" s="77"/>
      <c r="P18" s="100">
        <v>1</v>
      </c>
      <c r="Q18" s="101">
        <v>1</v>
      </c>
      <c r="R18" s="85">
        <f t="shared" si="2"/>
        <v>1</v>
      </c>
      <c r="S18" s="78" t="s">
        <v>272</v>
      </c>
      <c r="T18" s="77"/>
      <c r="U18" s="79"/>
      <c r="V18" s="80"/>
      <c r="W18" s="81">
        <f t="shared" si="3"/>
        <v>0</v>
      </c>
      <c r="X18" s="82"/>
      <c r="Y18" s="77"/>
      <c r="Z18" s="79"/>
      <c r="AA18" s="80"/>
      <c r="AB18" s="81">
        <f t="shared" si="4"/>
        <v>0</v>
      </c>
      <c r="AC18" s="82"/>
      <c r="AD18" s="77"/>
      <c r="AE18" s="79"/>
      <c r="AF18" s="80"/>
      <c r="AG18" s="81">
        <f t="shared" si="5"/>
        <v>0</v>
      </c>
      <c r="AH18" s="82"/>
      <c r="AI18" s="77"/>
      <c r="AJ18" s="79"/>
      <c r="AK18" s="80"/>
      <c r="AL18" s="81">
        <f t="shared" si="6"/>
        <v>0</v>
      </c>
      <c r="AM18" s="82"/>
      <c r="AN18" s="77"/>
      <c r="AO18" s="100">
        <v>1</v>
      </c>
      <c r="AP18" s="101">
        <v>0.95</v>
      </c>
      <c r="AQ18" s="85">
        <f t="shared" si="7"/>
        <v>0.95</v>
      </c>
      <c r="AR18" s="78" t="s">
        <v>337</v>
      </c>
      <c r="AS18" s="160"/>
    </row>
    <row r="19" spans="1:45" ht="94.5" x14ac:dyDescent="0.25">
      <c r="A19" s="77">
        <v>16</v>
      </c>
      <c r="B19" s="78" t="s">
        <v>6</v>
      </c>
      <c r="C19" s="78" t="s">
        <v>7</v>
      </c>
      <c r="D19" s="78" t="s">
        <v>42</v>
      </c>
      <c r="E19" s="77"/>
      <c r="F19" s="79"/>
      <c r="G19" s="80"/>
      <c r="H19" s="81">
        <f t="shared" si="0"/>
        <v>0</v>
      </c>
      <c r="I19" s="82"/>
      <c r="J19" s="77"/>
      <c r="K19" s="100">
        <v>1</v>
      </c>
      <c r="L19" s="101">
        <v>1</v>
      </c>
      <c r="M19" s="85">
        <f t="shared" si="1"/>
        <v>1</v>
      </c>
      <c r="N19" s="78" t="s">
        <v>302</v>
      </c>
      <c r="O19" s="77"/>
      <c r="P19" s="100">
        <v>1</v>
      </c>
      <c r="Q19" s="101">
        <v>1</v>
      </c>
      <c r="R19" s="85">
        <f t="shared" si="2"/>
        <v>1</v>
      </c>
      <c r="S19" s="78" t="s">
        <v>319</v>
      </c>
      <c r="T19" s="77"/>
      <c r="U19" s="79"/>
      <c r="V19" s="80"/>
      <c r="W19" s="81">
        <f t="shared" si="3"/>
        <v>0</v>
      </c>
      <c r="X19" s="82"/>
      <c r="Y19" s="77"/>
      <c r="Z19" s="79"/>
      <c r="AA19" s="80"/>
      <c r="AB19" s="81">
        <f t="shared" si="4"/>
        <v>0</v>
      </c>
      <c r="AC19" s="82"/>
      <c r="AD19" s="77"/>
      <c r="AE19" s="79"/>
      <c r="AF19" s="80"/>
      <c r="AG19" s="81">
        <f t="shared" si="5"/>
        <v>0</v>
      </c>
      <c r="AH19" s="82"/>
      <c r="AI19" s="77"/>
      <c r="AJ19" s="79"/>
      <c r="AK19" s="80"/>
      <c r="AL19" s="81">
        <f t="shared" si="6"/>
        <v>0</v>
      </c>
      <c r="AM19" s="82"/>
      <c r="AN19" s="77"/>
      <c r="AO19" s="100">
        <v>1</v>
      </c>
      <c r="AP19" s="101">
        <v>0.95</v>
      </c>
      <c r="AQ19" s="85">
        <f t="shared" si="7"/>
        <v>0.95</v>
      </c>
      <c r="AR19" s="78" t="s">
        <v>239</v>
      </c>
      <c r="AS19" s="160"/>
    </row>
    <row r="20" spans="1:45" ht="195.75" customHeight="1" x14ac:dyDescent="0.25">
      <c r="A20" s="77">
        <v>17</v>
      </c>
      <c r="B20" s="78" t="s">
        <v>6</v>
      </c>
      <c r="C20" s="78" t="s">
        <v>7</v>
      </c>
      <c r="D20" s="78" t="s">
        <v>43</v>
      </c>
      <c r="E20" s="77"/>
      <c r="F20" s="79"/>
      <c r="G20" s="80"/>
      <c r="H20" s="81">
        <f t="shared" si="0"/>
        <v>0</v>
      </c>
      <c r="I20" s="82"/>
      <c r="J20" s="77"/>
      <c r="K20" s="100">
        <v>1</v>
      </c>
      <c r="L20" s="101">
        <v>0.7</v>
      </c>
      <c r="M20" s="85">
        <f t="shared" si="1"/>
        <v>0.7</v>
      </c>
      <c r="N20" s="102" t="s">
        <v>303</v>
      </c>
      <c r="O20" s="77"/>
      <c r="P20" s="100">
        <v>1</v>
      </c>
      <c r="Q20" s="101">
        <v>0.93</v>
      </c>
      <c r="R20" s="85">
        <f t="shared" si="2"/>
        <v>0.93</v>
      </c>
      <c r="S20" s="102" t="s">
        <v>320</v>
      </c>
      <c r="T20" s="77"/>
      <c r="U20" s="79"/>
      <c r="V20" s="80"/>
      <c r="W20" s="81">
        <f t="shared" si="3"/>
        <v>0</v>
      </c>
      <c r="X20" s="82"/>
      <c r="Y20" s="77"/>
      <c r="Z20" s="79"/>
      <c r="AA20" s="80"/>
      <c r="AB20" s="81">
        <f t="shared" si="4"/>
        <v>0</v>
      </c>
      <c r="AC20" s="82"/>
      <c r="AD20" s="77"/>
      <c r="AE20" s="79"/>
      <c r="AF20" s="80"/>
      <c r="AG20" s="81">
        <f t="shared" si="5"/>
        <v>0</v>
      </c>
      <c r="AH20" s="82"/>
      <c r="AI20" s="77"/>
      <c r="AJ20" s="79"/>
      <c r="AK20" s="80"/>
      <c r="AL20" s="81">
        <f t="shared" si="6"/>
        <v>0</v>
      </c>
      <c r="AM20" s="82"/>
      <c r="AN20" s="77"/>
      <c r="AO20" s="100">
        <v>1</v>
      </c>
      <c r="AP20" s="101">
        <v>0.65</v>
      </c>
      <c r="AQ20" s="85">
        <f>AO20*AP20</f>
        <v>0.65</v>
      </c>
      <c r="AR20" s="102" t="s">
        <v>338</v>
      </c>
      <c r="AS20" s="160"/>
    </row>
    <row r="21" spans="1:45" ht="219" customHeight="1" x14ac:dyDescent="0.25">
      <c r="A21" s="77">
        <v>18</v>
      </c>
      <c r="B21" s="78" t="s">
        <v>6</v>
      </c>
      <c r="C21" s="78" t="s">
        <v>7</v>
      </c>
      <c r="D21" s="78" t="s">
        <v>44</v>
      </c>
      <c r="E21" s="77"/>
      <c r="F21" s="79"/>
      <c r="G21" s="80"/>
      <c r="H21" s="81">
        <f t="shared" si="0"/>
        <v>0</v>
      </c>
      <c r="I21" s="82"/>
      <c r="J21" s="77"/>
      <c r="K21" s="100">
        <v>1</v>
      </c>
      <c r="L21" s="101">
        <v>0.75</v>
      </c>
      <c r="M21" s="85">
        <f t="shared" si="1"/>
        <v>0.75</v>
      </c>
      <c r="N21" s="102" t="s">
        <v>304</v>
      </c>
      <c r="O21" s="77"/>
      <c r="P21" s="100">
        <v>1</v>
      </c>
      <c r="Q21" s="101">
        <v>0.75</v>
      </c>
      <c r="R21" s="85">
        <f t="shared" si="2"/>
        <v>0.75</v>
      </c>
      <c r="S21" s="102" t="s">
        <v>1558</v>
      </c>
      <c r="T21" s="77"/>
      <c r="U21" s="79"/>
      <c r="V21" s="80"/>
      <c r="W21" s="81">
        <f t="shared" si="3"/>
        <v>0</v>
      </c>
      <c r="X21" s="82"/>
      <c r="Y21" s="77"/>
      <c r="Z21" s="79"/>
      <c r="AA21" s="80"/>
      <c r="AB21" s="81">
        <f t="shared" si="4"/>
        <v>0</v>
      </c>
      <c r="AC21" s="82"/>
      <c r="AD21" s="77"/>
      <c r="AE21" s="79"/>
      <c r="AF21" s="80"/>
      <c r="AG21" s="81">
        <f t="shared" si="5"/>
        <v>0</v>
      </c>
      <c r="AH21" s="82"/>
      <c r="AI21" s="77"/>
      <c r="AJ21" s="79"/>
      <c r="AK21" s="80"/>
      <c r="AL21" s="81">
        <f t="shared" si="6"/>
        <v>0</v>
      </c>
      <c r="AM21" s="82"/>
      <c r="AN21" s="77"/>
      <c r="AO21" s="100">
        <v>1</v>
      </c>
      <c r="AP21" s="101">
        <v>0.72</v>
      </c>
      <c r="AQ21" s="85">
        <f t="shared" ref="AQ21:AQ23" si="8">AO21*AP21</f>
        <v>0.72</v>
      </c>
      <c r="AR21" s="102" t="s">
        <v>339</v>
      </c>
      <c r="AS21" s="160"/>
    </row>
    <row r="22" spans="1:45" ht="168" customHeight="1" x14ac:dyDescent="0.25">
      <c r="A22" s="77">
        <v>19</v>
      </c>
      <c r="B22" s="78" t="s">
        <v>6</v>
      </c>
      <c r="C22" s="78" t="s">
        <v>7</v>
      </c>
      <c r="D22" s="78" t="s">
        <v>45</v>
      </c>
      <c r="E22" s="77"/>
      <c r="F22" s="79"/>
      <c r="G22" s="80"/>
      <c r="H22" s="81">
        <f t="shared" si="0"/>
        <v>0</v>
      </c>
      <c r="I22" s="82"/>
      <c r="J22" s="77"/>
      <c r="K22" s="100">
        <v>1</v>
      </c>
      <c r="L22" s="101">
        <v>0.65</v>
      </c>
      <c r="M22" s="85">
        <f t="shared" si="1"/>
        <v>0.65</v>
      </c>
      <c r="N22" s="102" t="s">
        <v>305</v>
      </c>
      <c r="O22" s="77"/>
      <c r="P22" s="100">
        <v>1</v>
      </c>
      <c r="Q22" s="101">
        <v>0.6</v>
      </c>
      <c r="R22" s="85">
        <f t="shared" si="2"/>
        <v>0.6</v>
      </c>
      <c r="S22" s="102" t="s">
        <v>321</v>
      </c>
      <c r="T22" s="77"/>
      <c r="U22" s="79"/>
      <c r="V22" s="80"/>
      <c r="W22" s="81">
        <f t="shared" si="3"/>
        <v>0</v>
      </c>
      <c r="X22" s="82"/>
      <c r="Y22" s="77"/>
      <c r="Z22" s="79"/>
      <c r="AA22" s="80"/>
      <c r="AB22" s="81">
        <f t="shared" si="4"/>
        <v>0</v>
      </c>
      <c r="AC22" s="82"/>
      <c r="AD22" s="77"/>
      <c r="AE22" s="79"/>
      <c r="AF22" s="80"/>
      <c r="AG22" s="81">
        <f t="shared" si="5"/>
        <v>0</v>
      </c>
      <c r="AH22" s="82"/>
      <c r="AI22" s="77"/>
      <c r="AJ22" s="79"/>
      <c r="AK22" s="80"/>
      <c r="AL22" s="81">
        <f t="shared" si="6"/>
        <v>0</v>
      </c>
      <c r="AM22" s="82"/>
      <c r="AN22" s="77"/>
      <c r="AO22" s="100">
        <v>1</v>
      </c>
      <c r="AP22" s="101">
        <v>0.35</v>
      </c>
      <c r="AQ22" s="85">
        <f t="shared" si="8"/>
        <v>0.35</v>
      </c>
      <c r="AR22" s="102" t="s">
        <v>340</v>
      </c>
      <c r="AS22" s="160"/>
    </row>
    <row r="23" spans="1:45" ht="152.25" customHeight="1" x14ac:dyDescent="0.25">
      <c r="A23" s="77">
        <v>20</v>
      </c>
      <c r="B23" s="78" t="s">
        <v>6</v>
      </c>
      <c r="C23" s="78" t="s">
        <v>7</v>
      </c>
      <c r="D23" s="78" t="s">
        <v>46</v>
      </c>
      <c r="E23" s="77"/>
      <c r="F23" s="79"/>
      <c r="G23" s="80"/>
      <c r="H23" s="81">
        <f t="shared" si="0"/>
        <v>0</v>
      </c>
      <c r="I23" s="82"/>
      <c r="J23" s="77"/>
      <c r="K23" s="100">
        <v>1</v>
      </c>
      <c r="L23" s="101">
        <v>0.75</v>
      </c>
      <c r="M23" s="85">
        <f t="shared" si="1"/>
        <v>0.75</v>
      </c>
      <c r="N23" s="102" t="s">
        <v>306</v>
      </c>
      <c r="O23" s="77"/>
      <c r="P23" s="100">
        <v>1</v>
      </c>
      <c r="Q23" s="101">
        <v>0.5</v>
      </c>
      <c r="R23" s="85">
        <f t="shared" si="2"/>
        <v>0.5</v>
      </c>
      <c r="S23" s="102" t="s">
        <v>322</v>
      </c>
      <c r="T23" s="77"/>
      <c r="U23" s="79"/>
      <c r="V23" s="80"/>
      <c r="W23" s="81">
        <f t="shared" si="3"/>
        <v>0</v>
      </c>
      <c r="X23" s="82"/>
      <c r="Y23" s="77"/>
      <c r="Z23" s="79"/>
      <c r="AA23" s="80"/>
      <c r="AB23" s="81">
        <f t="shared" si="4"/>
        <v>0</v>
      </c>
      <c r="AC23" s="82"/>
      <c r="AD23" s="77"/>
      <c r="AE23" s="79"/>
      <c r="AF23" s="80"/>
      <c r="AG23" s="81">
        <f t="shared" si="5"/>
        <v>0</v>
      </c>
      <c r="AH23" s="82"/>
      <c r="AI23" s="77"/>
      <c r="AJ23" s="79"/>
      <c r="AK23" s="80"/>
      <c r="AL23" s="81">
        <f t="shared" si="6"/>
        <v>0</v>
      </c>
      <c r="AM23" s="82"/>
      <c r="AN23" s="77"/>
      <c r="AO23" s="100">
        <v>1</v>
      </c>
      <c r="AP23" s="101">
        <v>0.3</v>
      </c>
      <c r="AQ23" s="85">
        <f t="shared" si="8"/>
        <v>0.3</v>
      </c>
      <c r="AR23" s="102" t="s">
        <v>243</v>
      </c>
      <c r="AS23" s="160"/>
    </row>
    <row r="24" spans="1:45" ht="190.5" customHeight="1" x14ac:dyDescent="0.25">
      <c r="A24" s="77">
        <v>21</v>
      </c>
      <c r="B24" s="78" t="s">
        <v>6</v>
      </c>
      <c r="C24" s="78" t="s">
        <v>7</v>
      </c>
      <c r="D24" s="78" t="s">
        <v>47</v>
      </c>
      <c r="E24" s="77"/>
      <c r="F24" s="79"/>
      <c r="G24" s="80"/>
      <c r="H24" s="81">
        <f t="shared" si="0"/>
        <v>0</v>
      </c>
      <c r="I24" s="82"/>
      <c r="J24" s="77" t="s">
        <v>30</v>
      </c>
      <c r="K24" s="100">
        <v>1</v>
      </c>
      <c r="L24" s="101">
        <v>0.98</v>
      </c>
      <c r="M24" s="85">
        <f t="shared" si="1"/>
        <v>0.98</v>
      </c>
      <c r="N24" s="102" t="s">
        <v>307</v>
      </c>
      <c r="O24" s="77"/>
      <c r="P24" s="100">
        <v>1</v>
      </c>
      <c r="Q24" s="101">
        <v>0.9</v>
      </c>
      <c r="R24" s="85">
        <f t="shared" si="2"/>
        <v>0.9</v>
      </c>
      <c r="S24" s="102" t="s">
        <v>323</v>
      </c>
      <c r="T24" s="77"/>
      <c r="U24" s="79"/>
      <c r="V24" s="80"/>
      <c r="W24" s="81">
        <f t="shared" si="3"/>
        <v>0</v>
      </c>
      <c r="X24" s="82"/>
      <c r="Y24" s="77"/>
      <c r="Z24" s="79"/>
      <c r="AA24" s="80"/>
      <c r="AB24" s="81">
        <f t="shared" si="4"/>
        <v>0</v>
      </c>
      <c r="AC24" s="82"/>
      <c r="AD24" s="77"/>
      <c r="AE24" s="79"/>
      <c r="AF24" s="80"/>
      <c r="AG24" s="81">
        <f t="shared" si="5"/>
        <v>0</v>
      </c>
      <c r="AH24" s="82"/>
      <c r="AI24" s="77"/>
      <c r="AJ24" s="79"/>
      <c r="AK24" s="80"/>
      <c r="AL24" s="81">
        <f t="shared" si="6"/>
        <v>0</v>
      </c>
      <c r="AM24" s="82"/>
      <c r="AN24" s="77"/>
      <c r="AO24" s="100">
        <v>1</v>
      </c>
      <c r="AP24" s="101">
        <v>0.95</v>
      </c>
      <c r="AQ24" s="85">
        <f t="shared" si="7"/>
        <v>0.95</v>
      </c>
      <c r="AR24" s="102" t="s">
        <v>185</v>
      </c>
      <c r="AS24" s="160"/>
    </row>
    <row r="25" spans="1:45" s="73" customFormat="1" ht="157.5" x14ac:dyDescent="0.25">
      <c r="A25" s="77">
        <v>22</v>
      </c>
      <c r="B25" s="78" t="s">
        <v>6</v>
      </c>
      <c r="C25" s="78" t="s">
        <v>8</v>
      </c>
      <c r="D25" s="78" t="s">
        <v>48</v>
      </c>
      <c r="E25" s="77"/>
      <c r="F25" s="79"/>
      <c r="G25" s="80"/>
      <c r="H25" s="81">
        <f t="shared" si="0"/>
        <v>0</v>
      </c>
      <c r="I25" s="82"/>
      <c r="J25" s="77"/>
      <c r="K25" s="100">
        <v>1</v>
      </c>
      <c r="L25" s="101">
        <v>1</v>
      </c>
      <c r="M25" s="85">
        <f t="shared" si="1"/>
        <v>1</v>
      </c>
      <c r="N25" s="102" t="s">
        <v>308</v>
      </c>
      <c r="O25" s="77"/>
      <c r="P25" s="100">
        <v>1</v>
      </c>
      <c r="Q25" s="101">
        <v>1</v>
      </c>
      <c r="R25" s="85">
        <f t="shared" si="2"/>
        <v>1</v>
      </c>
      <c r="S25" s="102" t="s">
        <v>324</v>
      </c>
      <c r="T25" s="77"/>
      <c r="U25" s="79"/>
      <c r="V25" s="80"/>
      <c r="W25" s="81">
        <f t="shared" si="3"/>
        <v>0</v>
      </c>
      <c r="X25" s="82"/>
      <c r="Y25" s="77"/>
      <c r="Z25" s="79"/>
      <c r="AA25" s="80"/>
      <c r="AB25" s="81">
        <f t="shared" si="4"/>
        <v>0</v>
      </c>
      <c r="AC25" s="82"/>
      <c r="AD25" s="77"/>
      <c r="AE25" s="79"/>
      <c r="AF25" s="80"/>
      <c r="AG25" s="81">
        <f t="shared" si="5"/>
        <v>0</v>
      </c>
      <c r="AH25" s="82"/>
      <c r="AI25" s="77"/>
      <c r="AJ25" s="79"/>
      <c r="AK25" s="80"/>
      <c r="AL25" s="81">
        <f t="shared" si="6"/>
        <v>0</v>
      </c>
      <c r="AM25" s="82"/>
      <c r="AN25" s="77"/>
      <c r="AO25" s="100">
        <v>1</v>
      </c>
      <c r="AP25" s="101">
        <v>0.5</v>
      </c>
      <c r="AQ25" s="85">
        <f t="shared" si="7"/>
        <v>0.5</v>
      </c>
      <c r="AR25" s="102" t="s">
        <v>341</v>
      </c>
      <c r="AS25" s="161"/>
    </row>
    <row r="26" spans="1:45" ht="123.75" customHeight="1" x14ac:dyDescent="0.25">
      <c r="A26" s="77">
        <v>23</v>
      </c>
      <c r="B26" s="78" t="s">
        <v>6</v>
      </c>
      <c r="C26" s="78" t="s">
        <v>8</v>
      </c>
      <c r="D26" s="78" t="s">
        <v>49</v>
      </c>
      <c r="E26" s="77"/>
      <c r="F26" s="79"/>
      <c r="G26" s="80"/>
      <c r="H26" s="81">
        <f t="shared" si="0"/>
        <v>0</v>
      </c>
      <c r="I26" s="82"/>
      <c r="J26" s="77"/>
      <c r="K26" s="100">
        <v>1</v>
      </c>
      <c r="L26" s="101">
        <v>1</v>
      </c>
      <c r="M26" s="85">
        <f t="shared" si="1"/>
        <v>1</v>
      </c>
      <c r="N26" s="102" t="s">
        <v>309</v>
      </c>
      <c r="O26" s="77"/>
      <c r="P26" s="100">
        <v>1</v>
      </c>
      <c r="Q26" s="101">
        <v>1</v>
      </c>
      <c r="R26" s="85">
        <f t="shared" si="2"/>
        <v>1</v>
      </c>
      <c r="S26" s="102" t="s">
        <v>325</v>
      </c>
      <c r="T26" s="77"/>
      <c r="U26" s="79"/>
      <c r="V26" s="80"/>
      <c r="W26" s="81">
        <f t="shared" si="3"/>
        <v>0</v>
      </c>
      <c r="X26" s="82"/>
      <c r="Y26" s="77"/>
      <c r="Z26" s="79"/>
      <c r="AA26" s="80"/>
      <c r="AB26" s="81">
        <f t="shared" si="4"/>
        <v>0</v>
      </c>
      <c r="AC26" s="82"/>
      <c r="AD26" s="77"/>
      <c r="AE26" s="79"/>
      <c r="AF26" s="80"/>
      <c r="AG26" s="81">
        <f t="shared" si="5"/>
        <v>0</v>
      </c>
      <c r="AH26" s="82"/>
      <c r="AI26" s="77"/>
      <c r="AJ26" s="79"/>
      <c r="AK26" s="80"/>
      <c r="AL26" s="81">
        <f t="shared" si="6"/>
        <v>0</v>
      </c>
      <c r="AM26" s="82"/>
      <c r="AN26" s="77"/>
      <c r="AO26" s="100">
        <v>1</v>
      </c>
      <c r="AP26" s="101">
        <v>0.6</v>
      </c>
      <c r="AQ26" s="85">
        <f t="shared" si="7"/>
        <v>0.6</v>
      </c>
      <c r="AR26" s="102" t="s">
        <v>342</v>
      </c>
      <c r="AS26" s="160"/>
    </row>
    <row r="27" spans="1:45" ht="133.5" customHeight="1" x14ac:dyDescent="0.25">
      <c r="A27" s="77">
        <v>24</v>
      </c>
      <c r="B27" s="78" t="s">
        <v>6</v>
      </c>
      <c r="C27" s="78" t="s">
        <v>8</v>
      </c>
      <c r="D27" s="78" t="s">
        <v>50</v>
      </c>
      <c r="E27" s="77"/>
      <c r="F27" s="79"/>
      <c r="G27" s="80"/>
      <c r="H27" s="81">
        <f t="shared" si="0"/>
        <v>0</v>
      </c>
      <c r="I27" s="82"/>
      <c r="J27" s="77"/>
      <c r="K27" s="100">
        <v>1</v>
      </c>
      <c r="L27" s="101">
        <v>0.99</v>
      </c>
      <c r="M27" s="85">
        <f t="shared" si="1"/>
        <v>0.99</v>
      </c>
      <c r="N27" s="102" t="s">
        <v>262</v>
      </c>
      <c r="O27" s="77"/>
      <c r="P27" s="100">
        <v>1</v>
      </c>
      <c r="Q27" s="101">
        <v>1</v>
      </c>
      <c r="R27" s="85">
        <f t="shared" si="2"/>
        <v>1</v>
      </c>
      <c r="S27" s="102" t="s">
        <v>326</v>
      </c>
      <c r="T27" s="77"/>
      <c r="U27" s="79"/>
      <c r="V27" s="80"/>
      <c r="W27" s="81">
        <f t="shared" si="3"/>
        <v>0</v>
      </c>
      <c r="X27" s="82"/>
      <c r="Y27" s="77"/>
      <c r="Z27" s="79"/>
      <c r="AA27" s="80"/>
      <c r="AB27" s="81">
        <f t="shared" si="4"/>
        <v>0</v>
      </c>
      <c r="AC27" s="82"/>
      <c r="AD27" s="77"/>
      <c r="AE27" s="79"/>
      <c r="AF27" s="80"/>
      <c r="AG27" s="81">
        <f t="shared" si="5"/>
        <v>0</v>
      </c>
      <c r="AH27" s="82"/>
      <c r="AI27" s="77"/>
      <c r="AJ27" s="79"/>
      <c r="AK27" s="80"/>
      <c r="AL27" s="81">
        <f t="shared" si="6"/>
        <v>0</v>
      </c>
      <c r="AM27" s="82"/>
      <c r="AN27" s="77"/>
      <c r="AO27" s="100">
        <v>1</v>
      </c>
      <c r="AP27" s="101">
        <v>0.7</v>
      </c>
      <c r="AQ27" s="85">
        <f t="shared" si="7"/>
        <v>0.7</v>
      </c>
      <c r="AR27" s="102" t="s">
        <v>343</v>
      </c>
      <c r="AS27" s="160"/>
    </row>
    <row r="28" spans="1:45" ht="345" customHeight="1" x14ac:dyDescent="0.25">
      <c r="A28" s="77">
        <v>25</v>
      </c>
      <c r="B28" s="78" t="s">
        <v>6</v>
      </c>
      <c r="C28" s="78" t="s">
        <v>8</v>
      </c>
      <c r="D28" s="78" t="s">
        <v>51</v>
      </c>
      <c r="E28" s="77"/>
      <c r="F28" s="79"/>
      <c r="G28" s="80"/>
      <c r="H28" s="81">
        <f t="shared" si="0"/>
        <v>0</v>
      </c>
      <c r="I28" s="82"/>
      <c r="J28" s="77"/>
      <c r="K28" s="100">
        <v>1</v>
      </c>
      <c r="L28" s="101">
        <v>0.7</v>
      </c>
      <c r="M28" s="85">
        <f t="shared" si="1"/>
        <v>0.7</v>
      </c>
      <c r="N28" s="102" t="s">
        <v>310</v>
      </c>
      <c r="O28" s="77"/>
      <c r="P28" s="100">
        <v>1</v>
      </c>
      <c r="Q28" s="101">
        <v>0.6</v>
      </c>
      <c r="R28" s="85">
        <f t="shared" si="2"/>
        <v>0.6</v>
      </c>
      <c r="S28" s="102" t="s">
        <v>327</v>
      </c>
      <c r="T28" s="77"/>
      <c r="U28" s="79"/>
      <c r="V28" s="80"/>
      <c r="W28" s="81">
        <f t="shared" si="3"/>
        <v>0</v>
      </c>
      <c r="X28" s="82"/>
      <c r="Y28" s="77"/>
      <c r="Z28" s="79"/>
      <c r="AA28" s="80"/>
      <c r="AB28" s="81">
        <f t="shared" si="4"/>
        <v>0</v>
      </c>
      <c r="AC28" s="82"/>
      <c r="AD28" s="77"/>
      <c r="AE28" s="79"/>
      <c r="AF28" s="80"/>
      <c r="AG28" s="81">
        <f t="shared" si="5"/>
        <v>0</v>
      </c>
      <c r="AH28" s="82"/>
      <c r="AI28" s="77"/>
      <c r="AJ28" s="79"/>
      <c r="AK28" s="80"/>
      <c r="AL28" s="81">
        <f t="shared" si="6"/>
        <v>0</v>
      </c>
      <c r="AM28" s="82"/>
      <c r="AN28" s="77"/>
      <c r="AO28" s="100">
        <v>1</v>
      </c>
      <c r="AP28" s="101">
        <v>0.6</v>
      </c>
      <c r="AQ28" s="85">
        <f t="shared" si="7"/>
        <v>0.6</v>
      </c>
      <c r="AR28" s="102" t="s">
        <v>344</v>
      </c>
      <c r="AS28" s="160"/>
    </row>
    <row r="29" spans="1:45" ht="110.25" x14ac:dyDescent="0.25">
      <c r="A29" s="77">
        <v>26</v>
      </c>
      <c r="B29" s="78" t="s">
        <v>6</v>
      </c>
      <c r="C29" s="78" t="s">
        <v>8</v>
      </c>
      <c r="D29" s="78" t="s">
        <v>52</v>
      </c>
      <c r="E29" s="77"/>
      <c r="F29" s="79"/>
      <c r="G29" s="80"/>
      <c r="H29" s="81">
        <f t="shared" si="0"/>
        <v>0</v>
      </c>
      <c r="I29" s="82"/>
      <c r="J29" s="77"/>
      <c r="K29" s="100">
        <v>1</v>
      </c>
      <c r="L29" s="101">
        <v>1</v>
      </c>
      <c r="M29" s="85">
        <f t="shared" si="1"/>
        <v>1</v>
      </c>
      <c r="N29" s="102" t="s">
        <v>147</v>
      </c>
      <c r="O29" s="77"/>
      <c r="P29" s="100">
        <v>1</v>
      </c>
      <c r="Q29" s="101">
        <v>0.85</v>
      </c>
      <c r="R29" s="85">
        <f t="shared" si="2"/>
        <v>0.85</v>
      </c>
      <c r="S29" s="102" t="s">
        <v>328</v>
      </c>
      <c r="T29" s="77"/>
      <c r="U29" s="79"/>
      <c r="V29" s="80"/>
      <c r="W29" s="81">
        <f t="shared" si="3"/>
        <v>0</v>
      </c>
      <c r="X29" s="78"/>
      <c r="Y29" s="77"/>
      <c r="Z29" s="79"/>
      <c r="AA29" s="80"/>
      <c r="AB29" s="81">
        <f t="shared" si="4"/>
        <v>0</v>
      </c>
      <c r="AC29" s="78"/>
      <c r="AD29" s="77"/>
      <c r="AE29" s="79"/>
      <c r="AF29" s="80"/>
      <c r="AG29" s="81">
        <f t="shared" si="5"/>
        <v>0</v>
      </c>
      <c r="AH29" s="78"/>
      <c r="AI29" s="77"/>
      <c r="AJ29" s="79"/>
      <c r="AK29" s="80"/>
      <c r="AL29" s="81">
        <f t="shared" si="6"/>
        <v>0</v>
      </c>
      <c r="AM29" s="78"/>
      <c r="AN29" s="77"/>
      <c r="AO29" s="100">
        <v>1</v>
      </c>
      <c r="AP29" s="101">
        <v>0.85</v>
      </c>
      <c r="AQ29" s="85">
        <f t="shared" si="7"/>
        <v>0.85</v>
      </c>
      <c r="AR29" s="102" t="s">
        <v>345</v>
      </c>
      <c r="AS29" s="160"/>
    </row>
    <row r="30" spans="1:45" ht="378.75" customHeight="1" x14ac:dyDescent="0.25">
      <c r="A30" s="77">
        <v>27</v>
      </c>
      <c r="B30" s="78" t="s">
        <v>6</v>
      </c>
      <c r="C30" s="78" t="s">
        <v>8</v>
      </c>
      <c r="D30" s="78" t="s">
        <v>53</v>
      </c>
      <c r="E30" s="77"/>
      <c r="F30" s="79"/>
      <c r="G30" s="80"/>
      <c r="H30" s="81">
        <f t="shared" si="0"/>
        <v>0</v>
      </c>
      <c r="I30" s="82"/>
      <c r="J30" s="77"/>
      <c r="K30" s="100">
        <v>1</v>
      </c>
      <c r="L30" s="107">
        <v>1</v>
      </c>
      <c r="M30" s="85">
        <f t="shared" si="1"/>
        <v>1</v>
      </c>
      <c r="N30" s="102"/>
      <c r="O30" s="77"/>
      <c r="P30" s="100">
        <v>1</v>
      </c>
      <c r="Q30" s="101">
        <v>0.6</v>
      </c>
      <c r="R30" s="85">
        <f t="shared" si="2"/>
        <v>0.6</v>
      </c>
      <c r="S30" s="102" t="s">
        <v>329</v>
      </c>
      <c r="T30" s="77"/>
      <c r="U30" s="79"/>
      <c r="V30" s="80"/>
      <c r="W30" s="81">
        <f t="shared" si="3"/>
        <v>0</v>
      </c>
      <c r="X30" s="82"/>
      <c r="Y30" s="77"/>
      <c r="Z30" s="79"/>
      <c r="AA30" s="80"/>
      <c r="AB30" s="81">
        <f t="shared" si="4"/>
        <v>0</v>
      </c>
      <c r="AC30" s="82"/>
      <c r="AD30" s="77"/>
      <c r="AE30" s="79"/>
      <c r="AF30" s="80"/>
      <c r="AG30" s="81">
        <f t="shared" si="5"/>
        <v>0</v>
      </c>
      <c r="AH30" s="82"/>
      <c r="AI30" s="77"/>
      <c r="AJ30" s="79"/>
      <c r="AK30" s="80"/>
      <c r="AL30" s="81">
        <f t="shared" si="6"/>
        <v>0</v>
      </c>
      <c r="AM30" s="82"/>
      <c r="AN30" s="77"/>
      <c r="AO30" s="100">
        <v>1</v>
      </c>
      <c r="AP30" s="101">
        <v>1</v>
      </c>
      <c r="AQ30" s="85">
        <f t="shared" si="7"/>
        <v>1</v>
      </c>
      <c r="AR30" s="102"/>
      <c r="AS30" s="160"/>
    </row>
    <row r="31" spans="1:45" ht="164.25" customHeight="1" x14ac:dyDescent="0.25">
      <c r="A31" s="77">
        <v>28</v>
      </c>
      <c r="B31" s="78" t="s">
        <v>6</v>
      </c>
      <c r="C31" s="78" t="s">
        <v>8</v>
      </c>
      <c r="D31" s="78" t="s">
        <v>54</v>
      </c>
      <c r="E31" s="77"/>
      <c r="F31" s="79"/>
      <c r="G31" s="80"/>
      <c r="H31" s="81">
        <f t="shared" si="0"/>
        <v>0</v>
      </c>
      <c r="I31" s="82"/>
      <c r="J31" s="77"/>
      <c r="K31" s="100">
        <v>1</v>
      </c>
      <c r="L31" s="101">
        <v>1</v>
      </c>
      <c r="M31" s="85">
        <f t="shared" si="1"/>
        <v>1</v>
      </c>
      <c r="N31" s="102" t="s">
        <v>211</v>
      </c>
      <c r="O31" s="77"/>
      <c r="P31" s="100">
        <v>1</v>
      </c>
      <c r="Q31" s="101">
        <v>1</v>
      </c>
      <c r="R31" s="85">
        <f t="shared" si="2"/>
        <v>1</v>
      </c>
      <c r="S31" s="102" t="s">
        <v>330</v>
      </c>
      <c r="T31" s="77"/>
      <c r="U31" s="79"/>
      <c r="V31" s="80"/>
      <c r="W31" s="81">
        <f t="shared" si="3"/>
        <v>0</v>
      </c>
      <c r="X31" s="82"/>
      <c r="Y31" s="77"/>
      <c r="Z31" s="79"/>
      <c r="AA31" s="80"/>
      <c r="AB31" s="81">
        <f t="shared" si="4"/>
        <v>0</v>
      </c>
      <c r="AC31" s="82"/>
      <c r="AD31" s="77"/>
      <c r="AE31" s="79"/>
      <c r="AF31" s="80"/>
      <c r="AG31" s="81">
        <f t="shared" si="5"/>
        <v>0</v>
      </c>
      <c r="AH31" s="82"/>
      <c r="AI31" s="77"/>
      <c r="AJ31" s="79"/>
      <c r="AK31" s="80"/>
      <c r="AL31" s="81">
        <f t="shared" si="6"/>
        <v>0</v>
      </c>
      <c r="AM31" s="82"/>
      <c r="AN31" s="77"/>
      <c r="AO31" s="100">
        <v>1</v>
      </c>
      <c r="AP31" s="101">
        <v>1</v>
      </c>
      <c r="AQ31" s="85">
        <f t="shared" si="7"/>
        <v>1</v>
      </c>
      <c r="AR31" s="102" t="s">
        <v>346</v>
      </c>
      <c r="AS31" s="160"/>
    </row>
    <row r="32" spans="1:45" ht="185.25" customHeight="1" x14ac:dyDescent="0.25">
      <c r="A32" s="77">
        <v>29</v>
      </c>
      <c r="B32" s="78" t="s">
        <v>6</v>
      </c>
      <c r="C32" s="78" t="s">
        <v>8</v>
      </c>
      <c r="D32" s="78" t="s">
        <v>55</v>
      </c>
      <c r="E32" s="77"/>
      <c r="F32" s="79"/>
      <c r="G32" s="80"/>
      <c r="H32" s="81">
        <f t="shared" si="0"/>
        <v>0</v>
      </c>
      <c r="I32" s="82"/>
      <c r="J32" s="77"/>
      <c r="K32" s="100">
        <v>1</v>
      </c>
      <c r="L32" s="101">
        <v>0.95</v>
      </c>
      <c r="M32" s="85">
        <f t="shared" si="1"/>
        <v>0.95</v>
      </c>
      <c r="N32" s="102" t="s">
        <v>311</v>
      </c>
      <c r="O32" s="77"/>
      <c r="P32" s="100">
        <v>1</v>
      </c>
      <c r="Q32" s="101">
        <v>0.9</v>
      </c>
      <c r="R32" s="85">
        <f t="shared" si="2"/>
        <v>0.9</v>
      </c>
      <c r="S32" s="102" t="s">
        <v>331</v>
      </c>
      <c r="T32" s="77"/>
      <c r="U32" s="79"/>
      <c r="V32" s="80"/>
      <c r="W32" s="81">
        <f t="shared" si="3"/>
        <v>0</v>
      </c>
      <c r="X32" s="82"/>
      <c r="Y32" s="77"/>
      <c r="Z32" s="79"/>
      <c r="AA32" s="80"/>
      <c r="AB32" s="81">
        <f t="shared" si="4"/>
        <v>0</v>
      </c>
      <c r="AC32" s="82"/>
      <c r="AD32" s="77"/>
      <c r="AE32" s="79"/>
      <c r="AF32" s="80"/>
      <c r="AG32" s="81">
        <f t="shared" si="5"/>
        <v>0</v>
      </c>
      <c r="AH32" s="82"/>
      <c r="AI32" s="77"/>
      <c r="AJ32" s="79"/>
      <c r="AK32" s="80"/>
      <c r="AL32" s="81">
        <f t="shared" si="6"/>
        <v>0</v>
      </c>
      <c r="AM32" s="82"/>
      <c r="AN32" s="77"/>
      <c r="AO32" s="100">
        <v>1</v>
      </c>
      <c r="AP32" s="101">
        <v>0.95</v>
      </c>
      <c r="AQ32" s="85">
        <f t="shared" si="7"/>
        <v>0.95</v>
      </c>
      <c r="AR32" s="102" t="s">
        <v>347</v>
      </c>
      <c r="AS32" s="160"/>
    </row>
    <row r="33" spans="1:45" ht="118.5" customHeight="1" x14ac:dyDescent="0.25">
      <c r="A33" s="77">
        <v>30</v>
      </c>
      <c r="B33" s="78" t="s">
        <v>6</v>
      </c>
      <c r="C33" s="78" t="s">
        <v>8</v>
      </c>
      <c r="D33" s="78" t="s">
        <v>56</v>
      </c>
      <c r="E33" s="77"/>
      <c r="F33" s="79"/>
      <c r="G33" s="80"/>
      <c r="H33" s="81">
        <f t="shared" si="0"/>
        <v>0</v>
      </c>
      <c r="I33" s="82"/>
      <c r="J33" s="77"/>
      <c r="K33" s="100">
        <v>1</v>
      </c>
      <c r="L33" s="101">
        <v>1</v>
      </c>
      <c r="M33" s="85">
        <f t="shared" si="1"/>
        <v>1</v>
      </c>
      <c r="N33" s="102" t="s">
        <v>312</v>
      </c>
      <c r="O33" s="77"/>
      <c r="P33" s="100">
        <v>1</v>
      </c>
      <c r="Q33" s="101">
        <v>0.5</v>
      </c>
      <c r="R33" s="85">
        <f t="shared" si="2"/>
        <v>0.5</v>
      </c>
      <c r="S33" s="102" t="s">
        <v>172</v>
      </c>
      <c r="T33" s="77"/>
      <c r="U33" s="79"/>
      <c r="V33" s="80"/>
      <c r="W33" s="81">
        <f t="shared" si="3"/>
        <v>0</v>
      </c>
      <c r="X33" s="82"/>
      <c r="Y33" s="77"/>
      <c r="Z33" s="79"/>
      <c r="AA33" s="80"/>
      <c r="AB33" s="81">
        <f t="shared" si="4"/>
        <v>0</v>
      </c>
      <c r="AC33" s="82"/>
      <c r="AD33" s="77"/>
      <c r="AE33" s="79"/>
      <c r="AF33" s="80"/>
      <c r="AG33" s="81">
        <f t="shared" si="5"/>
        <v>0</v>
      </c>
      <c r="AH33" s="82"/>
      <c r="AI33" s="77"/>
      <c r="AJ33" s="79"/>
      <c r="AK33" s="80"/>
      <c r="AL33" s="81">
        <f t="shared" si="6"/>
        <v>0</v>
      </c>
      <c r="AM33" s="82"/>
      <c r="AN33" s="77"/>
      <c r="AO33" s="100">
        <v>1</v>
      </c>
      <c r="AP33" s="101">
        <v>0.5</v>
      </c>
      <c r="AQ33" s="85">
        <f t="shared" si="7"/>
        <v>0.5</v>
      </c>
      <c r="AR33" s="102" t="s">
        <v>193</v>
      </c>
      <c r="AS33" s="160"/>
    </row>
    <row r="34" spans="1:45" ht="248.25" customHeight="1" x14ac:dyDescent="0.25">
      <c r="A34" s="77">
        <v>31</v>
      </c>
      <c r="B34" s="78" t="s">
        <v>6</v>
      </c>
      <c r="C34" s="78" t="s">
        <v>9</v>
      </c>
      <c r="D34" s="102" t="s">
        <v>57</v>
      </c>
      <c r="E34" s="77"/>
      <c r="F34" s="79"/>
      <c r="G34" s="80"/>
      <c r="H34" s="81">
        <f t="shared" si="0"/>
        <v>0</v>
      </c>
      <c r="I34" s="82"/>
      <c r="J34" s="77"/>
      <c r="K34" s="100">
        <v>1</v>
      </c>
      <c r="L34" s="101">
        <v>0.62</v>
      </c>
      <c r="M34" s="85">
        <f t="shared" si="1"/>
        <v>0.62</v>
      </c>
      <c r="N34" s="102" t="s">
        <v>1569</v>
      </c>
      <c r="O34" s="77"/>
      <c r="P34" s="100">
        <v>1</v>
      </c>
      <c r="Q34" s="101">
        <v>0.3</v>
      </c>
      <c r="R34" s="85">
        <f t="shared" si="2"/>
        <v>0.3</v>
      </c>
      <c r="S34" s="102" t="s">
        <v>173</v>
      </c>
      <c r="T34" s="77"/>
      <c r="U34" s="79"/>
      <c r="V34" s="80"/>
      <c r="W34" s="81">
        <f t="shared" si="3"/>
        <v>0</v>
      </c>
      <c r="X34" s="82"/>
      <c r="Y34" s="77"/>
      <c r="Z34" s="79"/>
      <c r="AA34" s="80"/>
      <c r="AB34" s="81">
        <f t="shared" si="4"/>
        <v>0</v>
      </c>
      <c r="AC34" s="82"/>
      <c r="AD34" s="77"/>
      <c r="AE34" s="79"/>
      <c r="AF34" s="80"/>
      <c r="AG34" s="81">
        <f t="shared" si="5"/>
        <v>0</v>
      </c>
      <c r="AH34" s="82"/>
      <c r="AI34" s="77"/>
      <c r="AJ34" s="79"/>
      <c r="AK34" s="80"/>
      <c r="AL34" s="81">
        <f t="shared" si="6"/>
        <v>0</v>
      </c>
      <c r="AM34" s="82"/>
      <c r="AN34" s="77"/>
      <c r="AO34" s="100">
        <v>1</v>
      </c>
      <c r="AP34" s="101">
        <v>0.5</v>
      </c>
      <c r="AQ34" s="85">
        <f t="shared" si="7"/>
        <v>0.5</v>
      </c>
      <c r="AR34" s="102" t="s">
        <v>250</v>
      </c>
      <c r="AS34" s="160"/>
    </row>
    <row r="35" spans="1:45" ht="156.75" customHeight="1" x14ac:dyDescent="0.25">
      <c r="A35" s="77">
        <v>32</v>
      </c>
      <c r="B35" s="78" t="s">
        <v>6</v>
      </c>
      <c r="C35" s="78" t="s">
        <v>9</v>
      </c>
      <c r="D35" s="102" t="s">
        <v>58</v>
      </c>
      <c r="E35" s="77"/>
      <c r="F35" s="79"/>
      <c r="G35" s="80"/>
      <c r="H35" s="81">
        <f t="shared" si="0"/>
        <v>0</v>
      </c>
      <c r="I35" s="78"/>
      <c r="J35" s="77"/>
      <c r="K35" s="100">
        <v>1</v>
      </c>
      <c r="L35" s="101">
        <v>0.9</v>
      </c>
      <c r="M35" s="85">
        <f t="shared" si="1"/>
        <v>0.9</v>
      </c>
      <c r="N35" s="102" t="s">
        <v>313</v>
      </c>
      <c r="O35" s="77"/>
      <c r="P35" s="100">
        <v>1</v>
      </c>
      <c r="Q35" s="101">
        <v>0.7</v>
      </c>
      <c r="R35" s="85">
        <f t="shared" si="2"/>
        <v>0.7</v>
      </c>
      <c r="S35" s="102" t="s">
        <v>332</v>
      </c>
      <c r="T35" s="77"/>
      <c r="U35" s="79"/>
      <c r="V35" s="80"/>
      <c r="W35" s="81">
        <f t="shared" si="3"/>
        <v>0</v>
      </c>
      <c r="X35" s="82"/>
      <c r="Y35" s="77"/>
      <c r="Z35" s="79"/>
      <c r="AA35" s="80"/>
      <c r="AB35" s="81">
        <f t="shared" si="4"/>
        <v>0</v>
      </c>
      <c r="AC35" s="82"/>
      <c r="AD35" s="77"/>
      <c r="AE35" s="79"/>
      <c r="AF35" s="80"/>
      <c r="AG35" s="81">
        <f t="shared" si="5"/>
        <v>0</v>
      </c>
      <c r="AH35" s="82"/>
      <c r="AI35" s="77"/>
      <c r="AJ35" s="79"/>
      <c r="AK35" s="80"/>
      <c r="AL35" s="81">
        <f t="shared" si="6"/>
        <v>0</v>
      </c>
      <c r="AM35" s="82"/>
      <c r="AN35" s="77"/>
      <c r="AO35" s="100">
        <v>1</v>
      </c>
      <c r="AP35" s="101">
        <v>0.5</v>
      </c>
      <c r="AQ35" s="85">
        <f t="shared" si="7"/>
        <v>0.5</v>
      </c>
      <c r="AR35" s="102" t="s">
        <v>348</v>
      </c>
      <c r="AS35" s="160"/>
    </row>
    <row r="36" spans="1:45" ht="186" customHeight="1" x14ac:dyDescent="0.25">
      <c r="A36" s="77">
        <v>33</v>
      </c>
      <c r="B36" s="78" t="s">
        <v>6</v>
      </c>
      <c r="C36" s="78" t="s">
        <v>9</v>
      </c>
      <c r="D36" s="78" t="s">
        <v>59</v>
      </c>
      <c r="E36" s="77"/>
      <c r="F36" s="79"/>
      <c r="G36" s="80"/>
      <c r="H36" s="81">
        <f t="shared" si="0"/>
        <v>0</v>
      </c>
      <c r="I36" s="82"/>
      <c r="J36" s="77"/>
      <c r="K36" s="100">
        <v>1</v>
      </c>
      <c r="L36" s="101">
        <v>1</v>
      </c>
      <c r="M36" s="85">
        <f t="shared" si="1"/>
        <v>1</v>
      </c>
      <c r="N36" s="102"/>
      <c r="O36" s="77"/>
      <c r="P36" s="100">
        <v>1</v>
      </c>
      <c r="Q36" s="101">
        <v>0.5</v>
      </c>
      <c r="R36" s="85">
        <f t="shared" si="2"/>
        <v>0.5</v>
      </c>
      <c r="S36" s="102" t="s">
        <v>333</v>
      </c>
      <c r="T36" s="77"/>
      <c r="U36" s="79"/>
      <c r="V36" s="80"/>
      <c r="W36" s="81">
        <f t="shared" si="3"/>
        <v>0</v>
      </c>
      <c r="X36" s="82"/>
      <c r="Y36" s="77"/>
      <c r="Z36" s="79"/>
      <c r="AA36" s="80"/>
      <c r="AB36" s="81">
        <f t="shared" si="4"/>
        <v>0</v>
      </c>
      <c r="AC36" s="82"/>
      <c r="AD36" s="77"/>
      <c r="AE36" s="79"/>
      <c r="AF36" s="80"/>
      <c r="AG36" s="81">
        <f t="shared" si="5"/>
        <v>0</v>
      </c>
      <c r="AH36" s="82"/>
      <c r="AI36" s="77"/>
      <c r="AJ36" s="79"/>
      <c r="AK36" s="80"/>
      <c r="AL36" s="81">
        <f t="shared" si="6"/>
        <v>0</v>
      </c>
      <c r="AM36" s="82"/>
      <c r="AN36" s="77"/>
      <c r="AO36" s="100">
        <v>1</v>
      </c>
      <c r="AP36" s="101">
        <v>0.8</v>
      </c>
      <c r="AQ36" s="85">
        <f t="shared" si="7"/>
        <v>0.8</v>
      </c>
      <c r="AR36" s="102" t="s">
        <v>349</v>
      </c>
      <c r="AS36" s="160"/>
    </row>
    <row r="37" spans="1:45" ht="179.25" customHeight="1" x14ac:dyDescent="0.25">
      <c r="A37" s="77">
        <v>34</v>
      </c>
      <c r="B37" s="78" t="s">
        <v>6</v>
      </c>
      <c r="C37" s="78" t="s">
        <v>9</v>
      </c>
      <c r="D37" s="78" t="s">
        <v>60</v>
      </c>
      <c r="E37" s="77"/>
      <c r="F37" s="79"/>
      <c r="G37" s="80"/>
      <c r="H37" s="81">
        <f t="shared" si="0"/>
        <v>0</v>
      </c>
      <c r="I37" s="82"/>
      <c r="J37" s="77"/>
      <c r="K37" s="100">
        <v>1</v>
      </c>
      <c r="L37" s="101">
        <v>0.85</v>
      </c>
      <c r="M37" s="85">
        <f t="shared" si="1"/>
        <v>0.85</v>
      </c>
      <c r="N37" s="102" t="s">
        <v>314</v>
      </c>
      <c r="O37" s="77"/>
      <c r="P37" s="100">
        <v>1</v>
      </c>
      <c r="Q37" s="101">
        <v>1</v>
      </c>
      <c r="R37" s="85">
        <f t="shared" si="2"/>
        <v>1</v>
      </c>
      <c r="S37" s="102" t="s">
        <v>176</v>
      </c>
      <c r="T37" s="77"/>
      <c r="U37" s="79"/>
      <c r="V37" s="80"/>
      <c r="W37" s="81">
        <f t="shared" si="3"/>
        <v>0</v>
      </c>
      <c r="X37" s="82"/>
      <c r="Y37" s="77"/>
      <c r="Z37" s="79"/>
      <c r="AA37" s="80"/>
      <c r="AB37" s="81">
        <f t="shared" si="4"/>
        <v>0</v>
      </c>
      <c r="AC37" s="82"/>
      <c r="AD37" s="77"/>
      <c r="AE37" s="79"/>
      <c r="AF37" s="80"/>
      <c r="AG37" s="81">
        <f t="shared" si="5"/>
        <v>0</v>
      </c>
      <c r="AH37" s="82"/>
      <c r="AI37" s="77"/>
      <c r="AJ37" s="79"/>
      <c r="AK37" s="80"/>
      <c r="AL37" s="81">
        <f t="shared" si="6"/>
        <v>0</v>
      </c>
      <c r="AM37" s="82"/>
      <c r="AN37" s="77"/>
      <c r="AO37" s="100">
        <v>0</v>
      </c>
      <c r="AP37" s="101">
        <v>0</v>
      </c>
      <c r="AQ37" s="85">
        <f t="shared" si="7"/>
        <v>0</v>
      </c>
      <c r="AR37" s="102" t="s">
        <v>297</v>
      </c>
      <c r="AS37" s="160"/>
    </row>
    <row r="38" spans="1:45" ht="326.25" customHeight="1" x14ac:dyDescent="0.25">
      <c r="A38" s="77">
        <v>35</v>
      </c>
      <c r="B38" s="78" t="s">
        <v>6</v>
      </c>
      <c r="C38" s="78" t="s">
        <v>9</v>
      </c>
      <c r="D38" s="78" t="s">
        <v>61</v>
      </c>
      <c r="E38" s="77"/>
      <c r="F38" s="79"/>
      <c r="G38" s="80"/>
      <c r="H38" s="81">
        <f t="shared" si="0"/>
        <v>0</v>
      </c>
      <c r="I38" s="82"/>
      <c r="J38" s="77"/>
      <c r="K38" s="100">
        <v>1</v>
      </c>
      <c r="L38" s="101">
        <v>0.9</v>
      </c>
      <c r="M38" s="85">
        <f t="shared" si="1"/>
        <v>0.9</v>
      </c>
      <c r="N38" s="102" t="s">
        <v>315</v>
      </c>
      <c r="O38" s="77"/>
      <c r="P38" s="100">
        <v>1</v>
      </c>
      <c r="Q38" s="101">
        <v>0.98</v>
      </c>
      <c r="R38" s="85">
        <f t="shared" si="2"/>
        <v>0.98</v>
      </c>
      <c r="S38" s="102" t="s">
        <v>234</v>
      </c>
      <c r="T38" s="77"/>
      <c r="U38" s="79"/>
      <c r="V38" s="80"/>
      <c r="W38" s="81">
        <f t="shared" si="3"/>
        <v>0</v>
      </c>
      <c r="X38" s="82"/>
      <c r="Y38" s="77"/>
      <c r="Z38" s="79"/>
      <c r="AA38" s="80"/>
      <c r="AB38" s="81">
        <f t="shared" si="4"/>
        <v>0</v>
      </c>
      <c r="AC38" s="82"/>
      <c r="AD38" s="77"/>
      <c r="AE38" s="79"/>
      <c r="AF38" s="80"/>
      <c r="AG38" s="81">
        <f t="shared" si="5"/>
        <v>0</v>
      </c>
      <c r="AH38" s="82"/>
      <c r="AI38" s="77"/>
      <c r="AJ38" s="79"/>
      <c r="AK38" s="80"/>
      <c r="AL38" s="81">
        <f t="shared" si="6"/>
        <v>0</v>
      </c>
      <c r="AM38" s="82"/>
      <c r="AN38" s="77"/>
      <c r="AO38" s="100">
        <v>1</v>
      </c>
      <c r="AP38" s="101">
        <v>0.65</v>
      </c>
      <c r="AQ38" s="85">
        <f t="shared" si="7"/>
        <v>0.65</v>
      </c>
      <c r="AR38" s="102" t="s">
        <v>350</v>
      </c>
      <c r="AS38" s="160"/>
    </row>
    <row r="39" spans="1:45" ht="260.25" customHeight="1" x14ac:dyDescent="0.25">
      <c r="A39" s="77">
        <v>36</v>
      </c>
      <c r="B39" s="78" t="s">
        <v>6</v>
      </c>
      <c r="C39" s="78" t="s">
        <v>9</v>
      </c>
      <c r="D39" s="78" t="s">
        <v>62</v>
      </c>
      <c r="E39" s="77"/>
      <c r="F39" s="79"/>
      <c r="G39" s="80"/>
      <c r="H39" s="81">
        <f t="shared" si="0"/>
        <v>0</v>
      </c>
      <c r="I39" s="82"/>
      <c r="J39" s="77"/>
      <c r="K39" s="100">
        <v>1</v>
      </c>
      <c r="L39" s="101">
        <v>0.9</v>
      </c>
      <c r="M39" s="85">
        <f t="shared" si="1"/>
        <v>0.9</v>
      </c>
      <c r="N39" s="102" t="s">
        <v>216</v>
      </c>
      <c r="O39" s="77"/>
      <c r="P39" s="100">
        <v>1</v>
      </c>
      <c r="Q39" s="101">
        <v>0.96</v>
      </c>
      <c r="R39" s="85">
        <f t="shared" si="2"/>
        <v>0.96</v>
      </c>
      <c r="S39" s="102" t="s">
        <v>177</v>
      </c>
      <c r="T39" s="77"/>
      <c r="U39" s="79"/>
      <c r="V39" s="80"/>
      <c r="W39" s="81">
        <f t="shared" si="3"/>
        <v>0</v>
      </c>
      <c r="X39" s="82"/>
      <c r="Y39" s="77"/>
      <c r="Z39" s="79"/>
      <c r="AA39" s="80"/>
      <c r="AB39" s="81">
        <f t="shared" si="4"/>
        <v>0</v>
      </c>
      <c r="AC39" s="82"/>
      <c r="AD39" s="77"/>
      <c r="AE39" s="79"/>
      <c r="AF39" s="80"/>
      <c r="AG39" s="81">
        <f t="shared" si="5"/>
        <v>0</v>
      </c>
      <c r="AH39" s="82"/>
      <c r="AI39" s="77"/>
      <c r="AJ39" s="79"/>
      <c r="AK39" s="80"/>
      <c r="AL39" s="81">
        <f t="shared" si="6"/>
        <v>0</v>
      </c>
      <c r="AM39" s="82"/>
      <c r="AN39" s="77"/>
      <c r="AO39" s="100">
        <v>1</v>
      </c>
      <c r="AP39" s="101">
        <v>0.6</v>
      </c>
      <c r="AQ39" s="85">
        <f t="shared" si="7"/>
        <v>0.6</v>
      </c>
      <c r="AR39" s="102" t="s">
        <v>198</v>
      </c>
      <c r="AS39" s="160"/>
    </row>
    <row r="40" spans="1:45" ht="162.75" customHeight="1" x14ac:dyDescent="0.25">
      <c r="A40" s="77">
        <v>37</v>
      </c>
      <c r="B40" s="78" t="s">
        <v>6</v>
      </c>
      <c r="C40" s="78" t="s">
        <v>9</v>
      </c>
      <c r="D40" s="78" t="s">
        <v>63</v>
      </c>
      <c r="E40" s="77"/>
      <c r="F40" s="79"/>
      <c r="G40" s="80"/>
      <c r="H40" s="81">
        <f t="shared" si="0"/>
        <v>0</v>
      </c>
      <c r="I40" s="82"/>
      <c r="J40" s="77"/>
      <c r="K40" s="100">
        <v>1</v>
      </c>
      <c r="L40" s="101">
        <v>0.65</v>
      </c>
      <c r="M40" s="85">
        <f t="shared" si="1"/>
        <v>0.65</v>
      </c>
      <c r="N40" s="102" t="s">
        <v>316</v>
      </c>
      <c r="O40" s="77"/>
      <c r="P40" s="100">
        <v>1</v>
      </c>
      <c r="Q40" s="101">
        <v>0.98</v>
      </c>
      <c r="R40" s="85">
        <f t="shared" si="2"/>
        <v>0.98</v>
      </c>
      <c r="S40" s="102" t="s">
        <v>334</v>
      </c>
      <c r="T40" s="77"/>
      <c r="U40" s="79"/>
      <c r="V40" s="80"/>
      <c r="W40" s="81">
        <f t="shared" si="3"/>
        <v>0</v>
      </c>
      <c r="X40" s="82"/>
      <c r="Y40" s="77"/>
      <c r="Z40" s="79"/>
      <c r="AA40" s="80"/>
      <c r="AB40" s="81">
        <f t="shared" si="4"/>
        <v>0</v>
      </c>
      <c r="AC40" s="82"/>
      <c r="AD40" s="77"/>
      <c r="AE40" s="79"/>
      <c r="AF40" s="80"/>
      <c r="AG40" s="81">
        <f t="shared" si="5"/>
        <v>0</v>
      </c>
      <c r="AH40" s="82"/>
      <c r="AI40" s="77"/>
      <c r="AJ40" s="79"/>
      <c r="AK40" s="80"/>
      <c r="AL40" s="81">
        <f t="shared" si="6"/>
        <v>0</v>
      </c>
      <c r="AM40" s="82"/>
      <c r="AN40" s="77"/>
      <c r="AO40" s="100">
        <v>1</v>
      </c>
      <c r="AP40" s="101">
        <v>0.6</v>
      </c>
      <c r="AQ40" s="85">
        <f t="shared" si="7"/>
        <v>0.6</v>
      </c>
      <c r="AR40" s="102" t="s">
        <v>199</v>
      </c>
      <c r="AS40" s="160"/>
    </row>
    <row r="41" spans="1:45" ht="78.75" x14ac:dyDescent="0.25">
      <c r="A41" s="77">
        <v>38</v>
      </c>
      <c r="B41" s="78" t="s">
        <v>10</v>
      </c>
      <c r="C41" s="78" t="s">
        <v>11</v>
      </c>
      <c r="D41" s="78" t="s">
        <v>65</v>
      </c>
      <c r="E41" s="77"/>
      <c r="F41" s="79"/>
      <c r="G41" s="80"/>
      <c r="H41" s="81">
        <f t="shared" si="0"/>
        <v>0</v>
      </c>
      <c r="I41" s="82"/>
      <c r="J41" s="77"/>
      <c r="K41" s="100">
        <v>1</v>
      </c>
      <c r="L41" s="101">
        <v>0.9</v>
      </c>
      <c r="M41" s="85">
        <f t="shared" si="1"/>
        <v>0.9</v>
      </c>
      <c r="N41" s="78" t="s">
        <v>1340</v>
      </c>
      <c r="O41" s="77"/>
      <c r="P41" s="100">
        <v>1</v>
      </c>
      <c r="Q41" s="101">
        <v>0.93</v>
      </c>
      <c r="R41" s="85">
        <f t="shared" si="2"/>
        <v>0.93</v>
      </c>
      <c r="S41" s="78" t="s">
        <v>1341</v>
      </c>
      <c r="T41" s="77"/>
      <c r="U41" s="79"/>
      <c r="V41" s="80"/>
      <c r="W41" s="81">
        <f t="shared" si="3"/>
        <v>0</v>
      </c>
      <c r="X41" s="82"/>
      <c r="Y41" s="77"/>
      <c r="Z41" s="79"/>
      <c r="AA41" s="80"/>
      <c r="AB41" s="81">
        <f t="shared" si="4"/>
        <v>0</v>
      </c>
      <c r="AC41" s="82"/>
      <c r="AD41" s="77"/>
      <c r="AE41" s="79"/>
      <c r="AF41" s="80"/>
      <c r="AG41" s="81">
        <f t="shared" si="5"/>
        <v>0</v>
      </c>
      <c r="AH41" s="82"/>
      <c r="AI41" s="77"/>
      <c r="AJ41" s="79"/>
      <c r="AK41" s="80"/>
      <c r="AL41" s="81">
        <f t="shared" si="6"/>
        <v>0</v>
      </c>
      <c r="AM41" s="82"/>
      <c r="AN41" s="77"/>
      <c r="AO41" s="100">
        <v>1</v>
      </c>
      <c r="AP41" s="101">
        <v>0.87</v>
      </c>
      <c r="AQ41" s="85">
        <f t="shared" si="7"/>
        <v>0.87</v>
      </c>
      <c r="AR41" s="78" t="s">
        <v>1342</v>
      </c>
      <c r="AS41" s="160"/>
    </row>
    <row r="42" spans="1:45" ht="105.75" customHeight="1" x14ac:dyDescent="0.25">
      <c r="A42" s="77">
        <v>39</v>
      </c>
      <c r="B42" s="78" t="s">
        <v>10</v>
      </c>
      <c r="C42" s="78" t="s">
        <v>11</v>
      </c>
      <c r="D42" s="78" t="s">
        <v>66</v>
      </c>
      <c r="E42" s="77"/>
      <c r="F42" s="79"/>
      <c r="G42" s="80"/>
      <c r="H42" s="81">
        <f t="shared" si="0"/>
        <v>0</v>
      </c>
      <c r="I42" s="82"/>
      <c r="J42" s="77"/>
      <c r="K42" s="100">
        <v>1</v>
      </c>
      <c r="L42" s="101">
        <v>1</v>
      </c>
      <c r="M42" s="85">
        <f t="shared" si="1"/>
        <v>1</v>
      </c>
      <c r="N42" s="78" t="s">
        <v>1058</v>
      </c>
      <c r="O42" s="77"/>
      <c r="P42" s="100">
        <v>1</v>
      </c>
      <c r="Q42" s="101">
        <v>1</v>
      </c>
      <c r="R42" s="85">
        <f t="shared" si="2"/>
        <v>1</v>
      </c>
      <c r="S42" s="78" t="s">
        <v>1064</v>
      </c>
      <c r="T42" s="77"/>
      <c r="U42" s="79"/>
      <c r="V42" s="80"/>
      <c r="W42" s="81">
        <f t="shared" si="3"/>
        <v>0</v>
      </c>
      <c r="X42" s="82"/>
      <c r="Y42" s="77"/>
      <c r="Z42" s="79"/>
      <c r="AA42" s="80"/>
      <c r="AB42" s="81">
        <f t="shared" si="4"/>
        <v>0</v>
      </c>
      <c r="AC42" s="82"/>
      <c r="AD42" s="77"/>
      <c r="AE42" s="79"/>
      <c r="AF42" s="80"/>
      <c r="AG42" s="81">
        <f t="shared" si="5"/>
        <v>0</v>
      </c>
      <c r="AH42" s="82"/>
      <c r="AI42" s="77"/>
      <c r="AJ42" s="79"/>
      <c r="AK42" s="80"/>
      <c r="AL42" s="81">
        <f t="shared" si="6"/>
        <v>0</v>
      </c>
      <c r="AM42" s="82"/>
      <c r="AN42" s="77"/>
      <c r="AO42" s="100">
        <v>1</v>
      </c>
      <c r="AP42" s="101">
        <v>1</v>
      </c>
      <c r="AQ42" s="85">
        <f t="shared" si="7"/>
        <v>1</v>
      </c>
      <c r="AR42" s="78" t="s">
        <v>1066</v>
      </c>
      <c r="AS42" s="160"/>
    </row>
    <row r="43" spans="1:45" ht="140.25" customHeight="1" x14ac:dyDescent="0.25">
      <c r="A43" s="77">
        <v>40</v>
      </c>
      <c r="B43" s="78" t="s">
        <v>10</v>
      </c>
      <c r="C43" s="78" t="s">
        <v>11</v>
      </c>
      <c r="D43" s="78" t="s">
        <v>67</v>
      </c>
      <c r="E43" s="77"/>
      <c r="F43" s="79"/>
      <c r="G43" s="80"/>
      <c r="H43" s="81">
        <f t="shared" si="0"/>
        <v>0</v>
      </c>
      <c r="I43" s="82"/>
      <c r="J43" s="77"/>
      <c r="K43" s="100">
        <v>1</v>
      </c>
      <c r="L43" s="101">
        <v>0.9</v>
      </c>
      <c r="M43" s="85">
        <f t="shared" si="1"/>
        <v>0.9</v>
      </c>
      <c r="N43" s="78" t="s">
        <v>1343</v>
      </c>
      <c r="O43" s="77"/>
      <c r="P43" s="100">
        <v>1</v>
      </c>
      <c r="Q43" s="101">
        <v>0.85</v>
      </c>
      <c r="R43" s="85">
        <f t="shared" si="2"/>
        <v>0.85</v>
      </c>
      <c r="S43" s="78" t="s">
        <v>1344</v>
      </c>
      <c r="T43" s="77"/>
      <c r="U43" s="79"/>
      <c r="V43" s="80"/>
      <c r="W43" s="81">
        <f t="shared" si="3"/>
        <v>0</v>
      </c>
      <c r="X43" s="82"/>
      <c r="Y43" s="77"/>
      <c r="Z43" s="79"/>
      <c r="AA43" s="80"/>
      <c r="AB43" s="81">
        <f t="shared" si="4"/>
        <v>0</v>
      </c>
      <c r="AC43" s="82"/>
      <c r="AD43" s="77"/>
      <c r="AE43" s="79"/>
      <c r="AF43" s="80"/>
      <c r="AG43" s="81">
        <f t="shared" si="5"/>
        <v>0</v>
      </c>
      <c r="AH43" s="82"/>
      <c r="AI43" s="77"/>
      <c r="AJ43" s="79"/>
      <c r="AK43" s="80"/>
      <c r="AL43" s="81">
        <f t="shared" si="6"/>
        <v>0</v>
      </c>
      <c r="AM43" s="82"/>
      <c r="AN43" s="77"/>
      <c r="AO43" s="100">
        <v>1</v>
      </c>
      <c r="AP43" s="101">
        <v>0.65</v>
      </c>
      <c r="AQ43" s="85">
        <f t="shared" si="7"/>
        <v>0.65</v>
      </c>
      <c r="AR43" s="78" t="s">
        <v>1345</v>
      </c>
      <c r="AS43" s="160"/>
    </row>
    <row r="44" spans="1:45" ht="102.75" customHeight="1" x14ac:dyDescent="0.25">
      <c r="A44" s="77">
        <v>41</v>
      </c>
      <c r="B44" s="78" t="s">
        <v>10</v>
      </c>
      <c r="C44" s="78" t="s">
        <v>11</v>
      </c>
      <c r="D44" s="78" t="s">
        <v>68</v>
      </c>
      <c r="E44" s="77"/>
      <c r="F44" s="79"/>
      <c r="G44" s="80"/>
      <c r="H44" s="81">
        <f t="shared" si="0"/>
        <v>0</v>
      </c>
      <c r="I44" s="82"/>
      <c r="J44" s="77"/>
      <c r="K44" s="100">
        <v>1</v>
      </c>
      <c r="L44" s="101">
        <v>1</v>
      </c>
      <c r="M44" s="85">
        <f t="shared" si="1"/>
        <v>1</v>
      </c>
      <c r="N44" s="78" t="s">
        <v>1059</v>
      </c>
      <c r="O44" s="77"/>
      <c r="P44" s="100">
        <v>1</v>
      </c>
      <c r="Q44" s="101">
        <v>0.87</v>
      </c>
      <c r="R44" s="85">
        <f t="shared" si="2"/>
        <v>0.87</v>
      </c>
      <c r="S44" s="116" t="s">
        <v>1346</v>
      </c>
      <c r="T44" s="77"/>
      <c r="U44" s="79"/>
      <c r="V44" s="80"/>
      <c r="W44" s="81">
        <f t="shared" si="3"/>
        <v>0</v>
      </c>
      <c r="X44" s="82"/>
      <c r="Y44" s="77"/>
      <c r="Z44" s="79"/>
      <c r="AA44" s="80"/>
      <c r="AB44" s="81">
        <f t="shared" si="4"/>
        <v>0</v>
      </c>
      <c r="AC44" s="82"/>
      <c r="AD44" s="77"/>
      <c r="AE44" s="79"/>
      <c r="AF44" s="80"/>
      <c r="AG44" s="81">
        <f t="shared" si="5"/>
        <v>0</v>
      </c>
      <c r="AH44" s="82"/>
      <c r="AI44" s="77"/>
      <c r="AJ44" s="79"/>
      <c r="AK44" s="80"/>
      <c r="AL44" s="81">
        <f t="shared" si="6"/>
        <v>0</v>
      </c>
      <c r="AM44" s="82"/>
      <c r="AN44" s="77"/>
      <c r="AO44" s="100">
        <v>1</v>
      </c>
      <c r="AP44" s="101">
        <v>0.87</v>
      </c>
      <c r="AQ44" s="85">
        <f t="shared" si="7"/>
        <v>0.87</v>
      </c>
      <c r="AR44" s="116" t="s">
        <v>1347</v>
      </c>
      <c r="AS44" s="160"/>
    </row>
    <row r="45" spans="1:45" ht="96" customHeight="1" x14ac:dyDescent="0.25">
      <c r="A45" s="77">
        <v>42</v>
      </c>
      <c r="B45" s="78" t="s">
        <v>10</v>
      </c>
      <c r="C45" s="78" t="s">
        <v>11</v>
      </c>
      <c r="D45" s="78" t="s">
        <v>69</v>
      </c>
      <c r="E45" s="77"/>
      <c r="F45" s="79"/>
      <c r="G45" s="80"/>
      <c r="H45" s="81">
        <f t="shared" si="0"/>
        <v>0</v>
      </c>
      <c r="I45" s="82"/>
      <c r="J45" s="77"/>
      <c r="K45" s="100">
        <v>1</v>
      </c>
      <c r="L45" s="101">
        <v>1</v>
      </c>
      <c r="M45" s="85">
        <f t="shared" si="1"/>
        <v>1</v>
      </c>
      <c r="N45" s="78" t="s">
        <v>1060</v>
      </c>
      <c r="O45" s="77"/>
      <c r="P45" s="100">
        <v>1</v>
      </c>
      <c r="Q45" s="101">
        <v>0.7</v>
      </c>
      <c r="R45" s="85">
        <f t="shared" si="2"/>
        <v>0.7</v>
      </c>
      <c r="S45" s="78" t="s">
        <v>1276</v>
      </c>
      <c r="T45" s="77"/>
      <c r="U45" s="79"/>
      <c r="V45" s="80"/>
      <c r="W45" s="81">
        <f t="shared" si="3"/>
        <v>0</v>
      </c>
      <c r="X45" s="82"/>
      <c r="Y45" s="77"/>
      <c r="Z45" s="79"/>
      <c r="AA45" s="80"/>
      <c r="AB45" s="81">
        <f t="shared" si="4"/>
        <v>0</v>
      </c>
      <c r="AC45" s="82"/>
      <c r="AD45" s="77"/>
      <c r="AE45" s="79"/>
      <c r="AF45" s="80"/>
      <c r="AG45" s="81">
        <f t="shared" si="5"/>
        <v>0</v>
      </c>
      <c r="AH45" s="82"/>
      <c r="AI45" s="77"/>
      <c r="AJ45" s="79"/>
      <c r="AK45" s="80"/>
      <c r="AL45" s="81">
        <f t="shared" si="6"/>
        <v>0</v>
      </c>
      <c r="AM45" s="82"/>
      <c r="AN45" s="77"/>
      <c r="AO45" s="100">
        <v>1</v>
      </c>
      <c r="AP45" s="101">
        <v>0.95</v>
      </c>
      <c r="AQ45" s="85">
        <f t="shared" si="7"/>
        <v>0.95</v>
      </c>
      <c r="AR45" s="78" t="s">
        <v>1277</v>
      </c>
      <c r="AS45" s="160"/>
    </row>
    <row r="46" spans="1:45" ht="63" x14ac:dyDescent="0.25">
      <c r="A46" s="77">
        <v>43</v>
      </c>
      <c r="B46" s="78" t="s">
        <v>10</v>
      </c>
      <c r="C46" s="78" t="s">
        <v>11</v>
      </c>
      <c r="D46" s="78" t="s">
        <v>70</v>
      </c>
      <c r="E46" s="77"/>
      <c r="F46" s="79"/>
      <c r="G46" s="80"/>
      <c r="H46" s="81">
        <f t="shared" si="0"/>
        <v>0</v>
      </c>
      <c r="I46" s="82"/>
      <c r="J46" s="77"/>
      <c r="K46" s="100">
        <v>1</v>
      </c>
      <c r="L46" s="101">
        <v>1</v>
      </c>
      <c r="M46" s="85">
        <f t="shared" si="1"/>
        <v>1</v>
      </c>
      <c r="N46" s="78" t="s">
        <v>1061</v>
      </c>
      <c r="O46" s="77"/>
      <c r="P46" s="100">
        <v>1</v>
      </c>
      <c r="Q46" s="101">
        <v>0.9</v>
      </c>
      <c r="R46" s="85">
        <f t="shared" si="2"/>
        <v>0.9</v>
      </c>
      <c r="S46" s="78" t="s">
        <v>1334</v>
      </c>
      <c r="T46" s="77"/>
      <c r="U46" s="79"/>
      <c r="V46" s="80"/>
      <c r="W46" s="81">
        <f t="shared" si="3"/>
        <v>0</v>
      </c>
      <c r="X46" s="82"/>
      <c r="Y46" s="77"/>
      <c r="Z46" s="79"/>
      <c r="AA46" s="80"/>
      <c r="AB46" s="81">
        <f t="shared" si="4"/>
        <v>0</v>
      </c>
      <c r="AC46" s="82"/>
      <c r="AD46" s="77"/>
      <c r="AE46" s="79"/>
      <c r="AF46" s="80"/>
      <c r="AG46" s="81">
        <f t="shared" si="5"/>
        <v>0</v>
      </c>
      <c r="AH46" s="82"/>
      <c r="AI46" s="77"/>
      <c r="AJ46" s="79"/>
      <c r="AK46" s="80"/>
      <c r="AL46" s="81">
        <f t="shared" si="6"/>
        <v>0</v>
      </c>
      <c r="AM46" s="82"/>
      <c r="AN46" s="77"/>
      <c r="AO46" s="100">
        <v>1</v>
      </c>
      <c r="AP46" s="101">
        <v>0.95</v>
      </c>
      <c r="AQ46" s="85">
        <f t="shared" si="7"/>
        <v>0.95</v>
      </c>
      <c r="AR46" s="78" t="s">
        <v>1348</v>
      </c>
      <c r="AS46" s="160"/>
    </row>
    <row r="47" spans="1:45" ht="63" x14ac:dyDescent="0.25">
      <c r="A47" s="77">
        <v>44</v>
      </c>
      <c r="B47" s="78" t="s">
        <v>10</v>
      </c>
      <c r="C47" s="78" t="s">
        <v>11</v>
      </c>
      <c r="D47" s="78" t="s">
        <v>12</v>
      </c>
      <c r="E47" s="77"/>
      <c r="F47" s="79"/>
      <c r="G47" s="80"/>
      <c r="H47" s="81">
        <f t="shared" si="0"/>
        <v>0</v>
      </c>
      <c r="I47" s="82"/>
      <c r="J47" s="77"/>
      <c r="K47" s="100">
        <v>1</v>
      </c>
      <c r="L47" s="101">
        <v>1</v>
      </c>
      <c r="M47" s="85">
        <f t="shared" si="1"/>
        <v>1</v>
      </c>
      <c r="N47" s="78" t="s">
        <v>1062</v>
      </c>
      <c r="O47" s="77"/>
      <c r="P47" s="100">
        <v>1</v>
      </c>
      <c r="Q47" s="101">
        <v>1</v>
      </c>
      <c r="R47" s="85">
        <f t="shared" si="2"/>
        <v>1</v>
      </c>
      <c r="S47" s="116" t="s">
        <v>1065</v>
      </c>
      <c r="T47" s="77"/>
      <c r="U47" s="79"/>
      <c r="V47" s="80"/>
      <c r="W47" s="81">
        <f t="shared" si="3"/>
        <v>0</v>
      </c>
      <c r="X47" s="82"/>
      <c r="Y47" s="77"/>
      <c r="Z47" s="79"/>
      <c r="AA47" s="80"/>
      <c r="AB47" s="81">
        <f t="shared" si="4"/>
        <v>0</v>
      </c>
      <c r="AC47" s="82"/>
      <c r="AD47" s="77"/>
      <c r="AE47" s="79"/>
      <c r="AF47" s="80"/>
      <c r="AG47" s="81">
        <f t="shared" si="5"/>
        <v>0</v>
      </c>
      <c r="AH47" s="82"/>
      <c r="AI47" s="77"/>
      <c r="AJ47" s="79"/>
      <c r="AK47" s="80"/>
      <c r="AL47" s="81">
        <f t="shared" si="6"/>
        <v>0</v>
      </c>
      <c r="AM47" s="82"/>
      <c r="AN47" s="77"/>
      <c r="AO47" s="100">
        <v>1</v>
      </c>
      <c r="AP47" s="101">
        <v>1</v>
      </c>
      <c r="AQ47" s="85">
        <f t="shared" si="7"/>
        <v>1</v>
      </c>
      <c r="AR47" s="78" t="s">
        <v>1058</v>
      </c>
      <c r="AS47" s="160"/>
    </row>
    <row r="48" spans="1:45" ht="78.75" x14ac:dyDescent="0.25">
      <c r="A48" s="77">
        <v>45</v>
      </c>
      <c r="B48" s="78" t="s">
        <v>10</v>
      </c>
      <c r="C48" s="78" t="s">
        <v>71</v>
      </c>
      <c r="D48" s="78" t="s">
        <v>72</v>
      </c>
      <c r="E48" s="77"/>
      <c r="F48" s="79"/>
      <c r="G48" s="80"/>
      <c r="H48" s="81">
        <f t="shared" si="0"/>
        <v>0</v>
      </c>
      <c r="I48" s="82"/>
      <c r="J48" s="77"/>
      <c r="K48" s="100">
        <v>1</v>
      </c>
      <c r="L48" s="101">
        <v>0.95</v>
      </c>
      <c r="M48" s="85">
        <f t="shared" si="1"/>
        <v>0.95</v>
      </c>
      <c r="N48" s="78" t="s">
        <v>1280</v>
      </c>
      <c r="O48" s="77"/>
      <c r="P48" s="100">
        <v>1</v>
      </c>
      <c r="Q48" s="101">
        <v>0.8</v>
      </c>
      <c r="R48" s="85">
        <f t="shared" si="2"/>
        <v>0.8</v>
      </c>
      <c r="S48" s="78" t="s">
        <v>1281</v>
      </c>
      <c r="T48" s="77"/>
      <c r="U48" s="79"/>
      <c r="V48" s="80"/>
      <c r="W48" s="81">
        <f t="shared" si="3"/>
        <v>0</v>
      </c>
      <c r="X48" s="82"/>
      <c r="Y48" s="77"/>
      <c r="Z48" s="79"/>
      <c r="AA48" s="80"/>
      <c r="AB48" s="81">
        <f t="shared" si="4"/>
        <v>0</v>
      </c>
      <c r="AC48" s="82"/>
      <c r="AD48" s="77"/>
      <c r="AE48" s="79"/>
      <c r="AF48" s="80"/>
      <c r="AG48" s="81">
        <f t="shared" si="5"/>
        <v>0</v>
      </c>
      <c r="AH48" s="82"/>
      <c r="AI48" s="77"/>
      <c r="AJ48" s="79"/>
      <c r="AK48" s="80"/>
      <c r="AL48" s="81">
        <f t="shared" si="6"/>
        <v>0</v>
      </c>
      <c r="AM48" s="82"/>
      <c r="AN48" s="77"/>
      <c r="AO48" s="100">
        <v>1</v>
      </c>
      <c r="AP48" s="101">
        <v>0.8</v>
      </c>
      <c r="AQ48" s="85">
        <f t="shared" si="7"/>
        <v>0.8</v>
      </c>
      <c r="AR48" s="78" t="s">
        <v>1336</v>
      </c>
      <c r="AS48" s="160"/>
    </row>
    <row r="49" spans="1:45" ht="47.25" x14ac:dyDescent="0.25">
      <c r="A49" s="77">
        <v>46</v>
      </c>
      <c r="B49" s="78" t="s">
        <v>10</v>
      </c>
      <c r="C49" s="78" t="s">
        <v>11</v>
      </c>
      <c r="D49" s="78" t="s">
        <v>13</v>
      </c>
      <c r="E49" s="77"/>
      <c r="F49" s="79"/>
      <c r="G49" s="80"/>
      <c r="H49" s="81">
        <f t="shared" si="0"/>
        <v>0</v>
      </c>
      <c r="I49" s="82"/>
      <c r="J49" s="77"/>
      <c r="K49" s="100">
        <v>1</v>
      </c>
      <c r="L49" s="101">
        <v>1</v>
      </c>
      <c r="M49" s="85">
        <f t="shared" si="1"/>
        <v>1</v>
      </c>
      <c r="N49" s="78" t="s">
        <v>1063</v>
      </c>
      <c r="O49" s="77"/>
      <c r="P49" s="100">
        <v>1</v>
      </c>
      <c r="Q49" s="101">
        <v>1</v>
      </c>
      <c r="R49" s="85">
        <f t="shared" si="2"/>
        <v>1</v>
      </c>
      <c r="S49" s="78" t="s">
        <v>1062</v>
      </c>
      <c r="T49" s="77"/>
      <c r="U49" s="79"/>
      <c r="V49" s="80"/>
      <c r="W49" s="81">
        <f t="shared" si="3"/>
        <v>0</v>
      </c>
      <c r="X49" s="82"/>
      <c r="Y49" s="77"/>
      <c r="Z49" s="79"/>
      <c r="AA49" s="80"/>
      <c r="AB49" s="81">
        <f t="shared" si="4"/>
        <v>0</v>
      </c>
      <c r="AC49" s="82"/>
      <c r="AD49" s="77"/>
      <c r="AE49" s="79"/>
      <c r="AF49" s="80"/>
      <c r="AG49" s="81">
        <f t="shared" si="5"/>
        <v>0</v>
      </c>
      <c r="AH49" s="82"/>
      <c r="AI49" s="77"/>
      <c r="AJ49" s="79"/>
      <c r="AK49" s="80"/>
      <c r="AL49" s="81">
        <f t="shared" si="6"/>
        <v>0</v>
      </c>
      <c r="AM49" s="82"/>
      <c r="AN49" s="77"/>
      <c r="AO49" s="100">
        <v>1</v>
      </c>
      <c r="AP49" s="101">
        <v>1</v>
      </c>
      <c r="AQ49" s="85">
        <f t="shared" si="7"/>
        <v>1</v>
      </c>
      <c r="AR49" s="78" t="s">
        <v>1062</v>
      </c>
      <c r="AS49" s="160"/>
    </row>
    <row r="50" spans="1:45" ht="94.5" x14ac:dyDescent="0.25">
      <c r="A50" s="77">
        <v>47</v>
      </c>
      <c r="B50" s="78" t="s">
        <v>14</v>
      </c>
      <c r="C50" s="78" t="s">
        <v>14</v>
      </c>
      <c r="D50" s="78" t="s">
        <v>15</v>
      </c>
      <c r="E50" s="77"/>
      <c r="F50" s="79"/>
      <c r="G50" s="80"/>
      <c r="H50" s="81">
        <f t="shared" si="0"/>
        <v>0</v>
      </c>
      <c r="I50" s="82"/>
      <c r="J50" s="77"/>
      <c r="K50" s="100">
        <v>1</v>
      </c>
      <c r="L50" s="101">
        <v>1</v>
      </c>
      <c r="M50" s="85">
        <f t="shared" si="1"/>
        <v>1</v>
      </c>
      <c r="N50" s="78" t="s">
        <v>1087</v>
      </c>
      <c r="O50" s="77"/>
      <c r="P50" s="100">
        <v>1</v>
      </c>
      <c r="Q50" s="101">
        <v>1</v>
      </c>
      <c r="R50" s="85">
        <f t="shared" si="2"/>
        <v>1</v>
      </c>
      <c r="S50" s="78" t="s">
        <v>1087</v>
      </c>
      <c r="T50" s="77"/>
      <c r="U50" s="79"/>
      <c r="V50" s="80"/>
      <c r="W50" s="81">
        <f t="shared" si="3"/>
        <v>0</v>
      </c>
      <c r="X50" s="82"/>
      <c r="Y50" s="77"/>
      <c r="Z50" s="79"/>
      <c r="AA50" s="80"/>
      <c r="AB50" s="81">
        <f t="shared" si="4"/>
        <v>0</v>
      </c>
      <c r="AC50" s="82"/>
      <c r="AD50" s="77"/>
      <c r="AE50" s="79"/>
      <c r="AF50" s="80"/>
      <c r="AG50" s="81">
        <f t="shared" si="5"/>
        <v>0</v>
      </c>
      <c r="AH50" s="82"/>
      <c r="AI50" s="77"/>
      <c r="AJ50" s="79"/>
      <c r="AK50" s="80"/>
      <c r="AL50" s="81">
        <f t="shared" si="6"/>
        <v>0</v>
      </c>
      <c r="AM50" s="82"/>
      <c r="AN50" s="77"/>
      <c r="AO50" s="100">
        <v>1</v>
      </c>
      <c r="AP50" s="101">
        <v>1</v>
      </c>
      <c r="AQ50" s="85">
        <f t="shared" si="7"/>
        <v>1</v>
      </c>
      <c r="AR50" s="116" t="s">
        <v>1087</v>
      </c>
      <c r="AS50" s="160"/>
    </row>
    <row r="51" spans="1:45" ht="228" customHeight="1" x14ac:dyDescent="0.25">
      <c r="A51" s="77">
        <v>48</v>
      </c>
      <c r="B51" s="78" t="s">
        <v>14</v>
      </c>
      <c r="C51" s="78" t="s">
        <v>14</v>
      </c>
      <c r="D51" s="78" t="s">
        <v>73</v>
      </c>
      <c r="E51" s="77"/>
      <c r="F51" s="79"/>
      <c r="G51" s="80"/>
      <c r="H51" s="81">
        <f t="shared" si="0"/>
        <v>0</v>
      </c>
      <c r="I51" s="82"/>
      <c r="J51" s="77"/>
      <c r="K51" s="100">
        <v>1</v>
      </c>
      <c r="L51" s="101">
        <v>0.65</v>
      </c>
      <c r="M51" s="85">
        <f t="shared" si="1"/>
        <v>0.65</v>
      </c>
      <c r="N51" s="78" t="s">
        <v>1103</v>
      </c>
      <c r="O51" s="77"/>
      <c r="P51" s="100">
        <v>1</v>
      </c>
      <c r="Q51" s="101">
        <v>0.75</v>
      </c>
      <c r="R51" s="85">
        <f t="shared" si="2"/>
        <v>0.75</v>
      </c>
      <c r="S51" s="78" t="s">
        <v>1104</v>
      </c>
      <c r="T51" s="77"/>
      <c r="U51" s="79"/>
      <c r="V51" s="80"/>
      <c r="W51" s="81">
        <f t="shared" si="3"/>
        <v>0</v>
      </c>
      <c r="X51" s="82"/>
      <c r="Y51" s="77"/>
      <c r="Z51" s="79"/>
      <c r="AA51" s="80"/>
      <c r="AB51" s="81">
        <f t="shared" si="4"/>
        <v>0</v>
      </c>
      <c r="AC51" s="82"/>
      <c r="AD51" s="77"/>
      <c r="AE51" s="79"/>
      <c r="AF51" s="80"/>
      <c r="AG51" s="81">
        <f t="shared" si="5"/>
        <v>0</v>
      </c>
      <c r="AH51" s="82"/>
      <c r="AI51" s="77"/>
      <c r="AJ51" s="79"/>
      <c r="AK51" s="80"/>
      <c r="AL51" s="81">
        <f t="shared" si="6"/>
        <v>0</v>
      </c>
      <c r="AM51" s="82"/>
      <c r="AN51" s="77"/>
      <c r="AO51" s="100">
        <v>1</v>
      </c>
      <c r="AP51" s="101">
        <v>0.4</v>
      </c>
      <c r="AQ51" s="85">
        <f t="shared" si="7"/>
        <v>0.4</v>
      </c>
      <c r="AR51" s="78" t="s">
        <v>1311</v>
      </c>
      <c r="AS51" s="160"/>
    </row>
    <row r="52" spans="1:45" ht="252" x14ac:dyDescent="0.25">
      <c r="A52" s="77">
        <v>49</v>
      </c>
      <c r="B52" s="78" t="s">
        <v>14</v>
      </c>
      <c r="C52" s="78" t="s">
        <v>14</v>
      </c>
      <c r="D52" s="78" t="s">
        <v>74</v>
      </c>
      <c r="E52" s="77"/>
      <c r="F52" s="79"/>
      <c r="G52" s="80"/>
      <c r="H52" s="81">
        <f t="shared" si="0"/>
        <v>0</v>
      </c>
      <c r="I52" s="82"/>
      <c r="J52" s="77"/>
      <c r="K52" s="100">
        <v>1</v>
      </c>
      <c r="L52" s="101">
        <v>0.7</v>
      </c>
      <c r="M52" s="85">
        <f t="shared" si="1"/>
        <v>0.7</v>
      </c>
      <c r="N52" s="78" t="s">
        <v>1559</v>
      </c>
      <c r="O52" s="77"/>
      <c r="P52" s="100">
        <v>1</v>
      </c>
      <c r="Q52" s="101">
        <v>0.7</v>
      </c>
      <c r="R52" s="85">
        <f t="shared" si="2"/>
        <v>0.7</v>
      </c>
      <c r="S52" s="78" t="s">
        <v>1105</v>
      </c>
      <c r="T52" s="77"/>
      <c r="U52" s="79"/>
      <c r="V52" s="80"/>
      <c r="W52" s="81">
        <f t="shared" si="3"/>
        <v>0</v>
      </c>
      <c r="X52" s="82"/>
      <c r="Y52" s="77"/>
      <c r="Z52" s="79"/>
      <c r="AA52" s="80"/>
      <c r="AB52" s="81">
        <f t="shared" si="4"/>
        <v>0</v>
      </c>
      <c r="AC52" s="82"/>
      <c r="AD52" s="77"/>
      <c r="AE52" s="79"/>
      <c r="AF52" s="80"/>
      <c r="AG52" s="81">
        <f t="shared" si="5"/>
        <v>0</v>
      </c>
      <c r="AH52" s="82"/>
      <c r="AI52" s="77"/>
      <c r="AJ52" s="79"/>
      <c r="AK52" s="80"/>
      <c r="AL52" s="81">
        <f t="shared" si="6"/>
        <v>0</v>
      </c>
      <c r="AM52" s="82"/>
      <c r="AN52" s="77"/>
      <c r="AO52" s="100">
        <v>1</v>
      </c>
      <c r="AP52" s="101">
        <v>0.2</v>
      </c>
      <c r="AQ52" s="85">
        <f t="shared" si="7"/>
        <v>0.2</v>
      </c>
      <c r="AR52" s="78" t="s">
        <v>1349</v>
      </c>
      <c r="AS52" s="160"/>
    </row>
    <row r="53" spans="1:45" ht="138" customHeight="1" x14ac:dyDescent="0.25">
      <c r="A53" s="77">
        <v>50</v>
      </c>
      <c r="B53" s="78" t="s">
        <v>14</v>
      </c>
      <c r="C53" s="78" t="s">
        <v>14</v>
      </c>
      <c r="D53" s="78" t="s">
        <v>75</v>
      </c>
      <c r="E53" s="77"/>
      <c r="F53" s="79"/>
      <c r="G53" s="80"/>
      <c r="H53" s="81">
        <f t="shared" si="0"/>
        <v>0</v>
      </c>
      <c r="I53" s="82"/>
      <c r="J53" s="77"/>
      <c r="K53" s="100">
        <v>1</v>
      </c>
      <c r="L53" s="101">
        <v>1</v>
      </c>
      <c r="M53" s="85">
        <f t="shared" si="1"/>
        <v>1</v>
      </c>
      <c r="N53" s="78" t="s">
        <v>1087</v>
      </c>
      <c r="O53" s="77"/>
      <c r="P53" s="100">
        <v>1</v>
      </c>
      <c r="Q53" s="101">
        <v>1</v>
      </c>
      <c r="R53" s="85">
        <f t="shared" si="2"/>
        <v>1</v>
      </c>
      <c r="S53" s="78" t="s">
        <v>1087</v>
      </c>
      <c r="T53" s="77"/>
      <c r="U53" s="79"/>
      <c r="V53" s="80"/>
      <c r="W53" s="81">
        <f t="shared" si="3"/>
        <v>0</v>
      </c>
      <c r="X53" s="82"/>
      <c r="Y53" s="77"/>
      <c r="Z53" s="79"/>
      <c r="AA53" s="80"/>
      <c r="AB53" s="81">
        <f t="shared" si="4"/>
        <v>0</v>
      </c>
      <c r="AC53" s="82"/>
      <c r="AD53" s="77"/>
      <c r="AE53" s="79"/>
      <c r="AF53" s="80"/>
      <c r="AG53" s="81">
        <f t="shared" si="5"/>
        <v>0</v>
      </c>
      <c r="AH53" s="82"/>
      <c r="AI53" s="77"/>
      <c r="AJ53" s="79"/>
      <c r="AK53" s="80"/>
      <c r="AL53" s="81">
        <f t="shared" si="6"/>
        <v>0</v>
      </c>
      <c r="AM53" s="82"/>
      <c r="AN53" s="77"/>
      <c r="AO53" s="100">
        <v>1</v>
      </c>
      <c r="AP53" s="101">
        <v>1</v>
      </c>
      <c r="AQ53" s="85">
        <f t="shared" si="7"/>
        <v>1</v>
      </c>
      <c r="AR53" s="78" t="s">
        <v>1087</v>
      </c>
      <c r="AS53" s="160"/>
    </row>
    <row r="54" spans="1:45" ht="109.5" customHeight="1" x14ac:dyDescent="0.25">
      <c r="A54" s="77">
        <v>51</v>
      </c>
      <c r="B54" s="78" t="s">
        <v>14</v>
      </c>
      <c r="C54" s="78" t="s">
        <v>14</v>
      </c>
      <c r="D54" s="78" t="s">
        <v>76</v>
      </c>
      <c r="E54" s="77"/>
      <c r="F54" s="79"/>
      <c r="G54" s="80"/>
      <c r="H54" s="81">
        <f t="shared" si="0"/>
        <v>0</v>
      </c>
      <c r="I54" s="82"/>
      <c r="J54" s="77"/>
      <c r="K54" s="100">
        <v>1</v>
      </c>
      <c r="L54" s="101">
        <v>1</v>
      </c>
      <c r="M54" s="85">
        <f t="shared" si="1"/>
        <v>1</v>
      </c>
      <c r="N54" s="78" t="s">
        <v>1087</v>
      </c>
      <c r="O54" s="77"/>
      <c r="P54" s="100">
        <v>1</v>
      </c>
      <c r="Q54" s="101">
        <v>1</v>
      </c>
      <c r="R54" s="85">
        <f t="shared" si="2"/>
        <v>1</v>
      </c>
      <c r="S54" s="78" t="s">
        <v>1087</v>
      </c>
      <c r="T54" s="77"/>
      <c r="U54" s="79"/>
      <c r="V54" s="80"/>
      <c r="W54" s="81">
        <f t="shared" si="3"/>
        <v>0</v>
      </c>
      <c r="X54" s="82"/>
      <c r="Y54" s="77"/>
      <c r="Z54" s="79"/>
      <c r="AA54" s="80"/>
      <c r="AB54" s="81">
        <f t="shared" si="4"/>
        <v>0</v>
      </c>
      <c r="AC54" s="82"/>
      <c r="AD54" s="77"/>
      <c r="AE54" s="79"/>
      <c r="AF54" s="80"/>
      <c r="AG54" s="81">
        <f t="shared" si="5"/>
        <v>0</v>
      </c>
      <c r="AH54" s="82"/>
      <c r="AI54" s="77"/>
      <c r="AJ54" s="79"/>
      <c r="AK54" s="80"/>
      <c r="AL54" s="81">
        <f t="shared" si="6"/>
        <v>0</v>
      </c>
      <c r="AM54" s="82"/>
      <c r="AN54" s="77"/>
      <c r="AO54" s="100">
        <v>1</v>
      </c>
      <c r="AP54" s="101">
        <v>1</v>
      </c>
      <c r="AQ54" s="85">
        <f t="shared" si="7"/>
        <v>1</v>
      </c>
      <c r="AR54" s="78" t="s">
        <v>1087</v>
      </c>
      <c r="AS54" s="160"/>
    </row>
    <row r="55" spans="1:45" ht="110.25" x14ac:dyDescent="0.25">
      <c r="A55" s="77">
        <v>52</v>
      </c>
      <c r="B55" s="78" t="s">
        <v>14</v>
      </c>
      <c r="C55" s="78" t="s">
        <v>14</v>
      </c>
      <c r="D55" s="78" t="s">
        <v>77</v>
      </c>
      <c r="E55" s="77"/>
      <c r="F55" s="79"/>
      <c r="G55" s="80"/>
      <c r="H55" s="81">
        <f t="shared" si="0"/>
        <v>0</v>
      </c>
      <c r="I55" s="82"/>
      <c r="J55" s="77"/>
      <c r="K55" s="100">
        <v>1</v>
      </c>
      <c r="L55" s="101">
        <v>1</v>
      </c>
      <c r="M55" s="85">
        <f t="shared" si="1"/>
        <v>1</v>
      </c>
      <c r="N55" s="78" t="s">
        <v>1087</v>
      </c>
      <c r="O55" s="77"/>
      <c r="P55" s="100">
        <v>1</v>
      </c>
      <c r="Q55" s="101">
        <v>0.9</v>
      </c>
      <c r="R55" s="85">
        <f t="shared" si="2"/>
        <v>0.9</v>
      </c>
      <c r="S55" s="78" t="s">
        <v>1090</v>
      </c>
      <c r="T55" s="77"/>
      <c r="U55" s="79"/>
      <c r="V55" s="80"/>
      <c r="W55" s="81">
        <f t="shared" si="3"/>
        <v>0</v>
      </c>
      <c r="X55" s="82"/>
      <c r="Y55" s="77"/>
      <c r="Z55" s="79"/>
      <c r="AA55" s="80"/>
      <c r="AB55" s="81">
        <f t="shared" si="4"/>
        <v>0</v>
      </c>
      <c r="AC55" s="82"/>
      <c r="AD55" s="77"/>
      <c r="AE55" s="79"/>
      <c r="AF55" s="80"/>
      <c r="AG55" s="81">
        <f t="shared" si="5"/>
        <v>0</v>
      </c>
      <c r="AH55" s="82"/>
      <c r="AI55" s="77"/>
      <c r="AJ55" s="79"/>
      <c r="AK55" s="80"/>
      <c r="AL55" s="81">
        <f t="shared" si="6"/>
        <v>0</v>
      </c>
      <c r="AM55" s="82"/>
      <c r="AN55" s="77"/>
      <c r="AO55" s="100">
        <v>1</v>
      </c>
      <c r="AP55" s="101">
        <v>0.75</v>
      </c>
      <c r="AQ55" s="85">
        <f t="shared" si="7"/>
        <v>0.75</v>
      </c>
      <c r="AR55" s="78" t="s">
        <v>1092</v>
      </c>
      <c r="AS55" s="160"/>
    </row>
    <row r="56" spans="1:45" ht="120.75" customHeight="1" x14ac:dyDescent="0.25">
      <c r="A56" s="77">
        <v>53</v>
      </c>
      <c r="B56" s="78" t="s">
        <v>14</v>
      </c>
      <c r="C56" s="78" t="s">
        <v>14</v>
      </c>
      <c r="D56" s="78" t="s">
        <v>78</v>
      </c>
      <c r="E56" s="77"/>
      <c r="F56" s="79">
        <v>1</v>
      </c>
      <c r="G56" s="80"/>
      <c r="H56" s="81">
        <f t="shared" si="0"/>
        <v>0</v>
      </c>
      <c r="I56" s="82"/>
      <c r="J56" s="77"/>
      <c r="K56" s="100">
        <v>1</v>
      </c>
      <c r="L56" s="101">
        <v>1</v>
      </c>
      <c r="M56" s="85">
        <f t="shared" si="1"/>
        <v>1</v>
      </c>
      <c r="N56" s="78" t="s">
        <v>1087</v>
      </c>
      <c r="O56" s="77"/>
      <c r="P56" s="100">
        <v>1</v>
      </c>
      <c r="Q56" s="101">
        <v>0.9</v>
      </c>
      <c r="R56" s="85">
        <f t="shared" si="2"/>
        <v>0.9</v>
      </c>
      <c r="S56" s="78" t="s">
        <v>1106</v>
      </c>
      <c r="T56" s="77"/>
      <c r="U56" s="79"/>
      <c r="V56" s="80"/>
      <c r="W56" s="81">
        <f t="shared" si="3"/>
        <v>0</v>
      </c>
      <c r="X56" s="77"/>
      <c r="Y56" s="77"/>
      <c r="Z56" s="79"/>
      <c r="AA56" s="80"/>
      <c r="AB56" s="81">
        <f t="shared" si="4"/>
        <v>0</v>
      </c>
      <c r="AC56" s="77"/>
      <c r="AD56" s="77"/>
      <c r="AE56" s="79"/>
      <c r="AF56" s="80"/>
      <c r="AG56" s="81">
        <f t="shared" si="5"/>
        <v>0</v>
      </c>
      <c r="AH56" s="77"/>
      <c r="AI56" s="77"/>
      <c r="AJ56" s="79"/>
      <c r="AK56" s="80"/>
      <c r="AL56" s="81">
        <f t="shared" si="6"/>
        <v>0</v>
      </c>
      <c r="AM56" s="77"/>
      <c r="AN56" s="77"/>
      <c r="AO56" s="100">
        <v>1</v>
      </c>
      <c r="AP56" s="101">
        <v>1</v>
      </c>
      <c r="AQ56" s="85">
        <f t="shared" si="7"/>
        <v>1</v>
      </c>
      <c r="AR56" s="117" t="s">
        <v>1087</v>
      </c>
      <c r="AS56" s="160"/>
    </row>
    <row r="57" spans="1:45" ht="15.75" x14ac:dyDescent="0.25">
      <c r="A57" s="161"/>
      <c r="B57" s="160"/>
      <c r="C57" s="160"/>
      <c r="D57" s="160"/>
      <c r="E57" s="160"/>
      <c r="F57" s="160"/>
      <c r="G57" s="160"/>
      <c r="H57" s="160"/>
      <c r="I57" s="162"/>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60"/>
      <c r="AI57" s="160"/>
      <c r="AJ57" s="160"/>
      <c r="AK57" s="160"/>
      <c r="AL57" s="160"/>
      <c r="AM57" s="160"/>
      <c r="AN57" s="160"/>
      <c r="AO57" s="160"/>
      <c r="AP57" s="160"/>
      <c r="AQ57" s="160"/>
      <c r="AR57" s="160"/>
      <c r="AS57" s="160"/>
    </row>
    <row r="58" spans="1:45" ht="15.75" x14ac:dyDescent="0.25">
      <c r="A58" s="161"/>
      <c r="B58" s="160"/>
      <c r="C58" s="160"/>
      <c r="D58" s="160"/>
      <c r="E58" s="160"/>
      <c r="F58" s="160"/>
      <c r="G58" s="160"/>
      <c r="H58" s="160"/>
      <c r="I58" s="162"/>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0"/>
      <c r="AL58" s="160"/>
      <c r="AM58" s="160"/>
      <c r="AN58" s="160"/>
      <c r="AO58" s="160"/>
      <c r="AP58" s="160"/>
      <c r="AQ58" s="160"/>
      <c r="AR58" s="160"/>
      <c r="AS58" s="160"/>
    </row>
    <row r="59" spans="1:45" ht="15.75" x14ac:dyDescent="0.25">
      <c r="A59" s="161"/>
      <c r="B59" s="160"/>
      <c r="C59" s="160"/>
      <c r="D59" s="160"/>
      <c r="E59" s="160"/>
      <c r="F59" s="160"/>
      <c r="G59" s="160"/>
      <c r="H59" s="160"/>
      <c r="I59" s="162"/>
      <c r="J59" s="160"/>
      <c r="K59" s="160"/>
      <c r="L59" s="160"/>
      <c r="M59" s="160"/>
      <c r="N59" s="160"/>
      <c r="O59" s="160"/>
      <c r="P59" s="160"/>
      <c r="Q59" s="160"/>
      <c r="R59" s="160"/>
      <c r="S59" s="160"/>
      <c r="T59" s="160"/>
      <c r="U59" s="160"/>
      <c r="V59" s="160"/>
      <c r="W59" s="160"/>
      <c r="X59" s="160"/>
      <c r="Y59" s="160"/>
      <c r="Z59" s="160"/>
      <c r="AA59" s="160"/>
      <c r="AB59" s="160"/>
      <c r="AC59" s="160"/>
      <c r="AD59" s="160"/>
      <c r="AE59" s="160"/>
      <c r="AF59" s="160"/>
      <c r="AG59" s="160"/>
      <c r="AH59" s="160"/>
      <c r="AI59" s="160"/>
      <c r="AJ59" s="160"/>
      <c r="AK59" s="160"/>
      <c r="AL59" s="160"/>
      <c r="AM59" s="160"/>
      <c r="AN59" s="160"/>
      <c r="AO59" s="160"/>
      <c r="AP59" s="160"/>
      <c r="AQ59" s="160"/>
      <c r="AR59" s="160"/>
      <c r="AS59" s="160"/>
    </row>
    <row r="60" spans="1:45" ht="15.75" x14ac:dyDescent="0.25">
      <c r="A60" s="161"/>
      <c r="B60" s="160"/>
      <c r="C60" s="160"/>
      <c r="D60" s="160"/>
      <c r="E60" s="160"/>
      <c r="F60" s="160"/>
      <c r="G60" s="160"/>
      <c r="H60" s="160"/>
      <c r="I60" s="162"/>
      <c r="J60" s="160"/>
      <c r="K60" s="160"/>
      <c r="L60" s="160"/>
      <c r="M60" s="160"/>
      <c r="N60" s="160"/>
      <c r="O60" s="160"/>
      <c r="P60" s="160"/>
      <c r="Q60" s="160"/>
      <c r="R60" s="160"/>
      <c r="S60" s="160"/>
      <c r="T60" s="160"/>
      <c r="U60" s="160"/>
      <c r="V60" s="160"/>
      <c r="W60" s="160"/>
      <c r="X60" s="160"/>
      <c r="Y60" s="160"/>
      <c r="Z60" s="160"/>
      <c r="AA60" s="160"/>
      <c r="AB60" s="160"/>
      <c r="AC60" s="160"/>
      <c r="AD60" s="160"/>
      <c r="AE60" s="160"/>
      <c r="AF60" s="160"/>
      <c r="AG60" s="160"/>
      <c r="AH60" s="160"/>
      <c r="AI60" s="160"/>
      <c r="AJ60" s="160"/>
      <c r="AK60" s="160"/>
      <c r="AL60" s="160"/>
      <c r="AM60" s="160"/>
      <c r="AN60" s="160"/>
      <c r="AO60" s="160"/>
      <c r="AP60" s="160"/>
      <c r="AQ60" s="160"/>
      <c r="AR60" s="160"/>
      <c r="AS60" s="160"/>
    </row>
    <row r="61" spans="1:45" ht="15.75" x14ac:dyDescent="0.25">
      <c r="A61" s="161"/>
      <c r="B61" s="160"/>
      <c r="C61" s="160"/>
      <c r="D61" s="160"/>
      <c r="E61" s="160"/>
      <c r="F61" s="160"/>
      <c r="G61" s="160"/>
      <c r="H61" s="160"/>
      <c r="I61" s="162"/>
      <c r="J61" s="160"/>
      <c r="K61" s="160"/>
      <c r="L61" s="160"/>
      <c r="M61" s="160"/>
      <c r="N61" s="160"/>
      <c r="O61" s="160"/>
      <c r="P61" s="160"/>
      <c r="Q61" s="160"/>
      <c r="R61" s="160"/>
      <c r="S61" s="160"/>
      <c r="T61" s="160"/>
      <c r="U61" s="160"/>
      <c r="V61" s="160"/>
      <c r="W61" s="160"/>
      <c r="X61" s="160"/>
      <c r="Y61" s="160"/>
      <c r="Z61" s="160"/>
      <c r="AA61" s="160"/>
      <c r="AB61" s="160"/>
      <c r="AC61" s="160"/>
      <c r="AD61" s="160"/>
      <c r="AE61" s="160"/>
      <c r="AF61" s="160"/>
      <c r="AG61" s="160"/>
      <c r="AH61" s="160"/>
      <c r="AI61" s="160"/>
      <c r="AJ61" s="160"/>
      <c r="AK61" s="160"/>
      <c r="AL61" s="160"/>
      <c r="AM61" s="160"/>
      <c r="AN61" s="160"/>
      <c r="AO61" s="160"/>
      <c r="AP61" s="160"/>
      <c r="AQ61" s="160"/>
      <c r="AR61" s="160"/>
      <c r="AS61" s="160"/>
    </row>
    <row r="62" spans="1:45" ht="15.75" x14ac:dyDescent="0.25">
      <c r="A62" s="161"/>
      <c r="B62" s="160"/>
      <c r="C62" s="160"/>
      <c r="D62" s="160"/>
      <c r="E62" s="160"/>
      <c r="F62" s="160"/>
      <c r="G62" s="160"/>
      <c r="H62" s="160"/>
      <c r="I62" s="162"/>
      <c r="J62" s="160"/>
      <c r="K62" s="160"/>
      <c r="L62" s="160"/>
      <c r="M62" s="160"/>
      <c r="N62" s="160"/>
      <c r="O62" s="160"/>
      <c r="P62" s="160"/>
      <c r="Q62" s="160"/>
      <c r="R62" s="160"/>
      <c r="S62" s="160"/>
      <c r="T62" s="160"/>
      <c r="U62" s="160"/>
      <c r="V62" s="160"/>
      <c r="W62" s="160"/>
      <c r="X62" s="160"/>
      <c r="Y62" s="160"/>
      <c r="Z62" s="160"/>
      <c r="AA62" s="160"/>
      <c r="AB62" s="160"/>
      <c r="AC62" s="160"/>
      <c r="AD62" s="160"/>
      <c r="AE62" s="160"/>
      <c r="AF62" s="160"/>
      <c r="AG62" s="160"/>
      <c r="AH62" s="160"/>
      <c r="AI62" s="160"/>
      <c r="AJ62" s="160"/>
      <c r="AK62" s="160"/>
      <c r="AL62" s="160"/>
      <c r="AM62" s="160"/>
      <c r="AN62" s="160"/>
      <c r="AO62" s="160"/>
      <c r="AP62" s="160"/>
      <c r="AQ62" s="160"/>
      <c r="AR62" s="160"/>
      <c r="AS62" s="160"/>
    </row>
    <row r="63" spans="1:45" ht="15.75" x14ac:dyDescent="0.25">
      <c r="A63" s="161"/>
      <c r="B63" s="160"/>
      <c r="C63" s="160"/>
      <c r="D63" s="160"/>
      <c r="E63" s="160"/>
      <c r="F63" s="160"/>
      <c r="G63" s="160"/>
      <c r="H63" s="160"/>
      <c r="I63" s="162"/>
      <c r="J63" s="160"/>
      <c r="K63" s="160"/>
      <c r="L63" s="160"/>
      <c r="M63" s="160"/>
      <c r="N63" s="160"/>
      <c r="O63" s="160"/>
      <c r="P63" s="160"/>
      <c r="Q63" s="160"/>
      <c r="R63" s="160"/>
      <c r="S63" s="160"/>
      <c r="T63" s="160"/>
      <c r="U63" s="160"/>
      <c r="V63" s="160"/>
      <c r="W63" s="160"/>
      <c r="X63" s="160"/>
      <c r="Y63" s="160"/>
      <c r="Z63" s="160"/>
      <c r="AA63" s="160"/>
      <c r="AB63" s="160"/>
      <c r="AC63" s="160"/>
      <c r="AD63" s="160"/>
      <c r="AE63" s="160"/>
      <c r="AF63" s="160"/>
      <c r="AG63" s="160"/>
      <c r="AH63" s="160"/>
      <c r="AI63" s="160"/>
      <c r="AJ63" s="160"/>
      <c r="AK63" s="160"/>
      <c r="AL63" s="160"/>
      <c r="AM63" s="160"/>
      <c r="AN63" s="160"/>
      <c r="AO63" s="160"/>
      <c r="AP63" s="160"/>
      <c r="AQ63" s="160"/>
      <c r="AR63" s="160"/>
      <c r="AS63" s="160"/>
    </row>
    <row r="64" spans="1:45" ht="15.75" x14ac:dyDescent="0.25">
      <c r="A64" s="161"/>
      <c r="B64" s="160"/>
      <c r="C64" s="160"/>
      <c r="D64" s="160"/>
      <c r="E64" s="160"/>
      <c r="F64" s="160"/>
      <c r="G64" s="160"/>
      <c r="H64" s="160"/>
      <c r="I64" s="162"/>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60"/>
      <c r="AI64" s="160"/>
      <c r="AJ64" s="160"/>
      <c r="AK64" s="160"/>
      <c r="AL64" s="160"/>
      <c r="AM64" s="160"/>
      <c r="AN64" s="160"/>
      <c r="AO64" s="160"/>
      <c r="AP64" s="160"/>
      <c r="AQ64" s="160"/>
      <c r="AR64" s="160"/>
      <c r="AS64" s="160"/>
    </row>
    <row r="65" spans="1:45" ht="15.75" x14ac:dyDescent="0.25">
      <c r="A65" s="161"/>
      <c r="B65" s="160"/>
      <c r="C65" s="160"/>
      <c r="D65" s="160"/>
      <c r="E65" s="160"/>
      <c r="F65" s="160"/>
      <c r="G65" s="160"/>
      <c r="H65" s="160"/>
      <c r="I65" s="162"/>
      <c r="J65" s="160"/>
      <c r="K65" s="160"/>
      <c r="L65" s="160"/>
      <c r="M65" s="160"/>
      <c r="N65" s="160"/>
      <c r="O65" s="160"/>
      <c r="P65" s="160"/>
      <c r="Q65" s="160"/>
      <c r="R65" s="160"/>
      <c r="S65" s="160"/>
      <c r="T65" s="160"/>
      <c r="U65" s="160"/>
      <c r="V65" s="160"/>
      <c r="W65" s="160"/>
      <c r="X65" s="160"/>
      <c r="Y65" s="160"/>
      <c r="Z65" s="160"/>
      <c r="AA65" s="160"/>
      <c r="AB65" s="160"/>
      <c r="AC65" s="160"/>
      <c r="AD65" s="160"/>
      <c r="AE65" s="160"/>
      <c r="AF65" s="160"/>
      <c r="AG65" s="160"/>
      <c r="AH65" s="160"/>
      <c r="AI65" s="160"/>
      <c r="AJ65" s="160"/>
      <c r="AK65" s="160"/>
      <c r="AL65" s="160"/>
      <c r="AM65" s="160"/>
      <c r="AN65" s="160"/>
      <c r="AO65" s="160"/>
      <c r="AP65" s="160"/>
      <c r="AQ65" s="160"/>
      <c r="AR65" s="160"/>
      <c r="AS65" s="160"/>
    </row>
    <row r="66" spans="1:45" ht="15.75" x14ac:dyDescent="0.25">
      <c r="A66" s="161"/>
      <c r="B66" s="160"/>
      <c r="C66" s="160"/>
      <c r="D66" s="160"/>
      <c r="E66" s="160"/>
      <c r="F66" s="160"/>
      <c r="G66" s="160"/>
      <c r="H66" s="160"/>
      <c r="I66" s="162"/>
      <c r="J66" s="160"/>
      <c r="K66" s="160"/>
      <c r="L66" s="160"/>
      <c r="M66" s="160"/>
      <c r="N66" s="160"/>
      <c r="O66" s="160"/>
      <c r="P66" s="160"/>
      <c r="Q66" s="160"/>
      <c r="R66" s="160"/>
      <c r="S66" s="160"/>
      <c r="T66" s="160"/>
      <c r="U66" s="160"/>
      <c r="V66" s="160"/>
      <c r="W66" s="160"/>
      <c r="X66" s="160"/>
      <c r="Y66" s="160"/>
      <c r="Z66" s="160"/>
      <c r="AA66" s="160"/>
      <c r="AB66" s="160"/>
      <c r="AC66" s="160"/>
      <c r="AD66" s="160"/>
      <c r="AE66" s="160"/>
      <c r="AF66" s="160"/>
      <c r="AG66" s="160"/>
      <c r="AH66" s="160"/>
      <c r="AI66" s="160"/>
      <c r="AJ66" s="160"/>
      <c r="AK66" s="160"/>
      <c r="AL66" s="160"/>
      <c r="AM66" s="160"/>
      <c r="AN66" s="160"/>
      <c r="AO66" s="160"/>
      <c r="AP66" s="160"/>
      <c r="AQ66" s="160"/>
      <c r="AR66" s="160"/>
      <c r="AS66" s="160"/>
    </row>
    <row r="67" spans="1:45" ht="15.75" x14ac:dyDescent="0.25">
      <c r="A67" s="161"/>
      <c r="B67" s="160"/>
      <c r="C67" s="160"/>
      <c r="D67" s="160"/>
      <c r="E67" s="160"/>
      <c r="F67" s="160"/>
      <c r="G67" s="160"/>
      <c r="H67" s="160"/>
      <c r="I67" s="162"/>
      <c r="J67" s="160"/>
      <c r="K67" s="160"/>
      <c r="L67" s="160"/>
      <c r="M67" s="160"/>
      <c r="N67" s="160"/>
      <c r="O67" s="160"/>
      <c r="P67" s="160"/>
      <c r="Q67" s="160"/>
      <c r="R67" s="160"/>
      <c r="S67" s="160"/>
      <c r="T67" s="160"/>
      <c r="U67" s="160"/>
      <c r="V67" s="160"/>
      <c r="W67" s="160"/>
      <c r="X67" s="160"/>
      <c r="Y67" s="160"/>
      <c r="Z67" s="160"/>
      <c r="AA67" s="160"/>
      <c r="AB67" s="160"/>
      <c r="AC67" s="160"/>
      <c r="AD67" s="160"/>
      <c r="AE67" s="160"/>
      <c r="AF67" s="160"/>
      <c r="AG67" s="160"/>
      <c r="AH67" s="160"/>
      <c r="AI67" s="160"/>
      <c r="AJ67" s="160"/>
      <c r="AK67" s="160"/>
      <c r="AL67" s="160"/>
      <c r="AM67" s="160"/>
      <c r="AN67" s="160"/>
      <c r="AO67" s="160"/>
      <c r="AP67" s="160"/>
      <c r="AQ67" s="160"/>
      <c r="AR67" s="160"/>
      <c r="AS67" s="160"/>
    </row>
    <row r="68" spans="1:45" ht="15.75" x14ac:dyDescent="0.25">
      <c r="A68" s="161"/>
      <c r="B68" s="160"/>
      <c r="C68" s="160"/>
      <c r="D68" s="160"/>
      <c r="E68" s="160"/>
      <c r="F68" s="160"/>
      <c r="G68" s="160"/>
      <c r="H68" s="160"/>
      <c r="I68" s="162"/>
      <c r="J68" s="160"/>
      <c r="K68" s="160"/>
      <c r="L68" s="160"/>
      <c r="M68" s="160"/>
      <c r="N68" s="160"/>
      <c r="O68" s="160"/>
      <c r="P68" s="160"/>
      <c r="Q68" s="160"/>
      <c r="R68" s="160"/>
      <c r="S68" s="160"/>
      <c r="T68" s="160"/>
      <c r="U68" s="160"/>
      <c r="V68" s="160"/>
      <c r="W68" s="160"/>
      <c r="X68" s="160"/>
      <c r="Y68" s="160"/>
      <c r="Z68" s="160"/>
      <c r="AA68" s="160"/>
      <c r="AB68" s="160"/>
      <c r="AC68" s="160"/>
      <c r="AD68" s="160"/>
      <c r="AE68" s="160"/>
      <c r="AF68" s="160"/>
      <c r="AG68" s="160"/>
      <c r="AH68" s="160"/>
      <c r="AI68" s="160"/>
      <c r="AJ68" s="160"/>
      <c r="AK68" s="160"/>
      <c r="AL68" s="160"/>
      <c r="AM68" s="160"/>
      <c r="AN68" s="160"/>
      <c r="AO68" s="160"/>
      <c r="AP68" s="160"/>
      <c r="AQ68" s="160"/>
      <c r="AR68" s="160"/>
      <c r="AS68" s="160"/>
    </row>
    <row r="69" spans="1:45" ht="15.75" x14ac:dyDescent="0.25">
      <c r="A69" s="161"/>
      <c r="B69" s="160"/>
      <c r="C69" s="160"/>
      <c r="D69" s="160"/>
      <c r="E69" s="160"/>
      <c r="F69" s="160"/>
      <c r="G69" s="160"/>
      <c r="H69" s="160"/>
      <c r="I69" s="162"/>
      <c r="J69" s="160"/>
      <c r="K69" s="160"/>
      <c r="L69" s="160"/>
      <c r="M69" s="160"/>
      <c r="N69" s="160"/>
      <c r="O69" s="160"/>
      <c r="P69" s="160"/>
      <c r="Q69" s="160"/>
      <c r="R69" s="160"/>
      <c r="S69" s="160"/>
      <c r="T69" s="160"/>
      <c r="U69" s="160"/>
      <c r="V69" s="160"/>
      <c r="W69" s="160"/>
      <c r="X69" s="160"/>
      <c r="Y69" s="160"/>
      <c r="Z69" s="160"/>
      <c r="AA69" s="160"/>
      <c r="AB69" s="160"/>
      <c r="AC69" s="160"/>
      <c r="AD69" s="160"/>
      <c r="AE69" s="160"/>
      <c r="AF69" s="160"/>
      <c r="AG69" s="160"/>
      <c r="AH69" s="160"/>
      <c r="AI69" s="160"/>
      <c r="AJ69" s="160"/>
      <c r="AK69" s="160"/>
      <c r="AL69" s="160"/>
      <c r="AM69" s="160"/>
      <c r="AN69" s="160"/>
      <c r="AO69" s="160"/>
      <c r="AP69" s="160"/>
      <c r="AQ69" s="160"/>
      <c r="AR69" s="160"/>
      <c r="AS69" s="160"/>
    </row>
    <row r="70" spans="1:45" ht="15.75" x14ac:dyDescent="0.25">
      <c r="A70" s="161"/>
      <c r="B70" s="160"/>
      <c r="C70" s="160"/>
      <c r="D70" s="160"/>
      <c r="E70" s="160"/>
      <c r="F70" s="160"/>
      <c r="G70" s="160"/>
      <c r="H70" s="160"/>
      <c r="I70" s="162"/>
      <c r="J70" s="160"/>
      <c r="K70" s="160"/>
      <c r="L70" s="160"/>
      <c r="M70" s="160"/>
      <c r="N70" s="160"/>
      <c r="O70" s="160"/>
      <c r="P70" s="160"/>
      <c r="Q70" s="160"/>
      <c r="R70" s="160"/>
      <c r="S70" s="160"/>
      <c r="T70" s="160"/>
      <c r="U70" s="160"/>
      <c r="V70" s="160"/>
      <c r="W70" s="160"/>
      <c r="X70" s="160"/>
      <c r="Y70" s="160"/>
      <c r="Z70" s="160"/>
      <c r="AA70" s="160"/>
      <c r="AB70" s="160"/>
      <c r="AC70" s="160"/>
      <c r="AD70" s="160"/>
      <c r="AE70" s="160"/>
      <c r="AF70" s="160"/>
      <c r="AG70" s="160"/>
      <c r="AH70" s="160"/>
      <c r="AI70" s="160"/>
      <c r="AJ70" s="160"/>
      <c r="AK70" s="160"/>
      <c r="AL70" s="160"/>
      <c r="AM70" s="160"/>
      <c r="AN70" s="160"/>
      <c r="AO70" s="160"/>
      <c r="AP70" s="160"/>
      <c r="AQ70" s="160"/>
      <c r="AR70" s="160"/>
      <c r="AS70" s="160"/>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58F47699-7DA7-4619-9469-E90C53CD443F}">
      <formula1>0</formula1>
      <formula2>1</formula2>
    </dataValidation>
  </dataValidations>
  <pageMargins left="0.511811024" right="0.511811024" top="0.78740157499999996" bottom="0.78740157499999996" header="0.31496062000000002" footer="0.31496062000000002"/>
  <pageSetup paperSize="9" orientation="portrait"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ED2E1694-CB50-43ED-918F-1607FC5A83A5}">
          <x14:formula1>
            <xm:f>'C:\Users\michele.cerqueira\AppData\Local\Microsoft\Windows\INetCache\Content.Outlook\CUTOBPMD\[ESTUDOS DE MERCADO - AVALIAÇÕES FINAIS.xlsx]Parâmetros'!#REF!</xm:f>
          </x14:formula1>
          <xm:sqref>K4:K15 P4:P15 AO4:AO15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G66"/>
  <sheetViews>
    <sheetView zoomScale="60" zoomScaleNormal="60" workbookViewId="0">
      <pane xSplit="4" ySplit="3" topLeftCell="M9" activePane="bottomRight" state="frozen"/>
      <selection pane="topRight" activeCell="E1" sqref="E1"/>
      <selection pane="bottomLeft" activeCell="A4" sqref="A4"/>
      <selection pane="bottomRight" activeCell="P10" sqref="P10"/>
    </sheetView>
  </sheetViews>
  <sheetFormatPr defaultRowHeight="15" x14ac:dyDescent="0.25"/>
  <cols>
    <col min="1" max="1" width="4" style="73" customWidth="1"/>
    <col min="2" max="2" width="15.85546875" style="74" customWidth="1"/>
    <col min="3" max="3" width="20.140625" style="74" customWidth="1"/>
    <col min="4" max="4" width="67.140625" style="74" customWidth="1"/>
    <col min="5" max="5" width="2.42578125" style="74" customWidth="1"/>
    <col min="6" max="6" width="20.140625" style="74" hidden="1" customWidth="1"/>
    <col min="7" max="7" width="14.28515625" style="74" hidden="1" customWidth="1"/>
    <col min="8" max="8" width="9.140625" style="74" hidden="1" customWidth="1"/>
    <col min="9" max="9" width="52.85546875" style="110" hidden="1" customWidth="1"/>
    <col min="10" max="10" width="1.85546875" style="74" hidden="1" customWidth="1"/>
    <col min="11" max="11" width="11.5703125" style="74" customWidth="1"/>
    <col min="12" max="12" width="14.28515625" style="74" bestFit="1" customWidth="1"/>
    <col min="13" max="13" width="9.140625" style="74" customWidth="1"/>
    <col min="14" max="14" width="108.140625" style="74" customWidth="1"/>
    <col min="15" max="15" width="1.5703125" style="74" customWidth="1"/>
    <col min="16" max="16" width="15.140625" style="74" customWidth="1"/>
    <col min="17" max="17" width="14.28515625" style="74" bestFit="1" customWidth="1"/>
    <col min="18" max="18" width="9.140625" style="74" customWidth="1"/>
    <col min="19" max="19" width="103.140625" style="74" customWidth="1"/>
    <col min="20" max="20" width="2.85546875" style="74" customWidth="1"/>
    <col min="21" max="21" width="16.85546875" style="74" hidden="1" customWidth="1"/>
    <col min="22" max="22" width="13" style="74" hidden="1" customWidth="1"/>
    <col min="23" max="23" width="0" style="74" hidden="1" customWidth="1"/>
    <col min="24" max="24" width="64.28515625" style="74" hidden="1" customWidth="1"/>
    <col min="25" max="25" width="0" style="74" hidden="1" customWidth="1"/>
    <col min="26" max="26" width="14.7109375" style="74" hidden="1" customWidth="1"/>
    <col min="27" max="27" width="13.85546875" style="74" hidden="1" customWidth="1"/>
    <col min="28" max="28" width="0" style="74" hidden="1" customWidth="1"/>
    <col min="29" max="29" width="67.28515625" style="74" hidden="1" customWidth="1"/>
    <col min="30" max="30" width="0" style="74" hidden="1" customWidth="1"/>
    <col min="31" max="31" width="14.140625" style="74" hidden="1" customWidth="1"/>
    <col min="32" max="32" width="12.85546875" style="74" hidden="1" customWidth="1"/>
    <col min="33" max="33" width="0" style="74" hidden="1" customWidth="1"/>
    <col min="34" max="34" width="68.28515625" style="74" hidden="1" customWidth="1"/>
    <col min="35" max="35" width="0" style="74" hidden="1" customWidth="1"/>
    <col min="36" max="36" width="14.5703125" style="74" hidden="1" customWidth="1"/>
    <col min="37" max="37" width="14.140625" style="74" hidden="1" customWidth="1"/>
    <col min="38" max="38" width="0" style="74" hidden="1" customWidth="1"/>
    <col min="39" max="39" width="72.5703125" style="74" hidden="1" customWidth="1"/>
    <col min="40" max="40" width="0" style="74" hidden="1" customWidth="1"/>
    <col min="41" max="41" width="13.140625" style="74" customWidth="1"/>
    <col min="42" max="42" width="13.85546875" style="74" customWidth="1"/>
    <col min="43" max="43" width="9.140625" style="74"/>
    <col min="44" max="44" width="149.28515625" style="74" customWidth="1"/>
    <col min="45" max="16384" width="9.140625" style="74"/>
  </cols>
  <sheetData>
    <row r="1" spans="1:59" x14ac:dyDescent="0.25">
      <c r="I1" s="74"/>
    </row>
    <row r="2" spans="1:59" ht="39.75" customHeight="1" x14ac:dyDescent="0.25">
      <c r="B2" s="233" t="s">
        <v>16</v>
      </c>
      <c r="C2" s="233"/>
      <c r="D2" s="233"/>
      <c r="F2" s="232" t="s">
        <v>121</v>
      </c>
      <c r="G2" s="232"/>
      <c r="H2" s="232"/>
      <c r="I2" s="232"/>
      <c r="K2" s="234" t="s">
        <v>119</v>
      </c>
      <c r="L2" s="235"/>
      <c r="M2" s="235"/>
      <c r="N2" s="236"/>
      <c r="P2" s="232" t="s">
        <v>120</v>
      </c>
      <c r="Q2" s="232"/>
      <c r="R2" s="232"/>
      <c r="S2" s="232"/>
      <c r="U2" s="232" t="s">
        <v>122</v>
      </c>
      <c r="V2" s="232"/>
      <c r="W2" s="232"/>
      <c r="X2" s="232"/>
      <c r="Z2" s="232" t="s">
        <v>123</v>
      </c>
      <c r="AA2" s="232"/>
      <c r="AB2" s="232"/>
      <c r="AC2" s="232"/>
      <c r="AE2" s="232" t="s">
        <v>124</v>
      </c>
      <c r="AF2" s="232"/>
      <c r="AG2" s="232"/>
      <c r="AH2" s="232"/>
      <c r="AJ2" s="232" t="s">
        <v>125</v>
      </c>
      <c r="AK2" s="232"/>
      <c r="AL2" s="232"/>
      <c r="AM2" s="232"/>
      <c r="AO2" s="233" t="s">
        <v>1318</v>
      </c>
      <c r="AP2" s="233"/>
      <c r="AQ2" s="233"/>
      <c r="AR2" s="233"/>
    </row>
    <row r="3" spans="1:59" ht="66.75" customHeight="1" x14ac:dyDescent="0.25">
      <c r="B3" s="66" t="s">
        <v>0</v>
      </c>
      <c r="C3" s="66" t="s">
        <v>1</v>
      </c>
      <c r="D3" s="66" t="s">
        <v>2</v>
      </c>
      <c r="F3" s="67" t="s">
        <v>17</v>
      </c>
      <c r="G3" s="67" t="s">
        <v>18</v>
      </c>
      <c r="H3" s="67" t="s">
        <v>21</v>
      </c>
      <c r="I3" s="67" t="s">
        <v>19</v>
      </c>
      <c r="K3" s="67" t="s">
        <v>17</v>
      </c>
      <c r="L3" s="67" t="s">
        <v>18</v>
      </c>
      <c r="M3" s="67" t="s">
        <v>21</v>
      </c>
      <c r="N3" s="67" t="s">
        <v>19</v>
      </c>
      <c r="P3" s="67" t="s">
        <v>17</v>
      </c>
      <c r="Q3" s="67" t="s">
        <v>18</v>
      </c>
      <c r="R3" s="67" t="s">
        <v>21</v>
      </c>
      <c r="S3" s="67" t="s">
        <v>19</v>
      </c>
      <c r="U3" s="67" t="s">
        <v>17</v>
      </c>
      <c r="V3" s="67" t="s">
        <v>18</v>
      </c>
      <c r="W3" s="67" t="s">
        <v>21</v>
      </c>
      <c r="X3" s="67" t="s">
        <v>19</v>
      </c>
      <c r="Z3" s="67" t="s">
        <v>17</v>
      </c>
      <c r="AA3" s="67" t="s">
        <v>18</v>
      </c>
      <c r="AB3" s="67" t="s">
        <v>21</v>
      </c>
      <c r="AC3" s="67" t="s">
        <v>19</v>
      </c>
      <c r="AE3" s="67" t="s">
        <v>17</v>
      </c>
      <c r="AF3" s="67" t="s">
        <v>18</v>
      </c>
      <c r="AG3" s="67" t="s">
        <v>21</v>
      </c>
      <c r="AH3" s="67" t="s">
        <v>19</v>
      </c>
      <c r="AJ3" s="67" t="s">
        <v>17</v>
      </c>
      <c r="AK3" s="67" t="s">
        <v>18</v>
      </c>
      <c r="AL3" s="67" t="s">
        <v>21</v>
      </c>
      <c r="AM3" s="67" t="s">
        <v>19</v>
      </c>
      <c r="AO3" s="67" t="s">
        <v>17</v>
      </c>
      <c r="AP3" s="67" t="s">
        <v>18</v>
      </c>
      <c r="AQ3" s="67" t="s">
        <v>21</v>
      </c>
      <c r="AR3" s="67" t="s">
        <v>19</v>
      </c>
      <c r="AS3" s="150"/>
      <c r="AT3" s="150"/>
      <c r="AU3" s="150"/>
      <c r="AV3" s="150"/>
      <c r="AW3" s="150"/>
      <c r="AX3" s="150"/>
      <c r="AY3" s="150"/>
      <c r="AZ3" s="150"/>
      <c r="BA3" s="150"/>
      <c r="BB3" s="150"/>
      <c r="BC3" s="150"/>
      <c r="BD3" s="150"/>
      <c r="BE3" s="150"/>
      <c r="BF3" s="150"/>
      <c r="BG3" s="150"/>
    </row>
    <row r="4" spans="1:59" ht="165" customHeight="1" x14ac:dyDescent="0.25">
      <c r="A4" s="77">
        <v>1</v>
      </c>
      <c r="B4" s="78" t="s">
        <v>3</v>
      </c>
      <c r="C4" s="78" t="s">
        <v>4</v>
      </c>
      <c r="D4" s="78" t="s">
        <v>127</v>
      </c>
      <c r="E4" s="77"/>
      <c r="F4" s="79"/>
      <c r="G4" s="80"/>
      <c r="H4" s="81">
        <f>F4*G4</f>
        <v>0</v>
      </c>
      <c r="I4" s="82"/>
      <c r="J4" s="77"/>
      <c r="K4" s="83">
        <v>1</v>
      </c>
      <c r="L4" s="84">
        <v>1</v>
      </c>
      <c r="M4" s="85">
        <f>K4*L4</f>
        <v>1</v>
      </c>
      <c r="N4" s="86"/>
      <c r="O4" s="77"/>
      <c r="P4" s="83">
        <v>1</v>
      </c>
      <c r="Q4" s="84">
        <v>0.8</v>
      </c>
      <c r="R4" s="85">
        <f>P4*Q4</f>
        <v>0.8</v>
      </c>
      <c r="S4" s="86" t="s">
        <v>1283</v>
      </c>
      <c r="T4" s="77"/>
      <c r="U4" s="79"/>
      <c r="V4" s="80"/>
      <c r="W4" s="81">
        <f>U4*V4</f>
        <v>0</v>
      </c>
      <c r="X4" s="82"/>
      <c r="Y4" s="77"/>
      <c r="Z4" s="79"/>
      <c r="AA4" s="80"/>
      <c r="AB4" s="81">
        <f>Z4*AA4</f>
        <v>0</v>
      </c>
      <c r="AC4" s="82"/>
      <c r="AD4" s="77"/>
      <c r="AE4" s="79"/>
      <c r="AF4" s="80"/>
      <c r="AG4" s="81">
        <f>AE4*AF4</f>
        <v>0</v>
      </c>
      <c r="AH4" s="82"/>
      <c r="AI4" s="77"/>
      <c r="AJ4" s="79"/>
      <c r="AK4" s="80"/>
      <c r="AL4" s="81">
        <f>AJ4*AK4</f>
        <v>0</v>
      </c>
      <c r="AM4" s="82"/>
      <c r="AN4" s="77"/>
      <c r="AO4" s="83">
        <v>1</v>
      </c>
      <c r="AP4" s="118">
        <v>0.4</v>
      </c>
      <c r="AQ4" s="85">
        <f>AO4*AP4</f>
        <v>0.4</v>
      </c>
      <c r="AR4" s="86" t="s">
        <v>1188</v>
      </c>
      <c r="AS4" s="150"/>
      <c r="AT4" s="150"/>
      <c r="AU4" s="150"/>
      <c r="AV4" s="150"/>
      <c r="AW4" s="150"/>
      <c r="AX4" s="150"/>
      <c r="AY4" s="150"/>
      <c r="AZ4" s="150"/>
      <c r="BA4" s="150"/>
      <c r="BB4" s="150"/>
      <c r="BC4" s="150"/>
      <c r="BD4" s="150"/>
      <c r="BE4" s="150"/>
      <c r="BF4" s="150"/>
      <c r="BG4" s="150"/>
    </row>
    <row r="5" spans="1:59" ht="222" customHeight="1" x14ac:dyDescent="0.25">
      <c r="A5" s="77">
        <v>2</v>
      </c>
      <c r="B5" s="78" t="s">
        <v>3</v>
      </c>
      <c r="C5" s="78" t="s">
        <v>4</v>
      </c>
      <c r="D5" s="78" t="s">
        <v>33</v>
      </c>
      <c r="E5" s="77"/>
      <c r="F5" s="79"/>
      <c r="G5" s="80"/>
      <c r="H5" s="81">
        <f t="shared" ref="H5:H56" si="0">F5*G5</f>
        <v>0</v>
      </c>
      <c r="I5" s="82"/>
      <c r="J5" s="77"/>
      <c r="K5" s="126">
        <v>1</v>
      </c>
      <c r="L5" s="127">
        <v>0.9</v>
      </c>
      <c r="M5" s="85">
        <f t="shared" ref="M5:M56" si="1">K5*L5</f>
        <v>0.9</v>
      </c>
      <c r="N5" s="128" t="s">
        <v>1179</v>
      </c>
      <c r="O5" s="77"/>
      <c r="P5" s="126">
        <v>1</v>
      </c>
      <c r="Q5" s="127">
        <v>0.75</v>
      </c>
      <c r="R5" s="85">
        <f t="shared" ref="R5:R56" si="2">P5*Q5</f>
        <v>0.75</v>
      </c>
      <c r="S5" s="128" t="s">
        <v>1284</v>
      </c>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79"/>
      <c r="AK5" s="80"/>
      <c r="AL5" s="81">
        <f t="shared" ref="AL5:AL56" si="6">AJ5*AK5</f>
        <v>0</v>
      </c>
      <c r="AM5" s="82"/>
      <c r="AN5" s="77"/>
      <c r="AO5" s="126">
        <v>1</v>
      </c>
      <c r="AP5" s="129">
        <v>0.15</v>
      </c>
      <c r="AQ5" s="85">
        <f t="shared" ref="AQ5:AQ56" si="7">AO5*AP5</f>
        <v>0.15</v>
      </c>
      <c r="AR5" s="128" t="s">
        <v>1189</v>
      </c>
      <c r="AS5" s="150"/>
      <c r="AT5" s="150"/>
      <c r="AU5" s="150"/>
      <c r="AV5" s="150"/>
      <c r="AW5" s="150"/>
      <c r="AX5" s="150"/>
      <c r="AY5" s="150"/>
      <c r="AZ5" s="150"/>
      <c r="BA5" s="150"/>
      <c r="BB5" s="150"/>
      <c r="BC5" s="150"/>
      <c r="BD5" s="150"/>
      <c r="BE5" s="150"/>
      <c r="BF5" s="150"/>
      <c r="BG5" s="150"/>
    </row>
    <row r="6" spans="1:59" ht="333.75" customHeight="1" x14ac:dyDescent="0.25">
      <c r="A6" s="77">
        <v>3</v>
      </c>
      <c r="B6" s="78" t="s">
        <v>3</v>
      </c>
      <c r="C6" s="78" t="s">
        <v>4</v>
      </c>
      <c r="D6" s="78" t="s">
        <v>128</v>
      </c>
      <c r="E6" s="77"/>
      <c r="F6" s="79"/>
      <c r="G6" s="80"/>
      <c r="H6" s="81">
        <f t="shared" si="0"/>
        <v>0</v>
      </c>
      <c r="I6" s="82"/>
      <c r="J6" s="77"/>
      <c r="K6" s="83">
        <v>1</v>
      </c>
      <c r="L6" s="84">
        <v>0.99</v>
      </c>
      <c r="M6" s="85">
        <f t="shared" si="1"/>
        <v>0.99</v>
      </c>
      <c r="N6" s="86" t="s">
        <v>1209</v>
      </c>
      <c r="O6" s="77"/>
      <c r="P6" s="83">
        <v>1</v>
      </c>
      <c r="Q6" s="84">
        <v>0.93</v>
      </c>
      <c r="R6" s="85">
        <f t="shared" si="2"/>
        <v>0.93</v>
      </c>
      <c r="S6" s="86" t="s">
        <v>1326</v>
      </c>
      <c r="T6" s="77"/>
      <c r="U6" s="79"/>
      <c r="V6" s="80"/>
      <c r="W6" s="81">
        <f t="shared" si="3"/>
        <v>0</v>
      </c>
      <c r="X6" s="82"/>
      <c r="Y6" s="77"/>
      <c r="Z6" s="79"/>
      <c r="AA6" s="80"/>
      <c r="AB6" s="81">
        <f t="shared" si="4"/>
        <v>0</v>
      </c>
      <c r="AC6" s="82"/>
      <c r="AD6" s="77"/>
      <c r="AE6" s="79"/>
      <c r="AF6" s="80"/>
      <c r="AG6" s="81">
        <f t="shared" si="5"/>
        <v>0</v>
      </c>
      <c r="AH6" s="82"/>
      <c r="AI6" s="77"/>
      <c r="AJ6" s="79"/>
      <c r="AK6" s="80"/>
      <c r="AL6" s="81">
        <f t="shared" si="6"/>
        <v>0</v>
      </c>
      <c r="AM6" s="82"/>
      <c r="AN6" s="77"/>
      <c r="AO6" s="83">
        <v>1</v>
      </c>
      <c r="AP6" s="118">
        <v>0.2</v>
      </c>
      <c r="AQ6" s="85">
        <f t="shared" si="7"/>
        <v>0.2</v>
      </c>
      <c r="AR6" s="82" t="s">
        <v>1600</v>
      </c>
      <c r="AS6" s="150"/>
      <c r="AT6" s="150"/>
      <c r="AU6" s="150"/>
      <c r="AV6" s="150"/>
      <c r="AW6" s="150"/>
      <c r="AX6" s="150"/>
      <c r="AY6" s="150"/>
      <c r="AZ6" s="150"/>
      <c r="BA6" s="150"/>
      <c r="BB6" s="150"/>
      <c r="BC6" s="150"/>
      <c r="BD6" s="150"/>
      <c r="BE6" s="150"/>
      <c r="BF6" s="150"/>
      <c r="BG6" s="150"/>
    </row>
    <row r="7" spans="1:59" ht="157.5" x14ac:dyDescent="0.25">
      <c r="A7" s="77">
        <v>4</v>
      </c>
      <c r="B7" s="78" t="s">
        <v>3</v>
      </c>
      <c r="C7" s="78" t="s">
        <v>4</v>
      </c>
      <c r="D7" s="78" t="s">
        <v>34</v>
      </c>
      <c r="E7" s="77"/>
      <c r="F7" s="79"/>
      <c r="G7" s="80"/>
      <c r="H7" s="81">
        <f t="shared" si="0"/>
        <v>0</v>
      </c>
      <c r="I7" s="82"/>
      <c r="J7" s="77"/>
      <c r="K7" s="126">
        <v>1</v>
      </c>
      <c r="L7" s="127">
        <v>0.94499999999999995</v>
      </c>
      <c r="M7" s="85">
        <f t="shared" si="1"/>
        <v>0.94499999999999995</v>
      </c>
      <c r="N7" s="128" t="s">
        <v>1359</v>
      </c>
      <c r="O7" s="77"/>
      <c r="P7" s="126">
        <v>1</v>
      </c>
      <c r="Q7" s="127">
        <v>0.9</v>
      </c>
      <c r="R7" s="85">
        <f t="shared" si="2"/>
        <v>0.9</v>
      </c>
      <c r="S7" s="128" t="s">
        <v>1286</v>
      </c>
      <c r="T7" s="77"/>
      <c r="U7" s="79"/>
      <c r="V7" s="80"/>
      <c r="W7" s="81">
        <f t="shared" si="3"/>
        <v>0</v>
      </c>
      <c r="X7" s="82"/>
      <c r="Y7" s="77"/>
      <c r="Z7" s="79"/>
      <c r="AA7" s="80"/>
      <c r="AB7" s="81">
        <f t="shared" si="4"/>
        <v>0</v>
      </c>
      <c r="AC7" s="82"/>
      <c r="AD7" s="77"/>
      <c r="AE7" s="79"/>
      <c r="AF7" s="80"/>
      <c r="AG7" s="81">
        <f t="shared" si="5"/>
        <v>0</v>
      </c>
      <c r="AH7" s="82"/>
      <c r="AI7" s="77"/>
      <c r="AJ7" s="79"/>
      <c r="AK7" s="80"/>
      <c r="AL7" s="81">
        <f t="shared" si="6"/>
        <v>0</v>
      </c>
      <c r="AM7" s="82"/>
      <c r="AN7" s="77"/>
      <c r="AO7" s="126">
        <v>1</v>
      </c>
      <c r="AP7" s="129">
        <v>0.15</v>
      </c>
      <c r="AQ7" s="85">
        <f t="shared" si="7"/>
        <v>0.15</v>
      </c>
      <c r="AR7" s="131" t="s">
        <v>1600</v>
      </c>
      <c r="AS7" s="150"/>
      <c r="AT7" s="150"/>
      <c r="AU7" s="150"/>
      <c r="AV7" s="150"/>
      <c r="AW7" s="150"/>
      <c r="AX7" s="150"/>
      <c r="AY7" s="150"/>
      <c r="AZ7" s="150"/>
      <c r="BA7" s="150"/>
      <c r="BB7" s="150"/>
      <c r="BC7" s="150"/>
      <c r="BD7" s="150"/>
      <c r="BE7" s="150"/>
      <c r="BF7" s="150"/>
      <c r="BG7" s="150"/>
    </row>
    <row r="8" spans="1:59" ht="126" x14ac:dyDescent="0.25">
      <c r="A8" s="77">
        <v>5</v>
      </c>
      <c r="B8" s="78" t="s">
        <v>3</v>
      </c>
      <c r="C8" s="78" t="s">
        <v>4</v>
      </c>
      <c r="D8" s="78" t="s">
        <v>35</v>
      </c>
      <c r="E8" s="77"/>
      <c r="F8" s="79"/>
      <c r="G8" s="80"/>
      <c r="H8" s="81">
        <f t="shared" si="0"/>
        <v>0</v>
      </c>
      <c r="I8" s="82"/>
      <c r="J8" s="77"/>
      <c r="K8" s="83">
        <v>1</v>
      </c>
      <c r="L8" s="84">
        <v>0.7</v>
      </c>
      <c r="M8" s="85">
        <f t="shared" si="1"/>
        <v>0.7</v>
      </c>
      <c r="N8" s="86" t="s">
        <v>1180</v>
      </c>
      <c r="O8" s="77"/>
      <c r="P8" s="83">
        <v>1</v>
      </c>
      <c r="Q8" s="84">
        <v>0.8</v>
      </c>
      <c r="R8" s="85">
        <f t="shared" si="2"/>
        <v>0.8</v>
      </c>
      <c r="S8" s="86" t="s">
        <v>1287</v>
      </c>
      <c r="T8" s="77"/>
      <c r="U8" s="79"/>
      <c r="V8" s="80"/>
      <c r="W8" s="81">
        <f t="shared" si="3"/>
        <v>0</v>
      </c>
      <c r="X8" s="78"/>
      <c r="Y8" s="77"/>
      <c r="Z8" s="79"/>
      <c r="AA8" s="80"/>
      <c r="AB8" s="81">
        <f t="shared" si="4"/>
        <v>0</v>
      </c>
      <c r="AC8" s="78"/>
      <c r="AD8" s="77"/>
      <c r="AE8" s="79"/>
      <c r="AF8" s="80"/>
      <c r="AG8" s="81">
        <f t="shared" si="5"/>
        <v>0</v>
      </c>
      <c r="AH8" s="78"/>
      <c r="AI8" s="77"/>
      <c r="AJ8" s="79"/>
      <c r="AK8" s="80"/>
      <c r="AL8" s="81">
        <f t="shared" si="6"/>
        <v>0</v>
      </c>
      <c r="AM8" s="78"/>
      <c r="AN8" s="77"/>
      <c r="AO8" s="83">
        <v>1</v>
      </c>
      <c r="AP8" s="118">
        <v>0.28000000000000003</v>
      </c>
      <c r="AQ8" s="85">
        <f t="shared" si="7"/>
        <v>0.28000000000000003</v>
      </c>
      <c r="AR8" s="86" t="s">
        <v>1203</v>
      </c>
      <c r="AS8" s="150"/>
      <c r="AT8" s="150"/>
      <c r="AU8" s="150"/>
      <c r="AV8" s="150"/>
      <c r="AW8" s="150"/>
      <c r="AX8" s="150"/>
      <c r="AY8" s="150"/>
      <c r="AZ8" s="150"/>
      <c r="BA8" s="150"/>
      <c r="BB8" s="150"/>
      <c r="BC8" s="150"/>
      <c r="BD8" s="150"/>
      <c r="BE8" s="150"/>
      <c r="BF8" s="150"/>
      <c r="BG8" s="150"/>
    </row>
    <row r="9" spans="1:59" ht="340.5" customHeight="1" x14ac:dyDescent="0.25">
      <c r="A9" s="77">
        <v>6</v>
      </c>
      <c r="B9" s="78" t="s">
        <v>3</v>
      </c>
      <c r="C9" s="78" t="s">
        <v>4</v>
      </c>
      <c r="D9" s="78" t="s">
        <v>129</v>
      </c>
      <c r="E9" s="77"/>
      <c r="F9" s="79"/>
      <c r="G9" s="80"/>
      <c r="H9" s="81">
        <f t="shared" si="0"/>
        <v>0</v>
      </c>
      <c r="I9" s="78"/>
      <c r="J9" s="77"/>
      <c r="K9" s="126">
        <v>1</v>
      </c>
      <c r="L9" s="127">
        <v>0.79</v>
      </c>
      <c r="M9" s="85">
        <f t="shared" si="1"/>
        <v>0.79</v>
      </c>
      <c r="N9" s="128" t="s">
        <v>1623</v>
      </c>
      <c r="O9" s="77"/>
      <c r="P9" s="126">
        <v>1</v>
      </c>
      <c r="Q9" s="127">
        <v>0.95</v>
      </c>
      <c r="R9" s="85">
        <f t="shared" si="2"/>
        <v>0.95</v>
      </c>
      <c r="S9" s="128" t="s">
        <v>1633</v>
      </c>
      <c r="T9" s="77"/>
      <c r="U9" s="79"/>
      <c r="V9" s="80"/>
      <c r="W9" s="81">
        <f t="shared" si="3"/>
        <v>0</v>
      </c>
      <c r="X9" s="78"/>
      <c r="Y9" s="77"/>
      <c r="Z9" s="79"/>
      <c r="AA9" s="80"/>
      <c r="AB9" s="81">
        <f t="shared" si="4"/>
        <v>0</v>
      </c>
      <c r="AC9" s="78"/>
      <c r="AD9" s="77"/>
      <c r="AE9" s="79"/>
      <c r="AF9" s="80"/>
      <c r="AG9" s="81">
        <f t="shared" si="5"/>
        <v>0</v>
      </c>
      <c r="AH9" s="78"/>
      <c r="AI9" s="77"/>
      <c r="AJ9" s="79"/>
      <c r="AK9" s="80"/>
      <c r="AL9" s="81">
        <f t="shared" si="6"/>
        <v>0</v>
      </c>
      <c r="AM9" s="78"/>
      <c r="AN9" s="77"/>
      <c r="AO9" s="126">
        <v>1</v>
      </c>
      <c r="AP9" s="129">
        <v>0.1</v>
      </c>
      <c r="AQ9" s="85">
        <f t="shared" si="7"/>
        <v>0.1</v>
      </c>
      <c r="AR9" s="128" t="s">
        <v>1611</v>
      </c>
      <c r="AS9" s="150"/>
      <c r="AT9" s="150"/>
      <c r="AU9" s="150"/>
      <c r="AV9" s="150"/>
      <c r="AW9" s="150"/>
      <c r="AX9" s="150"/>
      <c r="AY9" s="150"/>
      <c r="AZ9" s="150"/>
      <c r="BA9" s="150"/>
      <c r="BB9" s="150"/>
      <c r="BC9" s="150"/>
      <c r="BD9" s="150"/>
      <c r="BE9" s="150"/>
      <c r="BF9" s="150"/>
      <c r="BG9" s="150"/>
    </row>
    <row r="10" spans="1:59" ht="210" customHeight="1" x14ac:dyDescent="0.25">
      <c r="A10" s="77">
        <v>7</v>
      </c>
      <c r="B10" s="78" t="s">
        <v>3</v>
      </c>
      <c r="C10" s="78" t="s">
        <v>4</v>
      </c>
      <c r="D10" s="78" t="s">
        <v>36</v>
      </c>
      <c r="E10" s="77"/>
      <c r="F10" s="79"/>
      <c r="G10" s="80"/>
      <c r="H10" s="81">
        <f t="shared" si="0"/>
        <v>0</v>
      </c>
      <c r="I10" s="82"/>
      <c r="J10" s="77"/>
      <c r="K10" s="83">
        <v>1</v>
      </c>
      <c r="L10" s="84">
        <v>0.75</v>
      </c>
      <c r="M10" s="85">
        <f t="shared" si="1"/>
        <v>0.75</v>
      </c>
      <c r="N10" s="86" t="s">
        <v>1181</v>
      </c>
      <c r="O10" s="77"/>
      <c r="P10" s="83">
        <v>1</v>
      </c>
      <c r="Q10" s="84">
        <v>0.7</v>
      </c>
      <c r="R10" s="85">
        <f t="shared" si="2"/>
        <v>0.7</v>
      </c>
      <c r="S10" s="86" t="s">
        <v>1184</v>
      </c>
      <c r="T10" s="77"/>
      <c r="U10" s="79"/>
      <c r="V10" s="80"/>
      <c r="W10" s="81">
        <f t="shared" si="3"/>
        <v>0</v>
      </c>
      <c r="X10" s="82"/>
      <c r="Y10" s="77"/>
      <c r="Z10" s="79"/>
      <c r="AA10" s="80"/>
      <c r="AB10" s="81">
        <f t="shared" si="4"/>
        <v>0</v>
      </c>
      <c r="AC10" s="82"/>
      <c r="AD10" s="77"/>
      <c r="AE10" s="79"/>
      <c r="AF10" s="80"/>
      <c r="AG10" s="81">
        <f t="shared" si="5"/>
        <v>0</v>
      </c>
      <c r="AH10" s="82"/>
      <c r="AI10" s="77"/>
      <c r="AJ10" s="79"/>
      <c r="AK10" s="80"/>
      <c r="AL10" s="81">
        <f t="shared" si="6"/>
        <v>0</v>
      </c>
      <c r="AM10" s="82"/>
      <c r="AN10" s="77"/>
      <c r="AO10" s="83">
        <v>1</v>
      </c>
      <c r="AP10" s="118">
        <v>0.2</v>
      </c>
      <c r="AQ10" s="85">
        <f t="shared" si="7"/>
        <v>0.2</v>
      </c>
      <c r="AR10" s="86" t="s">
        <v>1191</v>
      </c>
      <c r="AS10" s="151"/>
      <c r="AT10" s="150"/>
      <c r="AU10" s="150"/>
      <c r="AV10" s="150"/>
      <c r="AW10" s="150"/>
      <c r="AX10" s="150"/>
      <c r="AY10" s="150"/>
      <c r="AZ10" s="150"/>
      <c r="BA10" s="150"/>
      <c r="BB10" s="150"/>
      <c r="BC10" s="150"/>
      <c r="BD10" s="150"/>
      <c r="BE10" s="150"/>
      <c r="BF10" s="150"/>
      <c r="BG10" s="150"/>
    </row>
    <row r="11" spans="1:59" ht="99.75" customHeight="1" x14ac:dyDescent="0.25">
      <c r="A11" s="77">
        <v>8</v>
      </c>
      <c r="B11" s="78" t="s">
        <v>3</v>
      </c>
      <c r="C11" s="78" t="s">
        <v>4</v>
      </c>
      <c r="D11" s="78" t="s">
        <v>64</v>
      </c>
      <c r="E11" s="77"/>
      <c r="F11" s="79"/>
      <c r="G11" s="80"/>
      <c r="H11" s="81">
        <f t="shared" si="0"/>
        <v>0</v>
      </c>
      <c r="I11" s="78"/>
      <c r="J11" s="77"/>
      <c r="K11" s="126">
        <v>1</v>
      </c>
      <c r="L11" s="127">
        <v>1</v>
      </c>
      <c r="M11" s="85">
        <f t="shared" si="1"/>
        <v>1</v>
      </c>
      <c r="N11" s="128"/>
      <c r="O11" s="77"/>
      <c r="P11" s="126">
        <v>1</v>
      </c>
      <c r="Q11" s="127">
        <v>0.9</v>
      </c>
      <c r="R11" s="85">
        <f t="shared" si="2"/>
        <v>0.9</v>
      </c>
      <c r="S11" s="128" t="s">
        <v>1185</v>
      </c>
      <c r="T11" s="77"/>
      <c r="U11" s="79"/>
      <c r="V11" s="80"/>
      <c r="W11" s="81">
        <f t="shared" si="3"/>
        <v>0</v>
      </c>
      <c r="X11" s="82"/>
      <c r="Y11" s="77"/>
      <c r="Z11" s="79"/>
      <c r="AA11" s="80"/>
      <c r="AB11" s="81">
        <f t="shared" si="4"/>
        <v>0</v>
      </c>
      <c r="AC11" s="82"/>
      <c r="AD11" s="77"/>
      <c r="AE11" s="79"/>
      <c r="AF11" s="80"/>
      <c r="AG11" s="81">
        <f t="shared" si="5"/>
        <v>0</v>
      </c>
      <c r="AH11" s="82"/>
      <c r="AI11" s="77"/>
      <c r="AJ11" s="79"/>
      <c r="AK11" s="80"/>
      <c r="AL11" s="81">
        <f t="shared" si="6"/>
        <v>0</v>
      </c>
      <c r="AM11" s="82"/>
      <c r="AN11" s="77"/>
      <c r="AO11" s="126">
        <v>1</v>
      </c>
      <c r="AP11" s="129">
        <v>0.15</v>
      </c>
      <c r="AQ11" s="85">
        <f t="shared" si="7"/>
        <v>0.15</v>
      </c>
      <c r="AR11" s="128" t="s">
        <v>1192</v>
      </c>
      <c r="AS11" s="151"/>
      <c r="AT11" s="150"/>
      <c r="AU11" s="150"/>
      <c r="AV11" s="150"/>
      <c r="AW11" s="150"/>
      <c r="AX11" s="150"/>
      <c r="AY11" s="150"/>
      <c r="AZ11" s="150"/>
      <c r="BA11" s="150"/>
      <c r="BB11" s="150"/>
      <c r="BC11" s="150"/>
      <c r="BD11" s="150"/>
      <c r="BE11" s="150"/>
      <c r="BF11" s="150"/>
      <c r="BG11" s="150"/>
    </row>
    <row r="12" spans="1:59" ht="78.75" x14ac:dyDescent="0.25">
      <c r="A12" s="77">
        <v>9</v>
      </c>
      <c r="B12" s="78" t="s">
        <v>3</v>
      </c>
      <c r="C12" s="78" t="s">
        <v>5</v>
      </c>
      <c r="D12" s="78" t="s">
        <v>37</v>
      </c>
      <c r="E12" s="77"/>
      <c r="F12" s="79"/>
      <c r="G12" s="80"/>
      <c r="H12" s="81">
        <f t="shared" si="0"/>
        <v>0</v>
      </c>
      <c r="I12" s="82"/>
      <c r="J12" s="77"/>
      <c r="K12" s="83">
        <v>1</v>
      </c>
      <c r="L12" s="99">
        <v>0.54</v>
      </c>
      <c r="M12" s="85">
        <f t="shared" si="1"/>
        <v>0.54</v>
      </c>
      <c r="N12" s="86" t="s">
        <v>1288</v>
      </c>
      <c r="O12" s="77"/>
      <c r="P12" s="83">
        <v>1</v>
      </c>
      <c r="Q12" s="84">
        <v>1</v>
      </c>
      <c r="R12" s="85">
        <f t="shared" si="2"/>
        <v>1</v>
      </c>
      <c r="S12" s="86"/>
      <c r="T12" s="77"/>
      <c r="U12" s="79"/>
      <c r="V12" s="80"/>
      <c r="W12" s="81">
        <f t="shared" si="3"/>
        <v>0</v>
      </c>
      <c r="X12" s="82"/>
      <c r="Y12" s="77"/>
      <c r="Z12" s="79"/>
      <c r="AA12" s="80"/>
      <c r="AB12" s="81">
        <f t="shared" si="4"/>
        <v>0</v>
      </c>
      <c r="AC12" s="82"/>
      <c r="AD12" s="77"/>
      <c r="AE12" s="79"/>
      <c r="AF12" s="80"/>
      <c r="AG12" s="81">
        <f t="shared" si="5"/>
        <v>0</v>
      </c>
      <c r="AH12" s="82"/>
      <c r="AI12" s="77"/>
      <c r="AJ12" s="79"/>
      <c r="AK12" s="80"/>
      <c r="AL12" s="81">
        <f t="shared" si="6"/>
        <v>0</v>
      </c>
      <c r="AM12" s="82"/>
      <c r="AN12" s="77"/>
      <c r="AO12" s="83">
        <v>1</v>
      </c>
      <c r="AP12" s="118">
        <v>0.1</v>
      </c>
      <c r="AQ12" s="85">
        <f t="shared" si="7"/>
        <v>0.1</v>
      </c>
      <c r="AR12" s="86" t="s">
        <v>1210</v>
      </c>
      <c r="AS12" s="151"/>
      <c r="AT12" s="150"/>
      <c r="AU12" s="150"/>
      <c r="AV12" s="150"/>
      <c r="AW12" s="150"/>
      <c r="AX12" s="150"/>
      <c r="AY12" s="150"/>
      <c r="AZ12" s="150"/>
      <c r="BA12" s="150"/>
      <c r="BB12" s="150"/>
      <c r="BC12" s="150"/>
      <c r="BD12" s="150"/>
      <c r="BE12" s="150"/>
      <c r="BF12" s="150"/>
      <c r="BG12" s="150"/>
    </row>
    <row r="13" spans="1:59" ht="94.5" x14ac:dyDescent="0.25">
      <c r="A13" s="77">
        <v>10</v>
      </c>
      <c r="B13" s="78" t="s">
        <v>3</v>
      </c>
      <c r="C13" s="78" t="s">
        <v>5</v>
      </c>
      <c r="D13" s="78" t="s">
        <v>38</v>
      </c>
      <c r="E13" s="77"/>
      <c r="F13" s="79"/>
      <c r="G13" s="80"/>
      <c r="H13" s="81">
        <f t="shared" si="0"/>
        <v>0</v>
      </c>
      <c r="I13" s="82"/>
      <c r="J13" s="77"/>
      <c r="K13" s="126">
        <v>1</v>
      </c>
      <c r="L13" s="127">
        <v>0.54</v>
      </c>
      <c r="M13" s="85">
        <f t="shared" si="1"/>
        <v>0.54</v>
      </c>
      <c r="N13" s="128" t="s">
        <v>1323</v>
      </c>
      <c r="O13" s="77"/>
      <c r="P13" s="126">
        <v>1</v>
      </c>
      <c r="Q13" s="127">
        <v>0.95</v>
      </c>
      <c r="R13" s="85">
        <f t="shared" si="2"/>
        <v>0.95</v>
      </c>
      <c r="S13" s="128" t="s">
        <v>1186</v>
      </c>
      <c r="T13" s="77"/>
      <c r="U13" s="79"/>
      <c r="V13" s="80"/>
      <c r="W13" s="81">
        <f t="shared" si="3"/>
        <v>0</v>
      </c>
      <c r="X13" s="82"/>
      <c r="Y13" s="77"/>
      <c r="Z13" s="79"/>
      <c r="AA13" s="80"/>
      <c r="AB13" s="81">
        <f t="shared" si="4"/>
        <v>0</v>
      </c>
      <c r="AC13" s="82"/>
      <c r="AD13" s="77"/>
      <c r="AE13" s="79"/>
      <c r="AF13" s="80"/>
      <c r="AG13" s="81">
        <f t="shared" si="5"/>
        <v>0</v>
      </c>
      <c r="AH13" s="82"/>
      <c r="AI13" s="77"/>
      <c r="AJ13" s="79"/>
      <c r="AK13" s="80"/>
      <c r="AL13" s="81">
        <f t="shared" si="6"/>
        <v>0</v>
      </c>
      <c r="AM13" s="82"/>
      <c r="AN13" s="77"/>
      <c r="AO13" s="126">
        <v>1</v>
      </c>
      <c r="AP13" s="129">
        <v>0.25</v>
      </c>
      <c r="AQ13" s="85">
        <f t="shared" si="7"/>
        <v>0.25</v>
      </c>
      <c r="AR13" s="128" t="s">
        <v>1194</v>
      </c>
      <c r="AS13" s="151"/>
      <c r="AT13" s="150"/>
      <c r="AU13" s="150"/>
      <c r="AV13" s="150"/>
      <c r="AW13" s="150"/>
      <c r="AX13" s="150"/>
      <c r="AY13" s="150"/>
      <c r="AZ13" s="150"/>
      <c r="BA13" s="150"/>
      <c r="BB13" s="150"/>
      <c r="BC13" s="150"/>
      <c r="BD13" s="150"/>
      <c r="BE13" s="150"/>
      <c r="BF13" s="150"/>
      <c r="BG13" s="150"/>
    </row>
    <row r="14" spans="1:59" ht="63" x14ac:dyDescent="0.25">
      <c r="A14" s="77">
        <v>11</v>
      </c>
      <c r="B14" s="78" t="s">
        <v>3</v>
      </c>
      <c r="C14" s="78" t="s">
        <v>31</v>
      </c>
      <c r="D14" s="78" t="s">
        <v>39</v>
      </c>
      <c r="E14" s="77"/>
      <c r="F14" s="79"/>
      <c r="G14" s="80"/>
      <c r="H14" s="81">
        <f t="shared" si="0"/>
        <v>0</v>
      </c>
      <c r="I14" s="82"/>
      <c r="J14" s="77"/>
      <c r="K14" s="83">
        <v>1</v>
      </c>
      <c r="L14" s="84">
        <v>0.85</v>
      </c>
      <c r="M14" s="85">
        <f t="shared" si="1"/>
        <v>0.85</v>
      </c>
      <c r="N14" s="86" t="s">
        <v>1182</v>
      </c>
      <c r="O14" s="77"/>
      <c r="P14" s="83">
        <v>1</v>
      </c>
      <c r="Q14" s="84">
        <v>1</v>
      </c>
      <c r="R14" s="85">
        <f t="shared" si="2"/>
        <v>1</v>
      </c>
      <c r="S14" s="86"/>
      <c r="T14" s="77"/>
      <c r="U14" s="79"/>
      <c r="V14" s="80"/>
      <c r="W14" s="81">
        <f t="shared" si="3"/>
        <v>0</v>
      </c>
      <c r="X14" s="82"/>
      <c r="Y14" s="77"/>
      <c r="Z14" s="79"/>
      <c r="AA14" s="80"/>
      <c r="AB14" s="81">
        <f t="shared" si="4"/>
        <v>0</v>
      </c>
      <c r="AC14" s="82"/>
      <c r="AD14" s="77"/>
      <c r="AE14" s="79"/>
      <c r="AF14" s="80"/>
      <c r="AG14" s="81">
        <f t="shared" si="5"/>
        <v>0</v>
      </c>
      <c r="AH14" s="82"/>
      <c r="AI14" s="77"/>
      <c r="AJ14" s="79"/>
      <c r="AK14" s="80"/>
      <c r="AL14" s="81">
        <f t="shared" si="6"/>
        <v>0</v>
      </c>
      <c r="AM14" s="82"/>
      <c r="AN14" s="77"/>
      <c r="AO14" s="83">
        <v>1</v>
      </c>
      <c r="AP14" s="118">
        <v>0.15</v>
      </c>
      <c r="AQ14" s="85">
        <f t="shared" si="7"/>
        <v>0.15</v>
      </c>
      <c r="AR14" s="86" t="s">
        <v>1195</v>
      </c>
      <c r="AS14" s="151"/>
      <c r="AT14" s="150"/>
      <c r="AU14" s="150"/>
      <c r="AV14" s="150"/>
      <c r="AW14" s="150"/>
      <c r="AX14" s="150"/>
      <c r="AY14" s="150"/>
      <c r="AZ14" s="150"/>
      <c r="BA14" s="150"/>
      <c r="BB14" s="150"/>
      <c r="BC14" s="150"/>
      <c r="BD14" s="150"/>
      <c r="BE14" s="150"/>
      <c r="BF14" s="150"/>
      <c r="BG14" s="150"/>
    </row>
    <row r="15" spans="1:59" ht="47.25" x14ac:dyDescent="0.25">
      <c r="A15" s="77">
        <v>12</v>
      </c>
      <c r="B15" s="78" t="s">
        <v>3</v>
      </c>
      <c r="C15" s="78" t="s">
        <v>31</v>
      </c>
      <c r="D15" s="78" t="s">
        <v>40</v>
      </c>
      <c r="E15" s="77"/>
      <c r="F15" s="79"/>
      <c r="G15" s="80"/>
      <c r="H15" s="81">
        <f t="shared" si="0"/>
        <v>0</v>
      </c>
      <c r="I15" s="82"/>
      <c r="J15" s="77"/>
      <c r="K15" s="126">
        <v>1</v>
      </c>
      <c r="L15" s="127">
        <v>1</v>
      </c>
      <c r="M15" s="85">
        <f t="shared" si="1"/>
        <v>1</v>
      </c>
      <c r="N15" s="128"/>
      <c r="O15" s="77"/>
      <c r="P15" s="126">
        <v>1</v>
      </c>
      <c r="Q15" s="127">
        <v>0.95</v>
      </c>
      <c r="R15" s="85">
        <f t="shared" si="2"/>
        <v>0.95</v>
      </c>
      <c r="S15" s="128" t="s">
        <v>1187</v>
      </c>
      <c r="T15" s="77"/>
      <c r="U15" s="79"/>
      <c r="V15" s="80"/>
      <c r="W15" s="81">
        <f t="shared" si="3"/>
        <v>0</v>
      </c>
      <c r="X15" s="82"/>
      <c r="Y15" s="77"/>
      <c r="Z15" s="79"/>
      <c r="AA15" s="80"/>
      <c r="AB15" s="81">
        <f t="shared" si="4"/>
        <v>0</v>
      </c>
      <c r="AC15" s="82"/>
      <c r="AD15" s="77"/>
      <c r="AE15" s="79"/>
      <c r="AF15" s="80"/>
      <c r="AG15" s="81">
        <f t="shared" si="5"/>
        <v>0</v>
      </c>
      <c r="AH15" s="82"/>
      <c r="AI15" s="77"/>
      <c r="AJ15" s="79"/>
      <c r="AK15" s="80"/>
      <c r="AL15" s="81">
        <f t="shared" si="6"/>
        <v>0</v>
      </c>
      <c r="AM15" s="82"/>
      <c r="AN15" s="77"/>
      <c r="AO15" s="126">
        <v>1</v>
      </c>
      <c r="AP15" s="129">
        <v>0.5</v>
      </c>
      <c r="AQ15" s="85">
        <f t="shared" si="7"/>
        <v>0.5</v>
      </c>
      <c r="AR15" s="128" t="s">
        <v>1196</v>
      </c>
      <c r="AS15" s="151"/>
      <c r="AT15" s="150"/>
      <c r="AU15" s="150"/>
      <c r="AV15" s="150"/>
      <c r="AW15" s="150"/>
      <c r="AX15" s="150"/>
      <c r="AY15" s="150"/>
      <c r="AZ15" s="150"/>
      <c r="BA15" s="150"/>
      <c r="BB15" s="150"/>
      <c r="BC15" s="150"/>
      <c r="BD15" s="150"/>
      <c r="BE15" s="150"/>
      <c r="BF15" s="150"/>
      <c r="BG15" s="150"/>
    </row>
    <row r="16" spans="1:59" ht="283.5" x14ac:dyDescent="0.25">
      <c r="A16" s="77">
        <v>13</v>
      </c>
      <c r="B16" s="78" t="s">
        <v>6</v>
      </c>
      <c r="C16" s="78" t="s">
        <v>7</v>
      </c>
      <c r="D16" s="78" t="s">
        <v>41</v>
      </c>
      <c r="E16" s="77"/>
      <c r="F16" s="79"/>
      <c r="G16" s="80"/>
      <c r="H16" s="81">
        <f t="shared" si="0"/>
        <v>0</v>
      </c>
      <c r="I16" s="82"/>
      <c r="J16" s="77"/>
      <c r="K16" s="100">
        <v>1</v>
      </c>
      <c r="L16" s="101">
        <v>1</v>
      </c>
      <c r="M16" s="85">
        <f t="shared" si="1"/>
        <v>1</v>
      </c>
      <c r="N16" s="102" t="s">
        <v>351</v>
      </c>
      <c r="O16" s="77"/>
      <c r="P16" s="100">
        <v>1</v>
      </c>
      <c r="Q16" s="101">
        <v>0.85</v>
      </c>
      <c r="R16" s="85">
        <f t="shared" si="2"/>
        <v>0.85</v>
      </c>
      <c r="S16" s="102" t="s">
        <v>368</v>
      </c>
      <c r="T16" s="77"/>
      <c r="U16" s="79"/>
      <c r="V16" s="80"/>
      <c r="W16" s="81">
        <f t="shared" si="3"/>
        <v>0</v>
      </c>
      <c r="X16" s="82"/>
      <c r="Y16" s="77"/>
      <c r="Z16" s="79"/>
      <c r="AA16" s="80"/>
      <c r="AB16" s="81">
        <f t="shared" si="4"/>
        <v>0</v>
      </c>
      <c r="AC16" s="82"/>
      <c r="AD16" s="77"/>
      <c r="AE16" s="79"/>
      <c r="AF16" s="80"/>
      <c r="AG16" s="81">
        <f t="shared" si="5"/>
        <v>0</v>
      </c>
      <c r="AH16" s="82"/>
      <c r="AI16" s="77"/>
      <c r="AJ16" s="79"/>
      <c r="AK16" s="80"/>
      <c r="AL16" s="81">
        <f t="shared" si="6"/>
        <v>0</v>
      </c>
      <c r="AM16" s="82"/>
      <c r="AN16" s="77"/>
      <c r="AO16" s="100">
        <v>1</v>
      </c>
      <c r="AP16" s="101">
        <v>0.93</v>
      </c>
      <c r="AQ16" s="85">
        <f t="shared" si="7"/>
        <v>0.93</v>
      </c>
      <c r="AR16" s="102" t="s">
        <v>386</v>
      </c>
      <c r="AS16" s="151"/>
      <c r="AT16" s="150"/>
      <c r="AU16" s="150"/>
      <c r="AV16" s="150"/>
      <c r="AW16" s="150"/>
      <c r="AX16" s="150"/>
      <c r="AY16" s="150"/>
      <c r="AZ16" s="150"/>
      <c r="BA16" s="150"/>
      <c r="BB16" s="150"/>
      <c r="BC16" s="150"/>
      <c r="BD16" s="150"/>
      <c r="BE16" s="150"/>
      <c r="BF16" s="150"/>
      <c r="BG16" s="150"/>
    </row>
    <row r="17" spans="1:59" ht="78.75" x14ac:dyDescent="0.25">
      <c r="A17" s="77">
        <v>14</v>
      </c>
      <c r="B17" s="78" t="s">
        <v>6</v>
      </c>
      <c r="C17" s="78" t="s">
        <v>7</v>
      </c>
      <c r="D17" s="78" t="s">
        <v>130</v>
      </c>
      <c r="E17" s="77"/>
      <c r="F17" s="79"/>
      <c r="G17" s="80"/>
      <c r="H17" s="81">
        <f t="shared" si="0"/>
        <v>0</v>
      </c>
      <c r="I17" s="82"/>
      <c r="J17" s="77"/>
      <c r="K17" s="100">
        <v>1</v>
      </c>
      <c r="L17" s="101">
        <v>1</v>
      </c>
      <c r="M17" s="85">
        <f t="shared" si="1"/>
        <v>1</v>
      </c>
      <c r="N17" s="102" t="s">
        <v>352</v>
      </c>
      <c r="O17" s="77"/>
      <c r="P17" s="100">
        <v>1</v>
      </c>
      <c r="Q17" s="101">
        <v>0.45</v>
      </c>
      <c r="R17" s="85">
        <f t="shared" si="2"/>
        <v>0.45</v>
      </c>
      <c r="S17" s="102" t="s">
        <v>369</v>
      </c>
      <c r="T17" s="77"/>
      <c r="U17" s="79"/>
      <c r="V17" s="80"/>
      <c r="W17" s="81">
        <f t="shared" si="3"/>
        <v>0</v>
      </c>
      <c r="X17" s="82"/>
      <c r="Y17" s="77"/>
      <c r="Z17" s="79"/>
      <c r="AA17" s="80"/>
      <c r="AB17" s="81">
        <f t="shared" si="4"/>
        <v>0</v>
      </c>
      <c r="AC17" s="82"/>
      <c r="AD17" s="77"/>
      <c r="AE17" s="79"/>
      <c r="AF17" s="80"/>
      <c r="AG17" s="81">
        <f t="shared" si="5"/>
        <v>0</v>
      </c>
      <c r="AH17" s="82"/>
      <c r="AI17" s="77"/>
      <c r="AJ17" s="79"/>
      <c r="AK17" s="80"/>
      <c r="AL17" s="81">
        <f t="shared" si="6"/>
        <v>0</v>
      </c>
      <c r="AM17" s="82"/>
      <c r="AN17" s="77"/>
      <c r="AO17" s="100">
        <v>1</v>
      </c>
      <c r="AP17" s="101">
        <v>0.45</v>
      </c>
      <c r="AQ17" s="85">
        <f t="shared" si="7"/>
        <v>0.45</v>
      </c>
      <c r="AR17" s="102" t="s">
        <v>387</v>
      </c>
      <c r="AS17" s="151"/>
      <c r="AT17" s="150"/>
      <c r="AU17" s="150"/>
      <c r="AV17" s="150"/>
      <c r="AW17" s="150"/>
      <c r="AX17" s="150"/>
      <c r="AY17" s="150"/>
      <c r="AZ17" s="150"/>
      <c r="BA17" s="150"/>
      <c r="BB17" s="150"/>
      <c r="BC17" s="150"/>
      <c r="BD17" s="150"/>
      <c r="BE17" s="150"/>
      <c r="BF17" s="150"/>
      <c r="BG17" s="150"/>
    </row>
    <row r="18" spans="1:59" ht="78.75" x14ac:dyDescent="0.25">
      <c r="A18" s="77">
        <v>15</v>
      </c>
      <c r="B18" s="78" t="s">
        <v>6</v>
      </c>
      <c r="C18" s="78" t="s">
        <v>7</v>
      </c>
      <c r="D18" s="78" t="s">
        <v>131</v>
      </c>
      <c r="E18" s="77"/>
      <c r="F18" s="79"/>
      <c r="G18" s="80"/>
      <c r="H18" s="81">
        <f t="shared" si="0"/>
        <v>0</v>
      </c>
      <c r="I18" s="82"/>
      <c r="J18" s="77"/>
      <c r="K18" s="100">
        <v>1</v>
      </c>
      <c r="L18" s="101">
        <v>1</v>
      </c>
      <c r="M18" s="85">
        <f t="shared" si="1"/>
        <v>1</v>
      </c>
      <c r="N18" s="78" t="s">
        <v>353</v>
      </c>
      <c r="O18" s="77"/>
      <c r="P18" s="100">
        <v>1</v>
      </c>
      <c r="Q18" s="101">
        <v>1</v>
      </c>
      <c r="R18" s="85">
        <f t="shared" si="2"/>
        <v>1</v>
      </c>
      <c r="S18" s="78" t="s">
        <v>272</v>
      </c>
      <c r="T18" s="77"/>
      <c r="U18" s="79"/>
      <c r="V18" s="80"/>
      <c r="W18" s="81">
        <f t="shared" si="3"/>
        <v>0</v>
      </c>
      <c r="X18" s="82"/>
      <c r="Y18" s="77"/>
      <c r="Z18" s="79"/>
      <c r="AA18" s="80"/>
      <c r="AB18" s="81">
        <f t="shared" si="4"/>
        <v>0</v>
      </c>
      <c r="AC18" s="82"/>
      <c r="AD18" s="77"/>
      <c r="AE18" s="79"/>
      <c r="AF18" s="80"/>
      <c r="AG18" s="81">
        <f t="shared" si="5"/>
        <v>0</v>
      </c>
      <c r="AH18" s="82"/>
      <c r="AI18" s="77"/>
      <c r="AJ18" s="79"/>
      <c r="AK18" s="80"/>
      <c r="AL18" s="81">
        <f t="shared" si="6"/>
        <v>0</v>
      </c>
      <c r="AM18" s="82"/>
      <c r="AN18" s="77"/>
      <c r="AO18" s="100">
        <v>1</v>
      </c>
      <c r="AP18" s="101">
        <v>0.95</v>
      </c>
      <c r="AQ18" s="85">
        <f t="shared" si="7"/>
        <v>0.95</v>
      </c>
      <c r="AR18" s="78" t="s">
        <v>337</v>
      </c>
      <c r="AS18" s="151"/>
      <c r="AT18" s="150"/>
      <c r="AU18" s="150"/>
      <c r="AV18" s="150"/>
      <c r="AW18" s="150"/>
      <c r="AX18" s="150"/>
      <c r="AY18" s="150"/>
      <c r="AZ18" s="150"/>
      <c r="BA18" s="150"/>
      <c r="BB18" s="150"/>
      <c r="BC18" s="150"/>
      <c r="BD18" s="150"/>
      <c r="BE18" s="150"/>
      <c r="BF18" s="150"/>
      <c r="BG18" s="150"/>
    </row>
    <row r="19" spans="1:59" ht="63" x14ac:dyDescent="0.25">
      <c r="A19" s="77">
        <v>16</v>
      </c>
      <c r="B19" s="78" t="s">
        <v>6</v>
      </c>
      <c r="C19" s="78" t="s">
        <v>7</v>
      </c>
      <c r="D19" s="78" t="s">
        <v>42</v>
      </c>
      <c r="E19" s="77"/>
      <c r="F19" s="79"/>
      <c r="G19" s="80"/>
      <c r="H19" s="81">
        <f t="shared" si="0"/>
        <v>0</v>
      </c>
      <c r="I19" s="82"/>
      <c r="J19" s="77"/>
      <c r="K19" s="100">
        <v>1</v>
      </c>
      <c r="L19" s="101">
        <v>1</v>
      </c>
      <c r="M19" s="85">
        <f t="shared" si="1"/>
        <v>1</v>
      </c>
      <c r="N19" s="78" t="s">
        <v>354</v>
      </c>
      <c r="O19" s="77"/>
      <c r="P19" s="100">
        <v>1</v>
      </c>
      <c r="Q19" s="101">
        <v>1</v>
      </c>
      <c r="R19" s="85">
        <f t="shared" si="2"/>
        <v>1</v>
      </c>
      <c r="S19" s="78" t="s">
        <v>370</v>
      </c>
      <c r="T19" s="77"/>
      <c r="U19" s="79"/>
      <c r="V19" s="80"/>
      <c r="W19" s="81">
        <f t="shared" si="3"/>
        <v>0</v>
      </c>
      <c r="X19" s="82"/>
      <c r="Y19" s="77"/>
      <c r="Z19" s="79"/>
      <c r="AA19" s="80"/>
      <c r="AB19" s="81">
        <f t="shared" si="4"/>
        <v>0</v>
      </c>
      <c r="AC19" s="82"/>
      <c r="AD19" s="77"/>
      <c r="AE19" s="79"/>
      <c r="AF19" s="80"/>
      <c r="AG19" s="81">
        <f t="shared" si="5"/>
        <v>0</v>
      </c>
      <c r="AH19" s="82"/>
      <c r="AI19" s="77"/>
      <c r="AJ19" s="79"/>
      <c r="AK19" s="80"/>
      <c r="AL19" s="81">
        <f t="shared" si="6"/>
        <v>0</v>
      </c>
      <c r="AM19" s="82"/>
      <c r="AN19" s="77"/>
      <c r="AO19" s="100">
        <v>1</v>
      </c>
      <c r="AP19" s="101">
        <v>0.95</v>
      </c>
      <c r="AQ19" s="85">
        <f t="shared" si="7"/>
        <v>0.95</v>
      </c>
      <c r="AR19" s="78" t="s">
        <v>239</v>
      </c>
      <c r="AS19" s="151"/>
      <c r="AT19" s="150"/>
      <c r="AU19" s="150"/>
      <c r="AV19" s="150"/>
      <c r="AW19" s="150"/>
      <c r="AX19" s="150"/>
      <c r="AY19" s="150"/>
      <c r="AZ19" s="150"/>
      <c r="BA19" s="150"/>
      <c r="BB19" s="150"/>
      <c r="BC19" s="150"/>
      <c r="BD19" s="150"/>
      <c r="BE19" s="150"/>
      <c r="BF19" s="150"/>
      <c r="BG19" s="150"/>
    </row>
    <row r="20" spans="1:59" ht="157.5" x14ac:dyDescent="0.25">
      <c r="A20" s="77">
        <v>17</v>
      </c>
      <c r="B20" s="78" t="s">
        <v>6</v>
      </c>
      <c r="C20" s="78" t="s">
        <v>7</v>
      </c>
      <c r="D20" s="78" t="s">
        <v>43</v>
      </c>
      <c r="E20" s="77"/>
      <c r="F20" s="79"/>
      <c r="G20" s="80"/>
      <c r="H20" s="81">
        <f t="shared" si="0"/>
        <v>0</v>
      </c>
      <c r="I20" s="82"/>
      <c r="J20" s="77"/>
      <c r="K20" s="100">
        <v>1</v>
      </c>
      <c r="L20" s="101">
        <v>0.7</v>
      </c>
      <c r="M20" s="85">
        <f t="shared" si="1"/>
        <v>0.7</v>
      </c>
      <c r="N20" s="102" t="s">
        <v>355</v>
      </c>
      <c r="O20" s="77"/>
      <c r="P20" s="100">
        <v>1</v>
      </c>
      <c r="Q20" s="101">
        <v>0.9</v>
      </c>
      <c r="R20" s="85">
        <f t="shared" si="2"/>
        <v>0.9</v>
      </c>
      <c r="S20" s="102" t="s">
        <v>371</v>
      </c>
      <c r="T20" s="77"/>
      <c r="U20" s="79"/>
      <c r="V20" s="80"/>
      <c r="W20" s="81">
        <f t="shared" si="3"/>
        <v>0</v>
      </c>
      <c r="X20" s="82"/>
      <c r="Y20" s="77"/>
      <c r="Z20" s="79"/>
      <c r="AA20" s="80"/>
      <c r="AB20" s="81">
        <f t="shared" si="4"/>
        <v>0</v>
      </c>
      <c r="AC20" s="82"/>
      <c r="AD20" s="77"/>
      <c r="AE20" s="79"/>
      <c r="AF20" s="80"/>
      <c r="AG20" s="81">
        <f t="shared" si="5"/>
        <v>0</v>
      </c>
      <c r="AH20" s="82"/>
      <c r="AI20" s="77"/>
      <c r="AJ20" s="79"/>
      <c r="AK20" s="80"/>
      <c r="AL20" s="81">
        <f t="shared" si="6"/>
        <v>0</v>
      </c>
      <c r="AM20" s="82"/>
      <c r="AN20" s="77"/>
      <c r="AO20" s="100">
        <v>1</v>
      </c>
      <c r="AP20" s="101">
        <v>0.6</v>
      </c>
      <c r="AQ20" s="85">
        <f>AO20*AP20</f>
        <v>0.6</v>
      </c>
      <c r="AR20" s="102" t="s">
        <v>388</v>
      </c>
      <c r="AS20" s="151"/>
      <c r="AT20" s="150"/>
      <c r="AU20" s="150"/>
      <c r="AV20" s="150"/>
      <c r="AW20" s="150"/>
      <c r="AX20" s="150"/>
      <c r="AY20" s="150"/>
      <c r="AZ20" s="150"/>
      <c r="BA20" s="150"/>
      <c r="BB20" s="150"/>
      <c r="BC20" s="150"/>
      <c r="BD20" s="150"/>
      <c r="BE20" s="150"/>
      <c r="BF20" s="150"/>
      <c r="BG20" s="150"/>
    </row>
    <row r="21" spans="1:59" ht="141.75" x14ac:dyDescent="0.25">
      <c r="A21" s="77">
        <v>18</v>
      </c>
      <c r="B21" s="78" t="s">
        <v>6</v>
      </c>
      <c r="C21" s="78" t="s">
        <v>7</v>
      </c>
      <c r="D21" s="78" t="s">
        <v>44</v>
      </c>
      <c r="E21" s="77"/>
      <c r="F21" s="79"/>
      <c r="G21" s="80"/>
      <c r="H21" s="81">
        <f t="shared" si="0"/>
        <v>0</v>
      </c>
      <c r="I21" s="82"/>
      <c r="J21" s="77"/>
      <c r="K21" s="100">
        <v>1</v>
      </c>
      <c r="L21" s="101">
        <v>0.75</v>
      </c>
      <c r="M21" s="85">
        <f t="shared" si="1"/>
        <v>0.75</v>
      </c>
      <c r="N21" s="102" t="s">
        <v>304</v>
      </c>
      <c r="O21" s="77"/>
      <c r="P21" s="100">
        <v>1</v>
      </c>
      <c r="Q21" s="101">
        <v>0.75</v>
      </c>
      <c r="R21" s="85">
        <f t="shared" si="2"/>
        <v>0.75</v>
      </c>
      <c r="S21" s="102" t="s">
        <v>1358</v>
      </c>
      <c r="T21" s="77"/>
      <c r="U21" s="79"/>
      <c r="V21" s="80"/>
      <c r="W21" s="81">
        <f t="shared" si="3"/>
        <v>0</v>
      </c>
      <c r="X21" s="82"/>
      <c r="Y21" s="77"/>
      <c r="Z21" s="79"/>
      <c r="AA21" s="80"/>
      <c r="AB21" s="81">
        <f t="shared" si="4"/>
        <v>0</v>
      </c>
      <c r="AC21" s="82"/>
      <c r="AD21" s="77"/>
      <c r="AE21" s="79"/>
      <c r="AF21" s="80"/>
      <c r="AG21" s="81">
        <f t="shared" si="5"/>
        <v>0</v>
      </c>
      <c r="AH21" s="82"/>
      <c r="AI21" s="77"/>
      <c r="AJ21" s="79"/>
      <c r="AK21" s="80"/>
      <c r="AL21" s="81">
        <f t="shared" si="6"/>
        <v>0</v>
      </c>
      <c r="AM21" s="82"/>
      <c r="AN21" s="77"/>
      <c r="AO21" s="100">
        <v>1</v>
      </c>
      <c r="AP21" s="101">
        <v>0.72</v>
      </c>
      <c r="AQ21" s="85">
        <f t="shared" ref="AQ21:AQ27" si="8">AO21*AP21</f>
        <v>0.72</v>
      </c>
      <c r="AR21" s="102" t="s">
        <v>339</v>
      </c>
      <c r="AS21" s="151"/>
      <c r="AT21" s="150"/>
      <c r="AU21" s="150"/>
      <c r="AV21" s="150"/>
      <c r="AW21" s="150"/>
      <c r="AX21" s="150"/>
      <c r="AY21" s="150"/>
      <c r="AZ21" s="150"/>
      <c r="BA21" s="150"/>
      <c r="BB21" s="150"/>
      <c r="BC21" s="150"/>
      <c r="BD21" s="150"/>
      <c r="BE21" s="150"/>
      <c r="BF21" s="150"/>
      <c r="BG21" s="150"/>
    </row>
    <row r="22" spans="1:59" ht="126" x14ac:dyDescent="0.25">
      <c r="A22" s="77">
        <v>19</v>
      </c>
      <c r="B22" s="78" t="s">
        <v>6</v>
      </c>
      <c r="C22" s="78" t="s">
        <v>7</v>
      </c>
      <c r="D22" s="78" t="s">
        <v>45</v>
      </c>
      <c r="E22" s="77"/>
      <c r="F22" s="79"/>
      <c r="G22" s="80"/>
      <c r="H22" s="81">
        <f t="shared" si="0"/>
        <v>0</v>
      </c>
      <c r="I22" s="82"/>
      <c r="J22" s="77"/>
      <c r="K22" s="100">
        <v>1</v>
      </c>
      <c r="L22" s="101">
        <v>0.65</v>
      </c>
      <c r="M22" s="85">
        <f t="shared" si="1"/>
        <v>0.65</v>
      </c>
      <c r="N22" s="102" t="s">
        <v>356</v>
      </c>
      <c r="O22" s="77"/>
      <c r="P22" s="100">
        <v>1</v>
      </c>
      <c r="Q22" s="101">
        <v>0.6</v>
      </c>
      <c r="R22" s="85">
        <f t="shared" si="2"/>
        <v>0.6</v>
      </c>
      <c r="S22" s="102" t="s">
        <v>372</v>
      </c>
      <c r="T22" s="77"/>
      <c r="U22" s="79"/>
      <c r="V22" s="80"/>
      <c r="W22" s="81">
        <f t="shared" si="3"/>
        <v>0</v>
      </c>
      <c r="X22" s="82"/>
      <c r="Y22" s="77"/>
      <c r="Z22" s="79"/>
      <c r="AA22" s="80"/>
      <c r="AB22" s="81">
        <f t="shared" si="4"/>
        <v>0</v>
      </c>
      <c r="AC22" s="82"/>
      <c r="AD22" s="77"/>
      <c r="AE22" s="79"/>
      <c r="AF22" s="80"/>
      <c r="AG22" s="81">
        <f t="shared" si="5"/>
        <v>0</v>
      </c>
      <c r="AH22" s="82"/>
      <c r="AI22" s="77"/>
      <c r="AJ22" s="79"/>
      <c r="AK22" s="80"/>
      <c r="AL22" s="81">
        <f t="shared" si="6"/>
        <v>0</v>
      </c>
      <c r="AM22" s="82"/>
      <c r="AN22" s="77"/>
      <c r="AO22" s="100">
        <v>1</v>
      </c>
      <c r="AP22" s="101">
        <v>0.35</v>
      </c>
      <c r="AQ22" s="85">
        <f t="shared" si="8"/>
        <v>0.35</v>
      </c>
      <c r="AR22" s="102" t="s">
        <v>290</v>
      </c>
      <c r="AS22" s="151"/>
      <c r="AT22" s="150"/>
      <c r="AU22" s="150"/>
      <c r="AV22" s="150"/>
      <c r="AW22" s="150"/>
      <c r="AX22" s="150"/>
      <c r="AY22" s="150"/>
      <c r="AZ22" s="150"/>
      <c r="BA22" s="150"/>
      <c r="BB22" s="150"/>
      <c r="BC22" s="150"/>
      <c r="BD22" s="150"/>
      <c r="BE22" s="150"/>
      <c r="BF22" s="150"/>
      <c r="BG22" s="150"/>
    </row>
    <row r="23" spans="1:59" ht="110.25" x14ac:dyDescent="0.25">
      <c r="A23" s="77">
        <v>20</v>
      </c>
      <c r="B23" s="78" t="s">
        <v>6</v>
      </c>
      <c r="C23" s="78" t="s">
        <v>7</v>
      </c>
      <c r="D23" s="78" t="s">
        <v>46</v>
      </c>
      <c r="E23" s="77"/>
      <c r="F23" s="79"/>
      <c r="G23" s="80"/>
      <c r="H23" s="81">
        <f t="shared" si="0"/>
        <v>0</v>
      </c>
      <c r="I23" s="82"/>
      <c r="J23" s="77"/>
      <c r="K23" s="100">
        <v>1</v>
      </c>
      <c r="L23" s="101">
        <v>0.75</v>
      </c>
      <c r="M23" s="85">
        <f t="shared" si="1"/>
        <v>0.75</v>
      </c>
      <c r="N23" s="102" t="s">
        <v>357</v>
      </c>
      <c r="O23" s="77"/>
      <c r="P23" s="100">
        <v>1</v>
      </c>
      <c r="Q23" s="101">
        <v>0.6</v>
      </c>
      <c r="R23" s="85">
        <f t="shared" si="2"/>
        <v>0.6</v>
      </c>
      <c r="S23" s="102" t="s">
        <v>373</v>
      </c>
      <c r="T23" s="77"/>
      <c r="U23" s="79"/>
      <c r="V23" s="80"/>
      <c r="W23" s="81">
        <f t="shared" si="3"/>
        <v>0</v>
      </c>
      <c r="X23" s="82"/>
      <c r="Y23" s="77"/>
      <c r="Z23" s="79"/>
      <c r="AA23" s="80"/>
      <c r="AB23" s="81">
        <f t="shared" si="4"/>
        <v>0</v>
      </c>
      <c r="AC23" s="82"/>
      <c r="AD23" s="77"/>
      <c r="AE23" s="79"/>
      <c r="AF23" s="80"/>
      <c r="AG23" s="81">
        <f t="shared" si="5"/>
        <v>0</v>
      </c>
      <c r="AH23" s="82"/>
      <c r="AI23" s="77"/>
      <c r="AJ23" s="79"/>
      <c r="AK23" s="80"/>
      <c r="AL23" s="81">
        <f t="shared" si="6"/>
        <v>0</v>
      </c>
      <c r="AM23" s="82"/>
      <c r="AN23" s="77"/>
      <c r="AO23" s="100">
        <v>1</v>
      </c>
      <c r="AP23" s="101">
        <v>0.3</v>
      </c>
      <c r="AQ23" s="85">
        <f t="shared" si="8"/>
        <v>0.3</v>
      </c>
      <c r="AR23" s="102" t="s">
        <v>243</v>
      </c>
      <c r="AS23" s="151"/>
      <c r="AT23" s="150"/>
      <c r="AU23" s="150"/>
      <c r="AV23" s="150"/>
      <c r="AW23" s="150"/>
      <c r="AX23" s="150"/>
      <c r="AY23" s="150"/>
      <c r="AZ23" s="150"/>
      <c r="BA23" s="150"/>
      <c r="BB23" s="150"/>
      <c r="BC23" s="150"/>
      <c r="BD23" s="150"/>
      <c r="BE23" s="150"/>
      <c r="BF23" s="150"/>
      <c r="BG23" s="150"/>
    </row>
    <row r="24" spans="1:59" ht="94.5" x14ac:dyDescent="0.25">
      <c r="A24" s="77">
        <v>21</v>
      </c>
      <c r="B24" s="78" t="s">
        <v>6</v>
      </c>
      <c r="C24" s="78" t="s">
        <v>7</v>
      </c>
      <c r="D24" s="78" t="s">
        <v>47</v>
      </c>
      <c r="E24" s="77"/>
      <c r="F24" s="79"/>
      <c r="G24" s="80"/>
      <c r="H24" s="81">
        <f t="shared" si="0"/>
        <v>0</v>
      </c>
      <c r="I24" s="82"/>
      <c r="J24" s="77" t="s">
        <v>30</v>
      </c>
      <c r="K24" s="100">
        <v>1</v>
      </c>
      <c r="L24" s="101">
        <v>0.98</v>
      </c>
      <c r="M24" s="85">
        <f t="shared" si="1"/>
        <v>0.98</v>
      </c>
      <c r="N24" s="102" t="s">
        <v>358</v>
      </c>
      <c r="O24" s="77"/>
      <c r="P24" s="100">
        <v>1</v>
      </c>
      <c r="Q24" s="101">
        <v>0.9</v>
      </c>
      <c r="R24" s="85">
        <f t="shared" si="2"/>
        <v>0.9</v>
      </c>
      <c r="S24" s="102" t="s">
        <v>224</v>
      </c>
      <c r="T24" s="77"/>
      <c r="U24" s="79"/>
      <c r="V24" s="80"/>
      <c r="W24" s="81">
        <f t="shared" si="3"/>
        <v>0</v>
      </c>
      <c r="X24" s="82"/>
      <c r="Y24" s="77"/>
      <c r="Z24" s="79"/>
      <c r="AA24" s="80"/>
      <c r="AB24" s="81">
        <f t="shared" si="4"/>
        <v>0</v>
      </c>
      <c r="AC24" s="82"/>
      <c r="AD24" s="77"/>
      <c r="AE24" s="79"/>
      <c r="AF24" s="80"/>
      <c r="AG24" s="81">
        <f t="shared" si="5"/>
        <v>0</v>
      </c>
      <c r="AH24" s="82"/>
      <c r="AI24" s="77"/>
      <c r="AJ24" s="79"/>
      <c r="AK24" s="80"/>
      <c r="AL24" s="81">
        <f t="shared" si="6"/>
        <v>0</v>
      </c>
      <c r="AM24" s="82"/>
      <c r="AN24" s="77"/>
      <c r="AO24" s="100">
        <v>1</v>
      </c>
      <c r="AP24" s="101">
        <v>0.95</v>
      </c>
      <c r="AQ24" s="85">
        <f t="shared" si="8"/>
        <v>0.95</v>
      </c>
      <c r="AR24" s="102" t="s">
        <v>185</v>
      </c>
      <c r="AS24" s="151"/>
      <c r="AT24" s="150"/>
      <c r="AU24" s="150"/>
      <c r="AV24" s="150"/>
      <c r="AW24" s="150"/>
      <c r="AX24" s="150"/>
      <c r="AY24" s="150"/>
      <c r="AZ24" s="150"/>
      <c r="BA24" s="150"/>
      <c r="BB24" s="150"/>
      <c r="BC24" s="150"/>
      <c r="BD24" s="150"/>
      <c r="BE24" s="150"/>
      <c r="BF24" s="150"/>
      <c r="BG24" s="150"/>
    </row>
    <row r="25" spans="1:59" s="73" customFormat="1" ht="110.25" x14ac:dyDescent="0.25">
      <c r="A25" s="77">
        <v>22</v>
      </c>
      <c r="B25" s="78" t="s">
        <v>6</v>
      </c>
      <c r="C25" s="78" t="s">
        <v>8</v>
      </c>
      <c r="D25" s="78" t="s">
        <v>48</v>
      </c>
      <c r="E25" s="77"/>
      <c r="F25" s="79"/>
      <c r="G25" s="80"/>
      <c r="H25" s="81">
        <f t="shared" si="0"/>
        <v>0</v>
      </c>
      <c r="I25" s="82"/>
      <c r="J25" s="77"/>
      <c r="K25" s="100">
        <v>1</v>
      </c>
      <c r="L25" s="101">
        <v>1</v>
      </c>
      <c r="M25" s="85">
        <f t="shared" si="1"/>
        <v>1</v>
      </c>
      <c r="N25" s="102" t="s">
        <v>359</v>
      </c>
      <c r="O25" s="77"/>
      <c r="P25" s="100">
        <v>1</v>
      </c>
      <c r="Q25" s="101">
        <v>1</v>
      </c>
      <c r="R25" s="85">
        <f t="shared" si="2"/>
        <v>1</v>
      </c>
      <c r="S25" s="102" t="s">
        <v>374</v>
      </c>
      <c r="T25" s="77"/>
      <c r="U25" s="79"/>
      <c r="V25" s="80"/>
      <c r="W25" s="81">
        <f t="shared" si="3"/>
        <v>0</v>
      </c>
      <c r="X25" s="82"/>
      <c r="Y25" s="77"/>
      <c r="Z25" s="79"/>
      <c r="AA25" s="80"/>
      <c r="AB25" s="81">
        <f t="shared" si="4"/>
        <v>0</v>
      </c>
      <c r="AC25" s="82"/>
      <c r="AD25" s="77"/>
      <c r="AE25" s="79"/>
      <c r="AF25" s="80"/>
      <c r="AG25" s="81">
        <f t="shared" si="5"/>
        <v>0</v>
      </c>
      <c r="AH25" s="82"/>
      <c r="AI25" s="77"/>
      <c r="AJ25" s="79"/>
      <c r="AK25" s="80"/>
      <c r="AL25" s="81">
        <f t="shared" si="6"/>
        <v>0</v>
      </c>
      <c r="AM25" s="82"/>
      <c r="AN25" s="77"/>
      <c r="AO25" s="100">
        <v>1</v>
      </c>
      <c r="AP25" s="101">
        <v>0.5</v>
      </c>
      <c r="AQ25" s="85">
        <f t="shared" si="8"/>
        <v>0.5</v>
      </c>
      <c r="AR25" s="102" t="s">
        <v>389</v>
      </c>
      <c r="AS25" s="151"/>
      <c r="AT25" s="152"/>
      <c r="AU25" s="152"/>
      <c r="AV25" s="152"/>
      <c r="AW25" s="152"/>
      <c r="AX25" s="152"/>
      <c r="AY25" s="152"/>
      <c r="AZ25" s="152"/>
      <c r="BA25" s="152"/>
      <c r="BB25" s="152"/>
      <c r="BC25" s="152"/>
      <c r="BD25" s="152"/>
      <c r="BE25" s="152"/>
      <c r="BF25" s="152"/>
      <c r="BG25" s="152"/>
    </row>
    <row r="26" spans="1:59" ht="94.5" x14ac:dyDescent="0.25">
      <c r="A26" s="77">
        <v>23</v>
      </c>
      <c r="B26" s="78" t="s">
        <v>6</v>
      </c>
      <c r="C26" s="78" t="s">
        <v>8</v>
      </c>
      <c r="D26" s="78" t="s">
        <v>49</v>
      </c>
      <c r="E26" s="77"/>
      <c r="F26" s="79"/>
      <c r="G26" s="80"/>
      <c r="H26" s="81">
        <f t="shared" si="0"/>
        <v>0</v>
      </c>
      <c r="I26" s="82"/>
      <c r="J26" s="77"/>
      <c r="K26" s="100">
        <v>1</v>
      </c>
      <c r="L26" s="101">
        <v>1</v>
      </c>
      <c r="M26" s="85">
        <f t="shared" si="1"/>
        <v>1</v>
      </c>
      <c r="N26" s="102" t="s">
        <v>360</v>
      </c>
      <c r="O26" s="77"/>
      <c r="P26" s="100">
        <v>1</v>
      </c>
      <c r="Q26" s="101">
        <v>1</v>
      </c>
      <c r="R26" s="85">
        <f t="shared" si="2"/>
        <v>1</v>
      </c>
      <c r="S26" s="102" t="s">
        <v>375</v>
      </c>
      <c r="T26" s="77"/>
      <c r="U26" s="79"/>
      <c r="V26" s="80"/>
      <c r="W26" s="81">
        <f t="shared" si="3"/>
        <v>0</v>
      </c>
      <c r="X26" s="82"/>
      <c r="Y26" s="77"/>
      <c r="Z26" s="79"/>
      <c r="AA26" s="80"/>
      <c r="AB26" s="81">
        <f t="shared" si="4"/>
        <v>0</v>
      </c>
      <c r="AC26" s="82"/>
      <c r="AD26" s="77"/>
      <c r="AE26" s="79"/>
      <c r="AF26" s="80"/>
      <c r="AG26" s="81">
        <f t="shared" si="5"/>
        <v>0</v>
      </c>
      <c r="AH26" s="82"/>
      <c r="AI26" s="77"/>
      <c r="AJ26" s="79"/>
      <c r="AK26" s="80"/>
      <c r="AL26" s="81">
        <f t="shared" si="6"/>
        <v>0</v>
      </c>
      <c r="AM26" s="82"/>
      <c r="AN26" s="77"/>
      <c r="AO26" s="100">
        <v>1</v>
      </c>
      <c r="AP26" s="101">
        <v>0.6</v>
      </c>
      <c r="AQ26" s="85">
        <f t="shared" si="8"/>
        <v>0.6</v>
      </c>
      <c r="AR26" s="102" t="s">
        <v>390</v>
      </c>
      <c r="AS26" s="151"/>
      <c r="AT26" s="150"/>
      <c r="AU26" s="150"/>
      <c r="AV26" s="150"/>
      <c r="AW26" s="150"/>
      <c r="AX26" s="150"/>
      <c r="AY26" s="150"/>
      <c r="AZ26" s="150"/>
      <c r="BA26" s="150"/>
      <c r="BB26" s="150"/>
      <c r="BC26" s="150"/>
      <c r="BD26" s="150"/>
      <c r="BE26" s="150"/>
      <c r="BF26" s="150"/>
      <c r="BG26" s="150"/>
    </row>
    <row r="27" spans="1:59" ht="152.25" customHeight="1" x14ac:dyDescent="0.25">
      <c r="A27" s="77">
        <v>24</v>
      </c>
      <c r="B27" s="78" t="s">
        <v>6</v>
      </c>
      <c r="C27" s="78" t="s">
        <v>8</v>
      </c>
      <c r="D27" s="78" t="s">
        <v>50</v>
      </c>
      <c r="E27" s="77"/>
      <c r="F27" s="79"/>
      <c r="G27" s="80"/>
      <c r="H27" s="81">
        <f t="shared" si="0"/>
        <v>0</v>
      </c>
      <c r="I27" s="82"/>
      <c r="J27" s="77"/>
      <c r="K27" s="100">
        <v>1</v>
      </c>
      <c r="L27" s="101">
        <v>0.99</v>
      </c>
      <c r="M27" s="85">
        <f t="shared" si="1"/>
        <v>0.99</v>
      </c>
      <c r="N27" s="102" t="s">
        <v>361</v>
      </c>
      <c r="O27" s="77"/>
      <c r="P27" s="100">
        <v>1</v>
      </c>
      <c r="Q27" s="101">
        <v>1</v>
      </c>
      <c r="R27" s="85">
        <f t="shared" si="2"/>
        <v>1</v>
      </c>
      <c r="S27" s="102" t="s">
        <v>376</v>
      </c>
      <c r="T27" s="77"/>
      <c r="U27" s="79"/>
      <c r="V27" s="80"/>
      <c r="W27" s="81">
        <f t="shared" si="3"/>
        <v>0</v>
      </c>
      <c r="X27" s="82"/>
      <c r="Y27" s="77"/>
      <c r="Z27" s="79"/>
      <c r="AA27" s="80"/>
      <c r="AB27" s="81">
        <f t="shared" si="4"/>
        <v>0</v>
      </c>
      <c r="AC27" s="82"/>
      <c r="AD27" s="77"/>
      <c r="AE27" s="79"/>
      <c r="AF27" s="80"/>
      <c r="AG27" s="81">
        <f t="shared" si="5"/>
        <v>0</v>
      </c>
      <c r="AH27" s="82"/>
      <c r="AI27" s="77"/>
      <c r="AJ27" s="79"/>
      <c r="AK27" s="80"/>
      <c r="AL27" s="81">
        <f t="shared" si="6"/>
        <v>0</v>
      </c>
      <c r="AM27" s="82"/>
      <c r="AN27" s="77"/>
      <c r="AO27" s="100">
        <v>1</v>
      </c>
      <c r="AP27" s="101">
        <v>0.7</v>
      </c>
      <c r="AQ27" s="85">
        <f t="shared" si="8"/>
        <v>0.7</v>
      </c>
      <c r="AR27" s="102" t="s">
        <v>391</v>
      </c>
      <c r="AS27" s="151"/>
      <c r="AT27" s="150"/>
      <c r="AU27" s="150"/>
      <c r="AV27" s="150"/>
      <c r="AW27" s="150"/>
      <c r="AX27" s="150"/>
      <c r="AY27" s="150"/>
      <c r="AZ27" s="150"/>
      <c r="BA27" s="150"/>
      <c r="BB27" s="150"/>
      <c r="BC27" s="150"/>
      <c r="BD27" s="150"/>
      <c r="BE27" s="150"/>
      <c r="BF27" s="150"/>
      <c r="BG27" s="150"/>
    </row>
    <row r="28" spans="1:59" ht="283.5" x14ac:dyDescent="0.25">
      <c r="A28" s="77">
        <v>25</v>
      </c>
      <c r="B28" s="78" t="s">
        <v>6</v>
      </c>
      <c r="C28" s="78" t="s">
        <v>8</v>
      </c>
      <c r="D28" s="78" t="s">
        <v>51</v>
      </c>
      <c r="E28" s="77"/>
      <c r="F28" s="79"/>
      <c r="G28" s="80"/>
      <c r="H28" s="81">
        <f t="shared" si="0"/>
        <v>0</v>
      </c>
      <c r="I28" s="82"/>
      <c r="J28" s="77"/>
      <c r="K28" s="100">
        <v>1</v>
      </c>
      <c r="L28" s="101">
        <v>0.8</v>
      </c>
      <c r="M28" s="85">
        <f t="shared" si="1"/>
        <v>0.8</v>
      </c>
      <c r="N28" s="102" t="s">
        <v>362</v>
      </c>
      <c r="O28" s="77"/>
      <c r="P28" s="100">
        <v>1</v>
      </c>
      <c r="Q28" s="101">
        <v>0.6</v>
      </c>
      <c r="R28" s="85">
        <f t="shared" si="2"/>
        <v>0.6</v>
      </c>
      <c r="S28" s="102" t="s">
        <v>377</v>
      </c>
      <c r="T28" s="77"/>
      <c r="U28" s="79"/>
      <c r="V28" s="80"/>
      <c r="W28" s="81">
        <f t="shared" si="3"/>
        <v>0</v>
      </c>
      <c r="X28" s="82"/>
      <c r="Y28" s="77"/>
      <c r="Z28" s="79"/>
      <c r="AA28" s="80"/>
      <c r="AB28" s="81">
        <f t="shared" si="4"/>
        <v>0</v>
      </c>
      <c r="AC28" s="82"/>
      <c r="AD28" s="77"/>
      <c r="AE28" s="79"/>
      <c r="AF28" s="80"/>
      <c r="AG28" s="81">
        <f t="shared" si="5"/>
        <v>0</v>
      </c>
      <c r="AH28" s="82"/>
      <c r="AI28" s="77"/>
      <c r="AJ28" s="79"/>
      <c r="AK28" s="80"/>
      <c r="AL28" s="81">
        <f t="shared" si="6"/>
        <v>0</v>
      </c>
      <c r="AM28" s="82"/>
      <c r="AN28" s="77"/>
      <c r="AO28" s="100">
        <v>1</v>
      </c>
      <c r="AP28" s="101">
        <v>0.6</v>
      </c>
      <c r="AQ28" s="85">
        <f t="shared" si="7"/>
        <v>0.6</v>
      </c>
      <c r="AR28" s="102" t="s">
        <v>392</v>
      </c>
      <c r="AS28" s="151"/>
      <c r="AT28" s="150"/>
      <c r="AU28" s="150"/>
      <c r="AV28" s="150"/>
      <c r="AW28" s="150"/>
      <c r="AX28" s="150"/>
      <c r="AY28" s="150"/>
      <c r="AZ28" s="150"/>
      <c r="BA28" s="150"/>
      <c r="BB28" s="150"/>
      <c r="BC28" s="150"/>
      <c r="BD28" s="150"/>
      <c r="BE28" s="150"/>
      <c r="BF28" s="150"/>
      <c r="BG28" s="150"/>
    </row>
    <row r="29" spans="1:59" ht="78.75" x14ac:dyDescent="0.25">
      <c r="A29" s="77">
        <v>26</v>
      </c>
      <c r="B29" s="78" t="s">
        <v>6</v>
      </c>
      <c r="C29" s="78" t="s">
        <v>8</v>
      </c>
      <c r="D29" s="78" t="s">
        <v>52</v>
      </c>
      <c r="E29" s="77"/>
      <c r="F29" s="79"/>
      <c r="G29" s="80"/>
      <c r="H29" s="81">
        <f t="shared" si="0"/>
        <v>0</v>
      </c>
      <c r="I29" s="82"/>
      <c r="J29" s="77"/>
      <c r="K29" s="100">
        <v>1</v>
      </c>
      <c r="L29" s="101">
        <v>1</v>
      </c>
      <c r="M29" s="85">
        <f t="shared" si="1"/>
        <v>1</v>
      </c>
      <c r="N29" s="102" t="s">
        <v>147</v>
      </c>
      <c r="O29" s="77"/>
      <c r="P29" s="100">
        <v>1</v>
      </c>
      <c r="Q29" s="101">
        <v>0.85</v>
      </c>
      <c r="R29" s="85">
        <f t="shared" si="2"/>
        <v>0.85</v>
      </c>
      <c r="S29" s="102" t="s">
        <v>378</v>
      </c>
      <c r="T29" s="77"/>
      <c r="U29" s="79"/>
      <c r="V29" s="80"/>
      <c r="W29" s="81">
        <f t="shared" si="3"/>
        <v>0</v>
      </c>
      <c r="X29" s="78"/>
      <c r="Y29" s="77"/>
      <c r="Z29" s="79"/>
      <c r="AA29" s="80"/>
      <c r="AB29" s="81">
        <f t="shared" si="4"/>
        <v>0</v>
      </c>
      <c r="AC29" s="78"/>
      <c r="AD29" s="77"/>
      <c r="AE29" s="79"/>
      <c r="AF29" s="80"/>
      <c r="AG29" s="81">
        <f t="shared" si="5"/>
        <v>0</v>
      </c>
      <c r="AH29" s="78"/>
      <c r="AI29" s="77"/>
      <c r="AJ29" s="79"/>
      <c r="AK29" s="80"/>
      <c r="AL29" s="81">
        <f t="shared" si="6"/>
        <v>0</v>
      </c>
      <c r="AM29" s="78"/>
      <c r="AN29" s="77"/>
      <c r="AO29" s="100">
        <v>1</v>
      </c>
      <c r="AP29" s="101">
        <v>0.75</v>
      </c>
      <c r="AQ29" s="85">
        <f t="shared" si="7"/>
        <v>0.75</v>
      </c>
      <c r="AR29" s="102" t="s">
        <v>393</v>
      </c>
      <c r="AS29" s="151"/>
      <c r="AT29" s="150"/>
      <c r="AU29" s="150"/>
      <c r="AV29" s="150"/>
      <c r="AW29" s="150"/>
      <c r="AX29" s="150"/>
      <c r="AY29" s="150"/>
      <c r="AZ29" s="150"/>
      <c r="BA29" s="150"/>
      <c r="BB29" s="150"/>
      <c r="BC29" s="150"/>
      <c r="BD29" s="150"/>
      <c r="BE29" s="150"/>
      <c r="BF29" s="150"/>
      <c r="BG29" s="150"/>
    </row>
    <row r="30" spans="1:59" ht="283.5" x14ac:dyDescent="0.25">
      <c r="A30" s="77">
        <v>27</v>
      </c>
      <c r="B30" s="78" t="s">
        <v>6</v>
      </c>
      <c r="C30" s="78" t="s">
        <v>8</v>
      </c>
      <c r="D30" s="78" t="s">
        <v>53</v>
      </c>
      <c r="E30" s="77"/>
      <c r="F30" s="79"/>
      <c r="G30" s="80"/>
      <c r="H30" s="81">
        <f t="shared" si="0"/>
        <v>0</v>
      </c>
      <c r="I30" s="82"/>
      <c r="J30" s="77"/>
      <c r="K30" s="100">
        <v>1</v>
      </c>
      <c r="L30" s="107">
        <v>1</v>
      </c>
      <c r="M30" s="85">
        <f t="shared" si="1"/>
        <v>1</v>
      </c>
      <c r="N30" s="102"/>
      <c r="O30" s="77"/>
      <c r="P30" s="100">
        <v>1</v>
      </c>
      <c r="Q30" s="101">
        <v>0.6</v>
      </c>
      <c r="R30" s="85">
        <f t="shared" si="2"/>
        <v>0.6</v>
      </c>
      <c r="S30" s="102" t="s">
        <v>379</v>
      </c>
      <c r="T30" s="77"/>
      <c r="U30" s="79"/>
      <c r="V30" s="80"/>
      <c r="W30" s="81">
        <f t="shared" si="3"/>
        <v>0</v>
      </c>
      <c r="X30" s="82"/>
      <c r="Y30" s="77"/>
      <c r="Z30" s="79"/>
      <c r="AA30" s="80"/>
      <c r="AB30" s="81">
        <f t="shared" si="4"/>
        <v>0</v>
      </c>
      <c r="AC30" s="82"/>
      <c r="AD30" s="77"/>
      <c r="AE30" s="79"/>
      <c r="AF30" s="80"/>
      <c r="AG30" s="81">
        <f t="shared" si="5"/>
        <v>0</v>
      </c>
      <c r="AH30" s="82"/>
      <c r="AI30" s="77"/>
      <c r="AJ30" s="79"/>
      <c r="AK30" s="80"/>
      <c r="AL30" s="81">
        <f t="shared" si="6"/>
        <v>0</v>
      </c>
      <c r="AM30" s="82"/>
      <c r="AN30" s="77"/>
      <c r="AO30" s="100">
        <v>1</v>
      </c>
      <c r="AP30" s="101">
        <v>1</v>
      </c>
      <c r="AQ30" s="85">
        <f t="shared" si="7"/>
        <v>1</v>
      </c>
      <c r="AR30" s="102"/>
      <c r="AS30" s="151"/>
      <c r="AT30" s="150"/>
      <c r="AU30" s="150"/>
      <c r="AV30" s="150"/>
      <c r="AW30" s="150"/>
      <c r="AX30" s="150"/>
      <c r="AY30" s="150"/>
      <c r="AZ30" s="150"/>
      <c r="BA30" s="150"/>
      <c r="BB30" s="150"/>
      <c r="BC30" s="150"/>
      <c r="BD30" s="150"/>
      <c r="BE30" s="150"/>
      <c r="BF30" s="150"/>
      <c r="BG30" s="150"/>
    </row>
    <row r="31" spans="1:59" ht="78.75" x14ac:dyDescent="0.25">
      <c r="A31" s="77">
        <v>28</v>
      </c>
      <c r="B31" s="78" t="s">
        <v>6</v>
      </c>
      <c r="C31" s="78" t="s">
        <v>8</v>
      </c>
      <c r="D31" s="78" t="s">
        <v>54</v>
      </c>
      <c r="E31" s="77"/>
      <c r="F31" s="79"/>
      <c r="G31" s="80"/>
      <c r="H31" s="81">
        <f t="shared" si="0"/>
        <v>0</v>
      </c>
      <c r="I31" s="82"/>
      <c r="J31" s="77"/>
      <c r="K31" s="100">
        <v>1</v>
      </c>
      <c r="L31" s="101">
        <v>1</v>
      </c>
      <c r="M31" s="85">
        <f t="shared" si="1"/>
        <v>1</v>
      </c>
      <c r="N31" s="102" t="s">
        <v>211</v>
      </c>
      <c r="O31" s="77"/>
      <c r="P31" s="100">
        <v>1</v>
      </c>
      <c r="Q31" s="101">
        <v>1</v>
      </c>
      <c r="R31" s="85">
        <f t="shared" si="2"/>
        <v>1</v>
      </c>
      <c r="S31" s="102" t="s">
        <v>380</v>
      </c>
      <c r="T31" s="77"/>
      <c r="U31" s="79"/>
      <c r="V31" s="80"/>
      <c r="W31" s="81">
        <f t="shared" si="3"/>
        <v>0</v>
      </c>
      <c r="X31" s="82"/>
      <c r="Y31" s="77"/>
      <c r="Z31" s="79"/>
      <c r="AA31" s="80"/>
      <c r="AB31" s="81">
        <f t="shared" si="4"/>
        <v>0</v>
      </c>
      <c r="AC31" s="82"/>
      <c r="AD31" s="77"/>
      <c r="AE31" s="79"/>
      <c r="AF31" s="80"/>
      <c r="AG31" s="81">
        <f t="shared" si="5"/>
        <v>0</v>
      </c>
      <c r="AH31" s="82"/>
      <c r="AI31" s="77"/>
      <c r="AJ31" s="79"/>
      <c r="AK31" s="80"/>
      <c r="AL31" s="81">
        <f t="shared" si="6"/>
        <v>0</v>
      </c>
      <c r="AM31" s="82"/>
      <c r="AN31" s="77"/>
      <c r="AO31" s="100">
        <v>1</v>
      </c>
      <c r="AP31" s="101">
        <v>1</v>
      </c>
      <c r="AQ31" s="85">
        <f t="shared" si="7"/>
        <v>1</v>
      </c>
      <c r="AR31" s="102" t="s">
        <v>394</v>
      </c>
      <c r="AS31" s="151"/>
      <c r="AT31" s="150"/>
      <c r="AU31" s="150"/>
      <c r="AV31" s="150"/>
      <c r="AW31" s="150"/>
      <c r="AX31" s="150"/>
      <c r="AY31" s="150"/>
      <c r="AZ31" s="150"/>
      <c r="BA31" s="150"/>
      <c r="BB31" s="150"/>
      <c r="BC31" s="150"/>
      <c r="BD31" s="150"/>
      <c r="BE31" s="150"/>
      <c r="BF31" s="150"/>
      <c r="BG31" s="150"/>
    </row>
    <row r="32" spans="1:59" ht="78.75" x14ac:dyDescent="0.25">
      <c r="A32" s="77">
        <v>29</v>
      </c>
      <c r="B32" s="78" t="s">
        <v>6</v>
      </c>
      <c r="C32" s="78" t="s">
        <v>8</v>
      </c>
      <c r="D32" s="78" t="s">
        <v>55</v>
      </c>
      <c r="E32" s="77"/>
      <c r="F32" s="79"/>
      <c r="G32" s="80"/>
      <c r="H32" s="81">
        <f t="shared" si="0"/>
        <v>0</v>
      </c>
      <c r="I32" s="82"/>
      <c r="J32" s="77"/>
      <c r="K32" s="100">
        <v>1</v>
      </c>
      <c r="L32" s="101">
        <v>0.95</v>
      </c>
      <c r="M32" s="85">
        <f t="shared" si="1"/>
        <v>0.95</v>
      </c>
      <c r="N32" s="102" t="s">
        <v>363</v>
      </c>
      <c r="O32" s="77"/>
      <c r="P32" s="100">
        <v>1</v>
      </c>
      <c r="Q32" s="101">
        <v>0.85</v>
      </c>
      <c r="R32" s="85">
        <f t="shared" si="2"/>
        <v>0.85</v>
      </c>
      <c r="S32" s="102" t="s">
        <v>381</v>
      </c>
      <c r="T32" s="77"/>
      <c r="U32" s="79"/>
      <c r="V32" s="80"/>
      <c r="W32" s="81">
        <f t="shared" si="3"/>
        <v>0</v>
      </c>
      <c r="X32" s="82"/>
      <c r="Y32" s="77"/>
      <c r="Z32" s="79"/>
      <c r="AA32" s="80"/>
      <c r="AB32" s="81">
        <f t="shared" si="4"/>
        <v>0</v>
      </c>
      <c r="AC32" s="82"/>
      <c r="AD32" s="77"/>
      <c r="AE32" s="79"/>
      <c r="AF32" s="80"/>
      <c r="AG32" s="81">
        <f t="shared" si="5"/>
        <v>0</v>
      </c>
      <c r="AH32" s="82"/>
      <c r="AI32" s="77"/>
      <c r="AJ32" s="79"/>
      <c r="AK32" s="80"/>
      <c r="AL32" s="81">
        <f t="shared" si="6"/>
        <v>0</v>
      </c>
      <c r="AM32" s="82"/>
      <c r="AN32" s="77"/>
      <c r="AO32" s="100">
        <v>1</v>
      </c>
      <c r="AP32" s="101">
        <v>0.9</v>
      </c>
      <c r="AQ32" s="85">
        <f t="shared" si="7"/>
        <v>0.9</v>
      </c>
      <c r="AR32" s="102" t="s">
        <v>395</v>
      </c>
      <c r="AS32" s="151"/>
      <c r="AT32" s="150"/>
      <c r="AU32" s="150"/>
      <c r="AV32" s="150"/>
      <c r="AW32" s="150"/>
      <c r="AX32" s="150"/>
      <c r="AY32" s="150"/>
      <c r="AZ32" s="150"/>
      <c r="BA32" s="150"/>
      <c r="BB32" s="150"/>
      <c r="BC32" s="150"/>
      <c r="BD32" s="150"/>
      <c r="BE32" s="150"/>
      <c r="BF32" s="150"/>
      <c r="BG32" s="150"/>
    </row>
    <row r="33" spans="1:59" ht="94.5" x14ac:dyDescent="0.25">
      <c r="A33" s="77">
        <v>30</v>
      </c>
      <c r="B33" s="78" t="s">
        <v>6</v>
      </c>
      <c r="C33" s="78" t="s">
        <v>8</v>
      </c>
      <c r="D33" s="78" t="s">
        <v>56</v>
      </c>
      <c r="E33" s="77"/>
      <c r="F33" s="79"/>
      <c r="G33" s="80"/>
      <c r="H33" s="81">
        <f t="shared" si="0"/>
        <v>0</v>
      </c>
      <c r="I33" s="82"/>
      <c r="J33" s="77"/>
      <c r="K33" s="100">
        <v>1</v>
      </c>
      <c r="L33" s="101">
        <v>1</v>
      </c>
      <c r="M33" s="85">
        <f t="shared" si="1"/>
        <v>1</v>
      </c>
      <c r="N33" s="102" t="s">
        <v>364</v>
      </c>
      <c r="O33" s="77"/>
      <c r="P33" s="100">
        <v>1</v>
      </c>
      <c r="Q33" s="101">
        <v>0.5</v>
      </c>
      <c r="R33" s="85">
        <f t="shared" si="2"/>
        <v>0.5</v>
      </c>
      <c r="S33" s="102" t="s">
        <v>172</v>
      </c>
      <c r="T33" s="77"/>
      <c r="U33" s="79"/>
      <c r="V33" s="80"/>
      <c r="W33" s="81">
        <f t="shared" si="3"/>
        <v>0</v>
      </c>
      <c r="X33" s="82"/>
      <c r="Y33" s="77"/>
      <c r="Z33" s="79"/>
      <c r="AA33" s="80"/>
      <c r="AB33" s="81">
        <f t="shared" si="4"/>
        <v>0</v>
      </c>
      <c r="AC33" s="82"/>
      <c r="AD33" s="77"/>
      <c r="AE33" s="79"/>
      <c r="AF33" s="80"/>
      <c r="AG33" s="81">
        <f t="shared" si="5"/>
        <v>0</v>
      </c>
      <c r="AH33" s="82"/>
      <c r="AI33" s="77"/>
      <c r="AJ33" s="79"/>
      <c r="AK33" s="80"/>
      <c r="AL33" s="81">
        <f t="shared" si="6"/>
        <v>0</v>
      </c>
      <c r="AM33" s="82"/>
      <c r="AN33" s="77"/>
      <c r="AO33" s="100">
        <v>1</v>
      </c>
      <c r="AP33" s="101">
        <v>0.5</v>
      </c>
      <c r="AQ33" s="85">
        <f t="shared" si="7"/>
        <v>0.5</v>
      </c>
      <c r="AR33" s="102" t="s">
        <v>193</v>
      </c>
      <c r="AS33" s="151"/>
      <c r="AT33" s="150"/>
      <c r="AU33" s="150"/>
      <c r="AV33" s="150"/>
      <c r="AW33" s="150"/>
      <c r="AX33" s="150"/>
      <c r="AY33" s="150"/>
      <c r="AZ33" s="150"/>
      <c r="BA33" s="150"/>
      <c r="BB33" s="150"/>
      <c r="BC33" s="150"/>
      <c r="BD33" s="150"/>
      <c r="BE33" s="150"/>
      <c r="BF33" s="150"/>
      <c r="BG33" s="150"/>
    </row>
    <row r="34" spans="1:59" ht="234" customHeight="1" x14ac:dyDescent="0.25">
      <c r="A34" s="77">
        <v>31</v>
      </c>
      <c r="B34" s="78" t="s">
        <v>6</v>
      </c>
      <c r="C34" s="78" t="s">
        <v>9</v>
      </c>
      <c r="D34" s="102" t="s">
        <v>57</v>
      </c>
      <c r="E34" s="77"/>
      <c r="F34" s="79"/>
      <c r="G34" s="80"/>
      <c r="H34" s="81">
        <f t="shared" si="0"/>
        <v>0</v>
      </c>
      <c r="I34" s="82"/>
      <c r="J34" s="77"/>
      <c r="K34" s="100">
        <v>1</v>
      </c>
      <c r="L34" s="101">
        <v>0.62</v>
      </c>
      <c r="M34" s="85">
        <f t="shared" si="1"/>
        <v>0.62</v>
      </c>
      <c r="N34" s="102" t="s">
        <v>1579</v>
      </c>
      <c r="O34" s="77"/>
      <c r="P34" s="100">
        <v>1</v>
      </c>
      <c r="Q34" s="101">
        <v>0.3</v>
      </c>
      <c r="R34" s="85">
        <f t="shared" si="2"/>
        <v>0.3</v>
      </c>
      <c r="S34" s="102" t="s">
        <v>382</v>
      </c>
      <c r="T34" s="77"/>
      <c r="U34" s="79"/>
      <c r="V34" s="80"/>
      <c r="W34" s="81">
        <f t="shared" si="3"/>
        <v>0</v>
      </c>
      <c r="X34" s="82"/>
      <c r="Y34" s="77"/>
      <c r="Z34" s="79"/>
      <c r="AA34" s="80"/>
      <c r="AB34" s="81">
        <f t="shared" si="4"/>
        <v>0</v>
      </c>
      <c r="AC34" s="82"/>
      <c r="AD34" s="77"/>
      <c r="AE34" s="79"/>
      <c r="AF34" s="80"/>
      <c r="AG34" s="81">
        <f t="shared" si="5"/>
        <v>0</v>
      </c>
      <c r="AH34" s="82"/>
      <c r="AI34" s="77"/>
      <c r="AJ34" s="79"/>
      <c r="AK34" s="80"/>
      <c r="AL34" s="81">
        <f t="shared" si="6"/>
        <v>0</v>
      </c>
      <c r="AM34" s="82"/>
      <c r="AN34" s="77"/>
      <c r="AO34" s="100">
        <v>1</v>
      </c>
      <c r="AP34" s="101">
        <v>0.5</v>
      </c>
      <c r="AQ34" s="85">
        <f>AO34*AP34</f>
        <v>0.5</v>
      </c>
      <c r="AR34" s="102" t="s">
        <v>250</v>
      </c>
      <c r="AS34" s="151"/>
      <c r="AT34" s="150"/>
      <c r="AU34" s="150"/>
      <c r="AV34" s="150"/>
      <c r="AW34" s="150"/>
      <c r="AX34" s="150"/>
      <c r="AY34" s="150"/>
      <c r="AZ34" s="150"/>
      <c r="BA34" s="150"/>
      <c r="BB34" s="150"/>
      <c r="BC34" s="150"/>
      <c r="BD34" s="150"/>
      <c r="BE34" s="150"/>
      <c r="BF34" s="150"/>
      <c r="BG34" s="150"/>
    </row>
    <row r="35" spans="1:59" ht="150.75" customHeight="1" x14ac:dyDescent="0.25">
      <c r="A35" s="77">
        <v>32</v>
      </c>
      <c r="B35" s="78" t="s">
        <v>6</v>
      </c>
      <c r="C35" s="78" t="s">
        <v>9</v>
      </c>
      <c r="D35" s="102" t="s">
        <v>58</v>
      </c>
      <c r="E35" s="77"/>
      <c r="F35" s="79"/>
      <c r="G35" s="80"/>
      <c r="H35" s="81">
        <f t="shared" si="0"/>
        <v>0</v>
      </c>
      <c r="I35" s="78"/>
      <c r="J35" s="77"/>
      <c r="K35" s="100">
        <v>1</v>
      </c>
      <c r="L35" s="101">
        <v>0.9</v>
      </c>
      <c r="M35" s="85">
        <f t="shared" si="1"/>
        <v>0.9</v>
      </c>
      <c r="N35" s="102" t="s">
        <v>313</v>
      </c>
      <c r="O35" s="77"/>
      <c r="P35" s="100">
        <v>1</v>
      </c>
      <c r="Q35" s="101">
        <v>0.7</v>
      </c>
      <c r="R35" s="85">
        <f t="shared" si="2"/>
        <v>0.7</v>
      </c>
      <c r="S35" s="102" t="s">
        <v>383</v>
      </c>
      <c r="T35" s="77"/>
      <c r="U35" s="79"/>
      <c r="V35" s="80"/>
      <c r="W35" s="81">
        <f t="shared" si="3"/>
        <v>0</v>
      </c>
      <c r="X35" s="82"/>
      <c r="Y35" s="77"/>
      <c r="Z35" s="79"/>
      <c r="AA35" s="80"/>
      <c r="AB35" s="81">
        <f t="shared" si="4"/>
        <v>0</v>
      </c>
      <c r="AC35" s="82"/>
      <c r="AD35" s="77"/>
      <c r="AE35" s="79"/>
      <c r="AF35" s="80"/>
      <c r="AG35" s="81">
        <f t="shared" si="5"/>
        <v>0</v>
      </c>
      <c r="AH35" s="82"/>
      <c r="AI35" s="77"/>
      <c r="AJ35" s="79"/>
      <c r="AK35" s="80"/>
      <c r="AL35" s="81">
        <f t="shared" si="6"/>
        <v>0</v>
      </c>
      <c r="AM35" s="82"/>
      <c r="AN35" s="77"/>
      <c r="AO35" s="100">
        <v>1</v>
      </c>
      <c r="AP35" s="101">
        <v>0.5</v>
      </c>
      <c r="AQ35" s="85">
        <f>AO35*AP35</f>
        <v>0.5</v>
      </c>
      <c r="AR35" s="102" t="s">
        <v>348</v>
      </c>
      <c r="AS35" s="151"/>
      <c r="AT35" s="150"/>
      <c r="AU35" s="150"/>
      <c r="AV35" s="150"/>
      <c r="AW35" s="150"/>
      <c r="AX35" s="150"/>
      <c r="AY35" s="150"/>
      <c r="AZ35" s="150"/>
      <c r="BA35" s="150"/>
      <c r="BB35" s="150"/>
      <c r="BC35" s="150"/>
      <c r="BD35" s="150"/>
      <c r="BE35" s="150"/>
      <c r="BF35" s="150"/>
      <c r="BG35" s="150"/>
    </row>
    <row r="36" spans="1:59" ht="157.5" x14ac:dyDescent="0.25">
      <c r="A36" s="77">
        <v>33</v>
      </c>
      <c r="B36" s="78" t="s">
        <v>6</v>
      </c>
      <c r="C36" s="78" t="s">
        <v>9</v>
      </c>
      <c r="D36" s="78" t="s">
        <v>59</v>
      </c>
      <c r="E36" s="77"/>
      <c r="F36" s="79"/>
      <c r="G36" s="80"/>
      <c r="H36" s="81">
        <f t="shared" si="0"/>
        <v>0</v>
      </c>
      <c r="I36" s="82"/>
      <c r="J36" s="77"/>
      <c r="K36" s="100">
        <v>1</v>
      </c>
      <c r="L36" s="101">
        <v>1</v>
      </c>
      <c r="M36" s="85">
        <f t="shared" si="1"/>
        <v>1</v>
      </c>
      <c r="N36" s="102"/>
      <c r="O36" s="77"/>
      <c r="P36" s="100">
        <v>1</v>
      </c>
      <c r="Q36" s="101">
        <v>0.5</v>
      </c>
      <c r="R36" s="85">
        <f t="shared" si="2"/>
        <v>0.5</v>
      </c>
      <c r="S36" s="102" t="s">
        <v>384</v>
      </c>
      <c r="T36" s="77"/>
      <c r="U36" s="79"/>
      <c r="V36" s="80"/>
      <c r="W36" s="81">
        <f t="shared" si="3"/>
        <v>0</v>
      </c>
      <c r="X36" s="82"/>
      <c r="Y36" s="77"/>
      <c r="Z36" s="79"/>
      <c r="AA36" s="80"/>
      <c r="AB36" s="81">
        <f t="shared" si="4"/>
        <v>0</v>
      </c>
      <c r="AC36" s="82"/>
      <c r="AD36" s="77"/>
      <c r="AE36" s="79"/>
      <c r="AF36" s="80"/>
      <c r="AG36" s="81">
        <f t="shared" si="5"/>
        <v>0</v>
      </c>
      <c r="AH36" s="82"/>
      <c r="AI36" s="77"/>
      <c r="AJ36" s="79"/>
      <c r="AK36" s="80"/>
      <c r="AL36" s="81">
        <f t="shared" si="6"/>
        <v>0</v>
      </c>
      <c r="AM36" s="82"/>
      <c r="AN36" s="77"/>
      <c r="AO36" s="100">
        <v>1</v>
      </c>
      <c r="AP36" s="101">
        <v>0.8</v>
      </c>
      <c r="AQ36" s="85">
        <f>AO36*AP36</f>
        <v>0.8</v>
      </c>
      <c r="AR36" s="102" t="s">
        <v>349</v>
      </c>
      <c r="AS36" s="151"/>
      <c r="AT36" s="150"/>
      <c r="AU36" s="150"/>
      <c r="AV36" s="150"/>
      <c r="AW36" s="150"/>
      <c r="AX36" s="150"/>
      <c r="AY36" s="150"/>
      <c r="AZ36" s="150"/>
      <c r="BA36" s="150"/>
      <c r="BB36" s="150"/>
      <c r="BC36" s="150"/>
      <c r="BD36" s="150"/>
      <c r="BE36" s="150"/>
      <c r="BF36" s="150"/>
      <c r="BG36" s="150"/>
    </row>
    <row r="37" spans="1:59" ht="94.5" x14ac:dyDescent="0.25">
      <c r="A37" s="77">
        <v>34</v>
      </c>
      <c r="B37" s="78" t="s">
        <v>6</v>
      </c>
      <c r="C37" s="78" t="s">
        <v>9</v>
      </c>
      <c r="D37" s="78" t="s">
        <v>60</v>
      </c>
      <c r="E37" s="77"/>
      <c r="F37" s="79"/>
      <c r="G37" s="80"/>
      <c r="H37" s="81">
        <f t="shared" si="0"/>
        <v>0</v>
      </c>
      <c r="I37" s="82"/>
      <c r="J37" s="77"/>
      <c r="K37" s="100">
        <v>1</v>
      </c>
      <c r="L37" s="101">
        <v>0.99</v>
      </c>
      <c r="M37" s="85">
        <f t="shared" si="1"/>
        <v>0.99</v>
      </c>
      <c r="N37" s="102" t="s">
        <v>365</v>
      </c>
      <c r="O37" s="77"/>
      <c r="P37" s="100">
        <v>1</v>
      </c>
      <c r="Q37" s="101">
        <v>1</v>
      </c>
      <c r="R37" s="85">
        <f t="shared" si="2"/>
        <v>1</v>
      </c>
      <c r="S37" s="102" t="s">
        <v>176</v>
      </c>
      <c r="T37" s="77"/>
      <c r="U37" s="79"/>
      <c r="V37" s="80"/>
      <c r="W37" s="81">
        <f t="shared" si="3"/>
        <v>0</v>
      </c>
      <c r="X37" s="82"/>
      <c r="Y37" s="77"/>
      <c r="Z37" s="79"/>
      <c r="AA37" s="80"/>
      <c r="AB37" s="81">
        <f t="shared" si="4"/>
        <v>0</v>
      </c>
      <c r="AC37" s="82"/>
      <c r="AD37" s="77"/>
      <c r="AE37" s="79"/>
      <c r="AF37" s="80"/>
      <c r="AG37" s="81">
        <f t="shared" si="5"/>
        <v>0</v>
      </c>
      <c r="AH37" s="82"/>
      <c r="AI37" s="77"/>
      <c r="AJ37" s="79"/>
      <c r="AK37" s="80"/>
      <c r="AL37" s="81">
        <f t="shared" si="6"/>
        <v>0</v>
      </c>
      <c r="AM37" s="82"/>
      <c r="AN37" s="77"/>
      <c r="AO37" s="100">
        <v>0</v>
      </c>
      <c r="AP37" s="101">
        <v>0</v>
      </c>
      <c r="AQ37" s="85">
        <f t="shared" si="7"/>
        <v>0</v>
      </c>
      <c r="AR37" s="102" t="s">
        <v>297</v>
      </c>
      <c r="AS37" s="151"/>
      <c r="AT37" s="150"/>
      <c r="AU37" s="150"/>
      <c r="AV37" s="150"/>
      <c r="AW37" s="150"/>
      <c r="AX37" s="150"/>
      <c r="AY37" s="150"/>
      <c r="AZ37" s="150"/>
      <c r="BA37" s="150"/>
      <c r="BB37" s="150"/>
      <c r="BC37" s="150"/>
      <c r="BD37" s="150"/>
      <c r="BE37" s="150"/>
      <c r="BF37" s="150"/>
      <c r="BG37" s="150"/>
    </row>
    <row r="38" spans="1:59" ht="246.75" customHeight="1" x14ac:dyDescent="0.25">
      <c r="A38" s="77">
        <v>35</v>
      </c>
      <c r="B38" s="78" t="s">
        <v>6</v>
      </c>
      <c r="C38" s="78" t="s">
        <v>9</v>
      </c>
      <c r="D38" s="78" t="s">
        <v>61</v>
      </c>
      <c r="E38" s="77"/>
      <c r="F38" s="79"/>
      <c r="G38" s="80"/>
      <c r="H38" s="81">
        <f t="shared" si="0"/>
        <v>0</v>
      </c>
      <c r="I38" s="82"/>
      <c r="J38" s="77"/>
      <c r="K38" s="100">
        <v>1</v>
      </c>
      <c r="L38" s="101">
        <v>0.9</v>
      </c>
      <c r="M38" s="85">
        <f t="shared" si="1"/>
        <v>0.9</v>
      </c>
      <c r="N38" s="102" t="s">
        <v>366</v>
      </c>
      <c r="O38" s="77"/>
      <c r="P38" s="100">
        <v>1</v>
      </c>
      <c r="Q38" s="101">
        <v>0.98</v>
      </c>
      <c r="R38" s="85">
        <f t="shared" si="2"/>
        <v>0.98</v>
      </c>
      <c r="S38" s="102" t="s">
        <v>234</v>
      </c>
      <c r="T38" s="77"/>
      <c r="U38" s="79"/>
      <c r="V38" s="80"/>
      <c r="W38" s="81">
        <f t="shared" si="3"/>
        <v>0</v>
      </c>
      <c r="X38" s="82"/>
      <c r="Y38" s="77"/>
      <c r="Z38" s="79"/>
      <c r="AA38" s="80"/>
      <c r="AB38" s="81">
        <f t="shared" si="4"/>
        <v>0</v>
      </c>
      <c r="AC38" s="82"/>
      <c r="AD38" s="77"/>
      <c r="AE38" s="79"/>
      <c r="AF38" s="80"/>
      <c r="AG38" s="81">
        <f t="shared" si="5"/>
        <v>0</v>
      </c>
      <c r="AH38" s="82"/>
      <c r="AI38" s="77"/>
      <c r="AJ38" s="79"/>
      <c r="AK38" s="80"/>
      <c r="AL38" s="81">
        <f t="shared" si="6"/>
        <v>0</v>
      </c>
      <c r="AM38" s="82"/>
      <c r="AN38" s="77"/>
      <c r="AO38" s="100">
        <v>1</v>
      </c>
      <c r="AP38" s="101">
        <v>0.65</v>
      </c>
      <c r="AQ38" s="85">
        <f t="shared" si="7"/>
        <v>0.65</v>
      </c>
      <c r="AR38" s="102" t="s">
        <v>396</v>
      </c>
      <c r="AS38" s="151"/>
      <c r="AT38" s="150"/>
      <c r="AU38" s="150"/>
      <c r="AV38" s="150"/>
      <c r="AW38" s="150"/>
      <c r="AX38" s="150"/>
      <c r="AY38" s="150"/>
      <c r="AZ38" s="150"/>
      <c r="BA38" s="150"/>
      <c r="BB38" s="150"/>
      <c r="BC38" s="150"/>
      <c r="BD38" s="150"/>
      <c r="BE38" s="150"/>
      <c r="BF38" s="150"/>
      <c r="BG38" s="150"/>
    </row>
    <row r="39" spans="1:59" ht="252" x14ac:dyDescent="0.25">
      <c r="A39" s="77">
        <v>36</v>
      </c>
      <c r="B39" s="78" t="s">
        <v>6</v>
      </c>
      <c r="C39" s="78" t="s">
        <v>9</v>
      </c>
      <c r="D39" s="78" t="s">
        <v>62</v>
      </c>
      <c r="E39" s="77"/>
      <c r="F39" s="79"/>
      <c r="G39" s="80"/>
      <c r="H39" s="81">
        <f t="shared" si="0"/>
        <v>0</v>
      </c>
      <c r="I39" s="82"/>
      <c r="J39" s="77"/>
      <c r="K39" s="100">
        <v>1</v>
      </c>
      <c r="L39" s="101">
        <v>0.9</v>
      </c>
      <c r="M39" s="85">
        <f t="shared" si="1"/>
        <v>0.9</v>
      </c>
      <c r="N39" s="102" t="s">
        <v>216</v>
      </c>
      <c r="O39" s="77"/>
      <c r="P39" s="100">
        <v>1</v>
      </c>
      <c r="Q39" s="101">
        <v>0.96</v>
      </c>
      <c r="R39" s="85">
        <f t="shared" si="2"/>
        <v>0.96</v>
      </c>
      <c r="S39" s="102" t="s">
        <v>177</v>
      </c>
      <c r="T39" s="77"/>
      <c r="U39" s="79"/>
      <c r="V39" s="80"/>
      <c r="W39" s="81">
        <f t="shared" si="3"/>
        <v>0</v>
      </c>
      <c r="X39" s="82"/>
      <c r="Y39" s="77"/>
      <c r="Z39" s="79"/>
      <c r="AA39" s="80"/>
      <c r="AB39" s="81">
        <f t="shared" si="4"/>
        <v>0</v>
      </c>
      <c r="AC39" s="82"/>
      <c r="AD39" s="77"/>
      <c r="AE39" s="79"/>
      <c r="AF39" s="80"/>
      <c r="AG39" s="81">
        <f t="shared" si="5"/>
        <v>0</v>
      </c>
      <c r="AH39" s="82"/>
      <c r="AI39" s="77"/>
      <c r="AJ39" s="79"/>
      <c r="AK39" s="80"/>
      <c r="AL39" s="81">
        <f t="shared" si="6"/>
        <v>0</v>
      </c>
      <c r="AM39" s="82"/>
      <c r="AN39" s="77"/>
      <c r="AO39" s="100">
        <v>1</v>
      </c>
      <c r="AP39" s="101">
        <v>0.6</v>
      </c>
      <c r="AQ39" s="85">
        <f t="shared" si="7"/>
        <v>0.6</v>
      </c>
      <c r="AR39" s="102" t="s">
        <v>198</v>
      </c>
      <c r="AS39" s="151"/>
      <c r="AT39" s="150"/>
      <c r="AU39" s="150"/>
      <c r="AV39" s="150"/>
      <c r="AW39" s="150"/>
      <c r="AX39" s="150"/>
      <c r="AY39" s="150"/>
      <c r="AZ39" s="150"/>
      <c r="BA39" s="150"/>
      <c r="BB39" s="150"/>
      <c r="BC39" s="150"/>
      <c r="BD39" s="150"/>
      <c r="BE39" s="150"/>
      <c r="BF39" s="150"/>
      <c r="BG39" s="150"/>
    </row>
    <row r="40" spans="1:59" ht="126" x14ac:dyDescent="0.25">
      <c r="A40" s="77">
        <v>37</v>
      </c>
      <c r="B40" s="78" t="s">
        <v>6</v>
      </c>
      <c r="C40" s="78" t="s">
        <v>9</v>
      </c>
      <c r="D40" s="78" t="s">
        <v>63</v>
      </c>
      <c r="E40" s="77"/>
      <c r="F40" s="79"/>
      <c r="G40" s="80"/>
      <c r="H40" s="81">
        <f t="shared" si="0"/>
        <v>0</v>
      </c>
      <c r="I40" s="82"/>
      <c r="J40" s="77"/>
      <c r="K40" s="100">
        <v>1</v>
      </c>
      <c r="L40" s="101">
        <v>0.65</v>
      </c>
      <c r="M40" s="85">
        <f t="shared" si="1"/>
        <v>0.65</v>
      </c>
      <c r="N40" s="102" t="s">
        <v>367</v>
      </c>
      <c r="O40" s="77"/>
      <c r="P40" s="100">
        <v>1</v>
      </c>
      <c r="Q40" s="101">
        <v>0.98</v>
      </c>
      <c r="R40" s="85">
        <f t="shared" si="2"/>
        <v>0.98</v>
      </c>
      <c r="S40" s="102" t="s">
        <v>385</v>
      </c>
      <c r="T40" s="77"/>
      <c r="U40" s="79"/>
      <c r="V40" s="80"/>
      <c r="W40" s="81">
        <f t="shared" si="3"/>
        <v>0</v>
      </c>
      <c r="X40" s="82"/>
      <c r="Y40" s="77"/>
      <c r="Z40" s="79"/>
      <c r="AA40" s="80"/>
      <c r="AB40" s="81">
        <f t="shared" si="4"/>
        <v>0</v>
      </c>
      <c r="AC40" s="82"/>
      <c r="AD40" s="77"/>
      <c r="AE40" s="79"/>
      <c r="AF40" s="80"/>
      <c r="AG40" s="81">
        <f t="shared" si="5"/>
        <v>0</v>
      </c>
      <c r="AH40" s="82"/>
      <c r="AI40" s="77"/>
      <c r="AJ40" s="79"/>
      <c r="AK40" s="80"/>
      <c r="AL40" s="81">
        <f t="shared" si="6"/>
        <v>0</v>
      </c>
      <c r="AM40" s="82"/>
      <c r="AN40" s="77"/>
      <c r="AO40" s="100">
        <v>1</v>
      </c>
      <c r="AP40" s="101">
        <v>0.6</v>
      </c>
      <c r="AQ40" s="85">
        <f t="shared" si="7"/>
        <v>0.6</v>
      </c>
      <c r="AR40" s="102" t="s">
        <v>199</v>
      </c>
      <c r="AS40" s="151"/>
      <c r="AT40" s="150"/>
      <c r="AU40" s="150"/>
      <c r="AV40" s="150"/>
      <c r="AW40" s="150"/>
      <c r="AX40" s="150"/>
      <c r="AY40" s="150"/>
      <c r="AZ40" s="150"/>
      <c r="BA40" s="150"/>
      <c r="BB40" s="150"/>
      <c r="BC40" s="150"/>
      <c r="BD40" s="150"/>
      <c r="BE40" s="150"/>
      <c r="BF40" s="150"/>
      <c r="BG40" s="150"/>
    </row>
    <row r="41" spans="1:59" ht="78.75" x14ac:dyDescent="0.25">
      <c r="A41" s="77">
        <v>38</v>
      </c>
      <c r="B41" s="78" t="s">
        <v>10</v>
      </c>
      <c r="C41" s="78" t="s">
        <v>11</v>
      </c>
      <c r="D41" s="78" t="s">
        <v>65</v>
      </c>
      <c r="E41" s="77"/>
      <c r="F41" s="79"/>
      <c r="G41" s="80"/>
      <c r="H41" s="81">
        <f t="shared" si="0"/>
        <v>0</v>
      </c>
      <c r="I41" s="82"/>
      <c r="J41" s="77"/>
      <c r="K41" s="100">
        <v>1</v>
      </c>
      <c r="L41" s="101">
        <v>0.95</v>
      </c>
      <c r="M41" s="85">
        <f t="shared" si="1"/>
        <v>0.95</v>
      </c>
      <c r="N41" s="78" t="s">
        <v>1350</v>
      </c>
      <c r="O41" s="77"/>
      <c r="P41" s="100">
        <v>1</v>
      </c>
      <c r="Q41" s="101">
        <v>0.9</v>
      </c>
      <c r="R41" s="85">
        <f t="shared" si="2"/>
        <v>0.9</v>
      </c>
      <c r="S41" s="78" t="s">
        <v>1351</v>
      </c>
      <c r="T41" s="77"/>
      <c r="U41" s="79"/>
      <c r="V41" s="80"/>
      <c r="W41" s="81">
        <f t="shared" si="3"/>
        <v>0</v>
      </c>
      <c r="X41" s="82"/>
      <c r="Y41" s="77"/>
      <c r="Z41" s="79"/>
      <c r="AA41" s="80"/>
      <c r="AB41" s="81">
        <f t="shared" si="4"/>
        <v>0</v>
      </c>
      <c r="AC41" s="82"/>
      <c r="AD41" s="77"/>
      <c r="AE41" s="79"/>
      <c r="AF41" s="80"/>
      <c r="AG41" s="81">
        <f t="shared" si="5"/>
        <v>0</v>
      </c>
      <c r="AH41" s="82"/>
      <c r="AI41" s="77"/>
      <c r="AJ41" s="79"/>
      <c r="AK41" s="80"/>
      <c r="AL41" s="81">
        <f t="shared" si="6"/>
        <v>0</v>
      </c>
      <c r="AM41" s="82"/>
      <c r="AN41" s="77"/>
      <c r="AO41" s="100">
        <v>1</v>
      </c>
      <c r="AP41" s="101">
        <v>0.9</v>
      </c>
      <c r="AQ41" s="85">
        <f t="shared" si="7"/>
        <v>0.9</v>
      </c>
      <c r="AR41" s="78" t="s">
        <v>1352</v>
      </c>
      <c r="AS41" s="151"/>
      <c r="AT41" s="150"/>
      <c r="AU41" s="150"/>
      <c r="AV41" s="150"/>
      <c r="AW41" s="150"/>
      <c r="AX41" s="150"/>
      <c r="AY41" s="150"/>
      <c r="AZ41" s="150"/>
      <c r="BA41" s="150"/>
      <c r="BB41" s="150"/>
      <c r="BC41" s="150"/>
      <c r="BD41" s="150"/>
      <c r="BE41" s="150"/>
      <c r="BF41" s="150"/>
      <c r="BG41" s="150"/>
    </row>
    <row r="42" spans="1:59" ht="105.75" customHeight="1" x14ac:dyDescent="0.25">
      <c r="A42" s="77">
        <v>39</v>
      </c>
      <c r="B42" s="78" t="s">
        <v>10</v>
      </c>
      <c r="C42" s="78" t="s">
        <v>11</v>
      </c>
      <c r="D42" s="78" t="s">
        <v>66</v>
      </c>
      <c r="E42" s="77"/>
      <c r="F42" s="79"/>
      <c r="G42" s="80"/>
      <c r="H42" s="81">
        <f t="shared" si="0"/>
        <v>0</v>
      </c>
      <c r="I42" s="82"/>
      <c r="J42" s="77"/>
      <c r="K42" s="100">
        <v>1</v>
      </c>
      <c r="L42" s="101">
        <v>1</v>
      </c>
      <c r="M42" s="85">
        <f t="shared" si="1"/>
        <v>1</v>
      </c>
      <c r="N42" s="78" t="s">
        <v>1058</v>
      </c>
      <c r="O42" s="77"/>
      <c r="P42" s="100">
        <v>1</v>
      </c>
      <c r="Q42" s="101">
        <v>1</v>
      </c>
      <c r="R42" s="85">
        <f t="shared" si="2"/>
        <v>1</v>
      </c>
      <c r="S42" s="78" t="s">
        <v>1064</v>
      </c>
      <c r="T42" s="77"/>
      <c r="U42" s="79"/>
      <c r="V42" s="80"/>
      <c r="W42" s="81">
        <f t="shared" si="3"/>
        <v>0</v>
      </c>
      <c r="X42" s="82"/>
      <c r="Y42" s="77"/>
      <c r="Z42" s="79"/>
      <c r="AA42" s="80"/>
      <c r="AB42" s="81">
        <f t="shared" si="4"/>
        <v>0</v>
      </c>
      <c r="AC42" s="82"/>
      <c r="AD42" s="77"/>
      <c r="AE42" s="79"/>
      <c r="AF42" s="80"/>
      <c r="AG42" s="81">
        <f t="shared" si="5"/>
        <v>0</v>
      </c>
      <c r="AH42" s="82"/>
      <c r="AI42" s="77"/>
      <c r="AJ42" s="79"/>
      <c r="AK42" s="80"/>
      <c r="AL42" s="81">
        <f t="shared" si="6"/>
        <v>0</v>
      </c>
      <c r="AM42" s="82"/>
      <c r="AN42" s="77"/>
      <c r="AO42" s="100">
        <v>1</v>
      </c>
      <c r="AP42" s="101">
        <v>1</v>
      </c>
      <c r="AQ42" s="85">
        <f t="shared" si="7"/>
        <v>1</v>
      </c>
      <c r="AR42" s="78" t="s">
        <v>1066</v>
      </c>
      <c r="AS42" s="151"/>
      <c r="AT42" s="150"/>
      <c r="AU42" s="150"/>
      <c r="AV42" s="150"/>
      <c r="AW42" s="150"/>
      <c r="AX42" s="150"/>
      <c r="AY42" s="150"/>
      <c r="AZ42" s="150"/>
      <c r="BA42" s="150"/>
      <c r="BB42" s="150"/>
      <c r="BC42" s="150"/>
      <c r="BD42" s="150"/>
      <c r="BE42" s="150"/>
      <c r="BF42" s="150"/>
      <c r="BG42" s="150"/>
    </row>
    <row r="43" spans="1:59" ht="112.5" customHeight="1" x14ac:dyDescent="0.25">
      <c r="A43" s="77">
        <v>40</v>
      </c>
      <c r="B43" s="78" t="s">
        <v>10</v>
      </c>
      <c r="C43" s="78" t="s">
        <v>11</v>
      </c>
      <c r="D43" s="78" t="s">
        <v>67</v>
      </c>
      <c r="E43" s="77"/>
      <c r="F43" s="79"/>
      <c r="G43" s="80"/>
      <c r="H43" s="81">
        <f t="shared" si="0"/>
        <v>0</v>
      </c>
      <c r="I43" s="82"/>
      <c r="J43" s="77"/>
      <c r="K43" s="100">
        <v>1</v>
      </c>
      <c r="L43" s="101">
        <v>0.9</v>
      </c>
      <c r="M43" s="85">
        <f t="shared" si="1"/>
        <v>0.9</v>
      </c>
      <c r="N43" s="78" t="s">
        <v>1353</v>
      </c>
      <c r="O43" s="77"/>
      <c r="P43" s="100">
        <v>1</v>
      </c>
      <c r="Q43" s="101">
        <v>0.9</v>
      </c>
      <c r="R43" s="85">
        <f t="shared" si="2"/>
        <v>0.9</v>
      </c>
      <c r="S43" s="78" t="s">
        <v>1354</v>
      </c>
      <c r="T43" s="77"/>
      <c r="U43" s="79"/>
      <c r="V43" s="80"/>
      <c r="W43" s="81">
        <f t="shared" si="3"/>
        <v>0</v>
      </c>
      <c r="X43" s="82"/>
      <c r="Y43" s="77"/>
      <c r="Z43" s="79"/>
      <c r="AA43" s="80"/>
      <c r="AB43" s="81">
        <f t="shared" si="4"/>
        <v>0</v>
      </c>
      <c r="AC43" s="82"/>
      <c r="AD43" s="77"/>
      <c r="AE43" s="79"/>
      <c r="AF43" s="80"/>
      <c r="AG43" s="81">
        <f t="shared" si="5"/>
        <v>0</v>
      </c>
      <c r="AH43" s="82"/>
      <c r="AI43" s="77"/>
      <c r="AJ43" s="79"/>
      <c r="AK43" s="80"/>
      <c r="AL43" s="81">
        <f t="shared" si="6"/>
        <v>0</v>
      </c>
      <c r="AM43" s="82"/>
      <c r="AN43" s="77"/>
      <c r="AO43" s="100">
        <v>1</v>
      </c>
      <c r="AP43" s="101">
        <v>0.65</v>
      </c>
      <c r="AQ43" s="85">
        <f t="shared" si="7"/>
        <v>0.65</v>
      </c>
      <c r="AR43" s="78" t="s">
        <v>1355</v>
      </c>
      <c r="AS43" s="151"/>
      <c r="AT43" s="150"/>
      <c r="AU43" s="150"/>
      <c r="AV43" s="150"/>
      <c r="AW43" s="150"/>
      <c r="AX43" s="150"/>
      <c r="AY43" s="150"/>
      <c r="AZ43" s="150"/>
      <c r="BA43" s="150"/>
      <c r="BB43" s="150"/>
      <c r="BC43" s="150"/>
      <c r="BD43" s="150"/>
      <c r="BE43" s="150"/>
      <c r="BF43" s="150"/>
      <c r="BG43" s="150"/>
    </row>
    <row r="44" spans="1:59" ht="78.75" x14ac:dyDescent="0.25">
      <c r="A44" s="77">
        <v>41</v>
      </c>
      <c r="B44" s="78" t="s">
        <v>10</v>
      </c>
      <c r="C44" s="78" t="s">
        <v>11</v>
      </c>
      <c r="D44" s="78" t="s">
        <v>68</v>
      </c>
      <c r="E44" s="77"/>
      <c r="F44" s="79"/>
      <c r="G44" s="80"/>
      <c r="H44" s="81">
        <f t="shared" si="0"/>
        <v>0</v>
      </c>
      <c r="I44" s="82"/>
      <c r="J44" s="77"/>
      <c r="K44" s="100">
        <v>1</v>
      </c>
      <c r="L44" s="101">
        <v>1</v>
      </c>
      <c r="M44" s="85">
        <f t="shared" si="1"/>
        <v>1</v>
      </c>
      <c r="N44" s="78" t="s">
        <v>1059</v>
      </c>
      <c r="O44" s="77"/>
      <c r="P44" s="100">
        <v>1</v>
      </c>
      <c r="Q44" s="101">
        <v>0.87</v>
      </c>
      <c r="R44" s="85">
        <f t="shared" si="2"/>
        <v>0.87</v>
      </c>
      <c r="S44" s="116" t="s">
        <v>1346</v>
      </c>
      <c r="T44" s="77"/>
      <c r="U44" s="79"/>
      <c r="V44" s="80"/>
      <c r="W44" s="81">
        <f t="shared" si="3"/>
        <v>0</v>
      </c>
      <c r="X44" s="82"/>
      <c r="Y44" s="77"/>
      <c r="Z44" s="79"/>
      <c r="AA44" s="80"/>
      <c r="AB44" s="81">
        <f t="shared" si="4"/>
        <v>0</v>
      </c>
      <c r="AC44" s="82"/>
      <c r="AD44" s="77"/>
      <c r="AE44" s="79"/>
      <c r="AF44" s="80"/>
      <c r="AG44" s="81">
        <f t="shared" si="5"/>
        <v>0</v>
      </c>
      <c r="AH44" s="82"/>
      <c r="AI44" s="77"/>
      <c r="AJ44" s="79"/>
      <c r="AK44" s="80"/>
      <c r="AL44" s="81">
        <f t="shared" si="6"/>
        <v>0</v>
      </c>
      <c r="AM44" s="82"/>
      <c r="AN44" s="77"/>
      <c r="AO44" s="100">
        <v>1</v>
      </c>
      <c r="AP44" s="101">
        <v>0.87</v>
      </c>
      <c r="AQ44" s="85">
        <f t="shared" si="7"/>
        <v>0.87</v>
      </c>
      <c r="AR44" s="116" t="s">
        <v>1347</v>
      </c>
      <c r="AS44" s="151"/>
      <c r="AT44" s="150"/>
      <c r="AU44" s="150"/>
      <c r="AV44" s="150"/>
      <c r="AW44" s="150"/>
      <c r="AX44" s="150"/>
      <c r="AY44" s="150"/>
      <c r="AZ44" s="150"/>
      <c r="BA44" s="150"/>
      <c r="BB44" s="150"/>
      <c r="BC44" s="150"/>
      <c r="BD44" s="150"/>
      <c r="BE44" s="150"/>
      <c r="BF44" s="150"/>
      <c r="BG44" s="150"/>
    </row>
    <row r="45" spans="1:59" ht="47.25" x14ac:dyDescent="0.25">
      <c r="A45" s="77">
        <v>42</v>
      </c>
      <c r="B45" s="78" t="s">
        <v>10</v>
      </c>
      <c r="C45" s="78" t="s">
        <v>11</v>
      </c>
      <c r="D45" s="78" t="s">
        <v>69</v>
      </c>
      <c r="E45" s="77"/>
      <c r="F45" s="79"/>
      <c r="G45" s="80"/>
      <c r="H45" s="81">
        <f t="shared" si="0"/>
        <v>0</v>
      </c>
      <c r="I45" s="82"/>
      <c r="J45" s="77"/>
      <c r="K45" s="100">
        <v>1</v>
      </c>
      <c r="L45" s="101">
        <v>1</v>
      </c>
      <c r="M45" s="85">
        <f t="shared" si="1"/>
        <v>1</v>
      </c>
      <c r="N45" s="78" t="s">
        <v>1069</v>
      </c>
      <c r="O45" s="77"/>
      <c r="P45" s="100">
        <v>1</v>
      </c>
      <c r="Q45" s="101">
        <v>0.7</v>
      </c>
      <c r="R45" s="85">
        <f t="shared" si="2"/>
        <v>0.7</v>
      </c>
      <c r="S45" s="78" t="s">
        <v>1276</v>
      </c>
      <c r="T45" s="77"/>
      <c r="U45" s="79"/>
      <c r="V45" s="80"/>
      <c r="W45" s="81">
        <f t="shared" si="3"/>
        <v>0</v>
      </c>
      <c r="X45" s="82"/>
      <c r="Y45" s="77"/>
      <c r="Z45" s="79"/>
      <c r="AA45" s="80"/>
      <c r="AB45" s="81">
        <f t="shared" si="4"/>
        <v>0</v>
      </c>
      <c r="AC45" s="82"/>
      <c r="AD45" s="77"/>
      <c r="AE45" s="79"/>
      <c r="AF45" s="80"/>
      <c r="AG45" s="81">
        <f t="shared" si="5"/>
        <v>0</v>
      </c>
      <c r="AH45" s="82"/>
      <c r="AI45" s="77"/>
      <c r="AJ45" s="79"/>
      <c r="AK45" s="80"/>
      <c r="AL45" s="81">
        <f t="shared" si="6"/>
        <v>0</v>
      </c>
      <c r="AM45" s="82"/>
      <c r="AN45" s="77"/>
      <c r="AO45" s="100">
        <v>1</v>
      </c>
      <c r="AP45" s="101">
        <v>0.95</v>
      </c>
      <c r="AQ45" s="85">
        <f t="shared" si="7"/>
        <v>0.95</v>
      </c>
      <c r="AR45" s="78" t="s">
        <v>1277</v>
      </c>
      <c r="AS45" s="151"/>
      <c r="AT45" s="150"/>
      <c r="AU45" s="150"/>
      <c r="AV45" s="150"/>
      <c r="AW45" s="150"/>
      <c r="AX45" s="150"/>
      <c r="AY45" s="150"/>
      <c r="AZ45" s="150"/>
      <c r="BA45" s="150"/>
      <c r="BB45" s="150"/>
      <c r="BC45" s="150"/>
      <c r="BD45" s="150"/>
      <c r="BE45" s="150"/>
      <c r="BF45" s="150"/>
      <c r="BG45" s="150"/>
    </row>
    <row r="46" spans="1:59" ht="81.75" customHeight="1" x14ac:dyDescent="0.25">
      <c r="A46" s="77">
        <v>43</v>
      </c>
      <c r="B46" s="78" t="s">
        <v>10</v>
      </c>
      <c r="C46" s="78" t="s">
        <v>11</v>
      </c>
      <c r="D46" s="78" t="s">
        <v>70</v>
      </c>
      <c r="E46" s="77"/>
      <c r="F46" s="79"/>
      <c r="G46" s="80"/>
      <c r="H46" s="81">
        <f t="shared" si="0"/>
        <v>0</v>
      </c>
      <c r="I46" s="82"/>
      <c r="J46" s="77"/>
      <c r="K46" s="100">
        <v>1</v>
      </c>
      <c r="L46" s="101">
        <v>1</v>
      </c>
      <c r="M46" s="85">
        <f t="shared" si="1"/>
        <v>1</v>
      </c>
      <c r="N46" s="78" t="s">
        <v>1061</v>
      </c>
      <c r="O46" s="77"/>
      <c r="P46" s="100">
        <v>1</v>
      </c>
      <c r="Q46" s="101">
        <v>0.85</v>
      </c>
      <c r="R46" s="85">
        <f t="shared" si="2"/>
        <v>0.85</v>
      </c>
      <c r="S46" s="78" t="s">
        <v>1356</v>
      </c>
      <c r="T46" s="77"/>
      <c r="U46" s="79"/>
      <c r="V46" s="80"/>
      <c r="W46" s="81">
        <f t="shared" si="3"/>
        <v>0</v>
      </c>
      <c r="X46" s="82"/>
      <c r="Y46" s="77"/>
      <c r="Z46" s="79"/>
      <c r="AA46" s="80"/>
      <c r="AB46" s="81">
        <f t="shared" si="4"/>
        <v>0</v>
      </c>
      <c r="AC46" s="82"/>
      <c r="AD46" s="77"/>
      <c r="AE46" s="79"/>
      <c r="AF46" s="80"/>
      <c r="AG46" s="81">
        <f t="shared" si="5"/>
        <v>0</v>
      </c>
      <c r="AH46" s="82"/>
      <c r="AI46" s="77"/>
      <c r="AJ46" s="79"/>
      <c r="AK46" s="80"/>
      <c r="AL46" s="81">
        <f t="shared" si="6"/>
        <v>0</v>
      </c>
      <c r="AM46" s="82"/>
      <c r="AN46" s="77"/>
      <c r="AO46" s="100">
        <v>1</v>
      </c>
      <c r="AP46" s="101">
        <v>0.9</v>
      </c>
      <c r="AQ46" s="85">
        <f t="shared" si="7"/>
        <v>0.9</v>
      </c>
      <c r="AR46" s="78" t="s">
        <v>1357</v>
      </c>
      <c r="AS46" s="151"/>
      <c r="AT46" s="150"/>
      <c r="AU46" s="150"/>
      <c r="AV46" s="150"/>
      <c r="AW46" s="150"/>
      <c r="AX46" s="150"/>
      <c r="AY46" s="150"/>
      <c r="AZ46" s="150"/>
      <c r="BA46" s="150"/>
      <c r="BB46" s="150"/>
      <c r="BC46" s="150"/>
      <c r="BD46" s="150"/>
      <c r="BE46" s="150"/>
      <c r="BF46" s="150"/>
      <c r="BG46" s="150"/>
    </row>
    <row r="47" spans="1:59" ht="72" customHeight="1" x14ac:dyDescent="0.25">
      <c r="A47" s="77">
        <v>44</v>
      </c>
      <c r="B47" s="78" t="s">
        <v>10</v>
      </c>
      <c r="C47" s="78" t="s">
        <v>11</v>
      </c>
      <c r="D47" s="78" t="s">
        <v>12</v>
      </c>
      <c r="E47" s="77"/>
      <c r="F47" s="79"/>
      <c r="G47" s="80"/>
      <c r="H47" s="81">
        <f t="shared" si="0"/>
        <v>0</v>
      </c>
      <c r="I47" s="82"/>
      <c r="J47" s="77"/>
      <c r="K47" s="100">
        <v>1</v>
      </c>
      <c r="L47" s="101">
        <v>1</v>
      </c>
      <c r="M47" s="85">
        <f t="shared" si="1"/>
        <v>1</v>
      </c>
      <c r="N47" s="78" t="s">
        <v>1062</v>
      </c>
      <c r="O47" s="77"/>
      <c r="P47" s="100">
        <v>1</v>
      </c>
      <c r="Q47" s="101">
        <v>1</v>
      </c>
      <c r="R47" s="85">
        <f t="shared" si="2"/>
        <v>1</v>
      </c>
      <c r="S47" s="116" t="s">
        <v>1065</v>
      </c>
      <c r="T47" s="77"/>
      <c r="U47" s="79"/>
      <c r="V47" s="80"/>
      <c r="W47" s="81">
        <f t="shared" si="3"/>
        <v>0</v>
      </c>
      <c r="X47" s="82"/>
      <c r="Y47" s="77"/>
      <c r="Z47" s="79"/>
      <c r="AA47" s="80"/>
      <c r="AB47" s="81">
        <f t="shared" si="4"/>
        <v>0</v>
      </c>
      <c r="AC47" s="82"/>
      <c r="AD47" s="77"/>
      <c r="AE47" s="79"/>
      <c r="AF47" s="80"/>
      <c r="AG47" s="81">
        <f t="shared" si="5"/>
        <v>0</v>
      </c>
      <c r="AH47" s="82"/>
      <c r="AI47" s="77"/>
      <c r="AJ47" s="79"/>
      <c r="AK47" s="80"/>
      <c r="AL47" s="81">
        <f t="shared" si="6"/>
        <v>0</v>
      </c>
      <c r="AM47" s="82"/>
      <c r="AN47" s="77"/>
      <c r="AO47" s="100">
        <v>1</v>
      </c>
      <c r="AP47" s="101">
        <v>1</v>
      </c>
      <c r="AQ47" s="85">
        <f t="shared" si="7"/>
        <v>1</v>
      </c>
      <c r="AR47" s="78" t="s">
        <v>1058</v>
      </c>
      <c r="AS47" s="151"/>
      <c r="AT47" s="150"/>
      <c r="AU47" s="150"/>
      <c r="AV47" s="150"/>
      <c r="AW47" s="150"/>
      <c r="AX47" s="150"/>
      <c r="AY47" s="150"/>
      <c r="AZ47" s="150"/>
      <c r="BA47" s="150"/>
      <c r="BB47" s="150"/>
      <c r="BC47" s="150"/>
      <c r="BD47" s="150"/>
      <c r="BE47" s="150"/>
      <c r="BF47" s="150"/>
      <c r="BG47" s="150"/>
    </row>
    <row r="48" spans="1:59" ht="63" x14ac:dyDescent="0.25">
      <c r="A48" s="77">
        <v>45</v>
      </c>
      <c r="B48" s="78" t="s">
        <v>10</v>
      </c>
      <c r="C48" s="78" t="s">
        <v>71</v>
      </c>
      <c r="D48" s="78" t="s">
        <v>72</v>
      </c>
      <c r="E48" s="77"/>
      <c r="F48" s="79"/>
      <c r="G48" s="80"/>
      <c r="H48" s="81">
        <f t="shared" si="0"/>
        <v>0</v>
      </c>
      <c r="I48" s="82"/>
      <c r="J48" s="77"/>
      <c r="K48" s="100">
        <v>1</v>
      </c>
      <c r="L48" s="101">
        <v>0.95</v>
      </c>
      <c r="M48" s="85">
        <f t="shared" si="1"/>
        <v>0.95</v>
      </c>
      <c r="N48" s="78" t="s">
        <v>1280</v>
      </c>
      <c r="O48" s="77"/>
      <c r="P48" s="100">
        <v>1</v>
      </c>
      <c r="Q48" s="101">
        <v>0.85</v>
      </c>
      <c r="R48" s="85">
        <f t="shared" si="2"/>
        <v>0.85</v>
      </c>
      <c r="S48" s="78" t="s">
        <v>1281</v>
      </c>
      <c r="T48" s="77"/>
      <c r="U48" s="79"/>
      <c r="V48" s="80"/>
      <c r="W48" s="81">
        <f t="shared" si="3"/>
        <v>0</v>
      </c>
      <c r="X48" s="82"/>
      <c r="Y48" s="77"/>
      <c r="Z48" s="79"/>
      <c r="AA48" s="80"/>
      <c r="AB48" s="81">
        <f t="shared" si="4"/>
        <v>0</v>
      </c>
      <c r="AC48" s="82"/>
      <c r="AD48" s="77"/>
      <c r="AE48" s="79"/>
      <c r="AF48" s="80"/>
      <c r="AG48" s="81">
        <f t="shared" si="5"/>
        <v>0</v>
      </c>
      <c r="AH48" s="82"/>
      <c r="AI48" s="77"/>
      <c r="AJ48" s="79"/>
      <c r="AK48" s="80"/>
      <c r="AL48" s="81">
        <f t="shared" si="6"/>
        <v>0</v>
      </c>
      <c r="AM48" s="82"/>
      <c r="AN48" s="77"/>
      <c r="AO48" s="100">
        <v>1</v>
      </c>
      <c r="AP48" s="101">
        <v>0.8</v>
      </c>
      <c r="AQ48" s="85">
        <f t="shared" si="7"/>
        <v>0.8</v>
      </c>
      <c r="AR48" s="78" t="s">
        <v>1336</v>
      </c>
      <c r="AS48" s="151"/>
      <c r="AT48" s="150"/>
      <c r="AU48" s="150"/>
      <c r="AV48" s="150"/>
      <c r="AW48" s="150"/>
      <c r="AX48" s="150"/>
      <c r="AY48" s="150"/>
      <c r="AZ48" s="150"/>
      <c r="BA48" s="150"/>
      <c r="BB48" s="150"/>
      <c r="BC48" s="150"/>
      <c r="BD48" s="150"/>
      <c r="BE48" s="150"/>
      <c r="BF48" s="150"/>
      <c r="BG48" s="150"/>
    </row>
    <row r="49" spans="1:59" ht="58.5" customHeight="1" x14ac:dyDescent="0.25">
      <c r="A49" s="77">
        <v>46</v>
      </c>
      <c r="B49" s="78" t="s">
        <v>10</v>
      </c>
      <c r="C49" s="78" t="s">
        <v>11</v>
      </c>
      <c r="D49" s="78" t="s">
        <v>13</v>
      </c>
      <c r="E49" s="77"/>
      <c r="F49" s="79"/>
      <c r="G49" s="80"/>
      <c r="H49" s="81">
        <f t="shared" si="0"/>
        <v>0</v>
      </c>
      <c r="I49" s="82"/>
      <c r="J49" s="77"/>
      <c r="K49" s="100">
        <v>1</v>
      </c>
      <c r="L49" s="101">
        <v>1</v>
      </c>
      <c r="M49" s="85">
        <f t="shared" si="1"/>
        <v>1</v>
      </c>
      <c r="N49" s="78" t="s">
        <v>1063</v>
      </c>
      <c r="O49" s="77"/>
      <c r="P49" s="100">
        <v>1</v>
      </c>
      <c r="Q49" s="101">
        <v>1</v>
      </c>
      <c r="R49" s="85">
        <f t="shared" si="2"/>
        <v>1</v>
      </c>
      <c r="S49" s="78" t="s">
        <v>1062</v>
      </c>
      <c r="T49" s="77"/>
      <c r="U49" s="79"/>
      <c r="V49" s="80"/>
      <c r="W49" s="81">
        <f t="shared" si="3"/>
        <v>0</v>
      </c>
      <c r="X49" s="82"/>
      <c r="Y49" s="77"/>
      <c r="Z49" s="79"/>
      <c r="AA49" s="80"/>
      <c r="AB49" s="81">
        <f t="shared" si="4"/>
        <v>0</v>
      </c>
      <c r="AC49" s="82"/>
      <c r="AD49" s="77"/>
      <c r="AE49" s="79"/>
      <c r="AF49" s="80"/>
      <c r="AG49" s="81">
        <f t="shared" si="5"/>
        <v>0</v>
      </c>
      <c r="AH49" s="82"/>
      <c r="AI49" s="77"/>
      <c r="AJ49" s="79"/>
      <c r="AK49" s="80"/>
      <c r="AL49" s="81">
        <f t="shared" si="6"/>
        <v>0</v>
      </c>
      <c r="AM49" s="82"/>
      <c r="AN49" s="77"/>
      <c r="AO49" s="100">
        <v>1</v>
      </c>
      <c r="AP49" s="101">
        <v>1</v>
      </c>
      <c r="AQ49" s="85">
        <f t="shared" si="7"/>
        <v>1</v>
      </c>
      <c r="AR49" s="78" t="s">
        <v>1062</v>
      </c>
      <c r="AS49" s="151"/>
      <c r="AT49" s="150"/>
      <c r="AU49" s="150"/>
      <c r="AV49" s="150"/>
      <c r="AW49" s="150"/>
      <c r="AX49" s="150"/>
      <c r="AY49" s="150"/>
      <c r="AZ49" s="150"/>
      <c r="BA49" s="150"/>
      <c r="BB49" s="150"/>
      <c r="BC49" s="150"/>
      <c r="BD49" s="150"/>
      <c r="BE49" s="150"/>
      <c r="BF49" s="150"/>
      <c r="BG49" s="150"/>
    </row>
    <row r="50" spans="1:59" ht="108" customHeight="1" x14ac:dyDescent="0.25">
      <c r="A50" s="77">
        <v>47</v>
      </c>
      <c r="B50" s="78" t="s">
        <v>14</v>
      </c>
      <c r="C50" s="78" t="s">
        <v>14</v>
      </c>
      <c r="D50" s="78" t="s">
        <v>15</v>
      </c>
      <c r="E50" s="77"/>
      <c r="F50" s="79"/>
      <c r="G50" s="80"/>
      <c r="H50" s="81">
        <f t="shared" si="0"/>
        <v>0</v>
      </c>
      <c r="I50" s="82"/>
      <c r="J50" s="77"/>
      <c r="K50" s="100">
        <v>1</v>
      </c>
      <c r="L50" s="101">
        <v>1</v>
      </c>
      <c r="M50" s="85">
        <f t="shared" si="1"/>
        <v>1</v>
      </c>
      <c r="N50" s="78" t="s">
        <v>1087</v>
      </c>
      <c r="O50" s="77"/>
      <c r="P50" s="100">
        <v>1</v>
      </c>
      <c r="Q50" s="101">
        <v>1</v>
      </c>
      <c r="R50" s="85">
        <f t="shared" si="2"/>
        <v>1</v>
      </c>
      <c r="S50" s="78" t="s">
        <v>1087</v>
      </c>
      <c r="T50" s="77"/>
      <c r="U50" s="79"/>
      <c r="V50" s="80"/>
      <c r="W50" s="81">
        <f t="shared" si="3"/>
        <v>0</v>
      </c>
      <c r="X50" s="82"/>
      <c r="Y50" s="77"/>
      <c r="Z50" s="79"/>
      <c r="AA50" s="80"/>
      <c r="AB50" s="81">
        <f t="shared" si="4"/>
        <v>0</v>
      </c>
      <c r="AC50" s="82"/>
      <c r="AD50" s="77"/>
      <c r="AE50" s="79"/>
      <c r="AF50" s="80"/>
      <c r="AG50" s="81">
        <f t="shared" si="5"/>
        <v>0</v>
      </c>
      <c r="AH50" s="82"/>
      <c r="AI50" s="77"/>
      <c r="AJ50" s="79"/>
      <c r="AK50" s="80"/>
      <c r="AL50" s="81">
        <f t="shared" si="6"/>
        <v>0</v>
      </c>
      <c r="AM50" s="82"/>
      <c r="AN50" s="77"/>
      <c r="AO50" s="100">
        <v>1</v>
      </c>
      <c r="AP50" s="101">
        <v>1</v>
      </c>
      <c r="AQ50" s="85">
        <f t="shared" si="7"/>
        <v>1</v>
      </c>
      <c r="AR50" s="78" t="s">
        <v>1087</v>
      </c>
      <c r="AS50" s="151"/>
      <c r="AT50" s="150"/>
      <c r="AU50" s="150"/>
      <c r="AV50" s="150"/>
      <c r="AW50" s="150"/>
      <c r="AX50" s="150"/>
      <c r="AY50" s="150"/>
      <c r="AZ50" s="150"/>
      <c r="BA50" s="150"/>
      <c r="BB50" s="150"/>
      <c r="BC50" s="150"/>
      <c r="BD50" s="150"/>
      <c r="BE50" s="150"/>
      <c r="BF50" s="150"/>
      <c r="BG50" s="150"/>
    </row>
    <row r="51" spans="1:59" ht="221.25" customHeight="1" x14ac:dyDescent="0.25">
      <c r="A51" s="77">
        <v>48</v>
      </c>
      <c r="B51" s="78" t="s">
        <v>14</v>
      </c>
      <c r="C51" s="78" t="s">
        <v>14</v>
      </c>
      <c r="D51" s="78" t="s">
        <v>73</v>
      </c>
      <c r="E51" s="77"/>
      <c r="F51" s="79"/>
      <c r="G51" s="80"/>
      <c r="H51" s="81">
        <f t="shared" si="0"/>
        <v>0</v>
      </c>
      <c r="I51" s="82"/>
      <c r="J51" s="77"/>
      <c r="K51" s="100">
        <v>1</v>
      </c>
      <c r="L51" s="101">
        <v>0.65</v>
      </c>
      <c r="M51" s="85">
        <f t="shared" si="1"/>
        <v>0.65</v>
      </c>
      <c r="N51" s="102" t="s">
        <v>1577</v>
      </c>
      <c r="O51" s="77"/>
      <c r="P51" s="100">
        <v>1</v>
      </c>
      <c r="Q51" s="101">
        <v>0.95</v>
      </c>
      <c r="R51" s="85">
        <f t="shared" si="2"/>
        <v>0.95</v>
      </c>
      <c r="S51" s="78" t="s">
        <v>1100</v>
      </c>
      <c r="T51" s="77"/>
      <c r="U51" s="79"/>
      <c r="V51" s="80"/>
      <c r="W51" s="81">
        <f t="shared" si="3"/>
        <v>0</v>
      </c>
      <c r="X51" s="82"/>
      <c r="Y51" s="77"/>
      <c r="Z51" s="79"/>
      <c r="AA51" s="80"/>
      <c r="AB51" s="81">
        <f t="shared" si="4"/>
        <v>0</v>
      </c>
      <c r="AC51" s="82"/>
      <c r="AD51" s="77"/>
      <c r="AE51" s="79"/>
      <c r="AF51" s="80"/>
      <c r="AG51" s="81">
        <f t="shared" si="5"/>
        <v>0</v>
      </c>
      <c r="AH51" s="82"/>
      <c r="AI51" s="77"/>
      <c r="AJ51" s="79"/>
      <c r="AK51" s="80"/>
      <c r="AL51" s="81">
        <f t="shared" si="6"/>
        <v>0</v>
      </c>
      <c r="AM51" s="82"/>
      <c r="AN51" s="77"/>
      <c r="AO51" s="100">
        <v>1</v>
      </c>
      <c r="AP51" s="101">
        <v>0.4</v>
      </c>
      <c r="AQ51" s="85">
        <f t="shared" si="7"/>
        <v>0.4</v>
      </c>
      <c r="AR51" s="78" t="s">
        <v>1138</v>
      </c>
      <c r="AS51" s="151"/>
      <c r="AT51" s="150"/>
      <c r="AU51" s="150"/>
      <c r="AV51" s="150"/>
      <c r="AW51" s="150"/>
      <c r="AX51" s="150"/>
      <c r="AY51" s="150"/>
      <c r="AZ51" s="150"/>
      <c r="BA51" s="150"/>
      <c r="BB51" s="150"/>
      <c r="BC51" s="150"/>
      <c r="BD51" s="150"/>
      <c r="BE51" s="150"/>
      <c r="BF51" s="150"/>
      <c r="BG51" s="150"/>
    </row>
    <row r="52" spans="1:59" ht="355.5" customHeight="1" x14ac:dyDescent="0.25">
      <c r="A52" s="77">
        <v>49</v>
      </c>
      <c r="B52" s="78" t="s">
        <v>14</v>
      </c>
      <c r="C52" s="78" t="s">
        <v>14</v>
      </c>
      <c r="D52" s="78" t="s">
        <v>74</v>
      </c>
      <c r="E52" s="77"/>
      <c r="F52" s="79"/>
      <c r="G52" s="80"/>
      <c r="H52" s="81">
        <f t="shared" si="0"/>
        <v>0</v>
      </c>
      <c r="I52" s="82"/>
      <c r="J52" s="77"/>
      <c r="K52" s="100">
        <v>1</v>
      </c>
      <c r="L52" s="101">
        <v>0.7</v>
      </c>
      <c r="M52" s="85">
        <f t="shared" si="1"/>
        <v>0.7</v>
      </c>
      <c r="N52" s="78" t="s">
        <v>1578</v>
      </c>
      <c r="O52" s="77"/>
      <c r="P52" s="100">
        <v>1</v>
      </c>
      <c r="Q52" s="101">
        <v>0.7</v>
      </c>
      <c r="R52" s="85">
        <f t="shared" si="2"/>
        <v>0.7</v>
      </c>
      <c r="S52" s="78" t="s">
        <v>1108</v>
      </c>
      <c r="T52" s="77"/>
      <c r="U52" s="79"/>
      <c r="V52" s="80"/>
      <c r="W52" s="81">
        <f t="shared" si="3"/>
        <v>0</v>
      </c>
      <c r="X52" s="82"/>
      <c r="Y52" s="77"/>
      <c r="Z52" s="79"/>
      <c r="AA52" s="80"/>
      <c r="AB52" s="81">
        <f t="shared" si="4"/>
        <v>0</v>
      </c>
      <c r="AC52" s="82"/>
      <c r="AD52" s="77"/>
      <c r="AE52" s="79"/>
      <c r="AF52" s="80"/>
      <c r="AG52" s="81">
        <f t="shared" si="5"/>
        <v>0</v>
      </c>
      <c r="AH52" s="82"/>
      <c r="AI52" s="77"/>
      <c r="AJ52" s="79"/>
      <c r="AK52" s="80"/>
      <c r="AL52" s="81">
        <f t="shared" si="6"/>
        <v>0</v>
      </c>
      <c r="AM52" s="82"/>
      <c r="AN52" s="77"/>
      <c r="AO52" s="100">
        <v>1</v>
      </c>
      <c r="AP52" s="101">
        <v>0.2</v>
      </c>
      <c r="AQ52" s="85">
        <f t="shared" si="7"/>
        <v>0.2</v>
      </c>
      <c r="AR52" s="78" t="s">
        <v>1109</v>
      </c>
      <c r="AS52" s="151"/>
      <c r="AT52" s="150"/>
      <c r="AU52" s="150"/>
      <c r="AV52" s="150"/>
      <c r="AW52" s="150"/>
      <c r="AX52" s="150"/>
      <c r="AY52" s="150"/>
      <c r="AZ52" s="150"/>
      <c r="BA52" s="150"/>
      <c r="BB52" s="150"/>
      <c r="BC52" s="150"/>
      <c r="BD52" s="150"/>
      <c r="BE52" s="150"/>
      <c r="BF52" s="150"/>
      <c r="BG52" s="150"/>
    </row>
    <row r="53" spans="1:59" ht="138" customHeight="1" x14ac:dyDescent="0.25">
      <c r="A53" s="77">
        <v>50</v>
      </c>
      <c r="B53" s="78" t="s">
        <v>14</v>
      </c>
      <c r="C53" s="78" t="s">
        <v>14</v>
      </c>
      <c r="D53" s="78" t="s">
        <v>75</v>
      </c>
      <c r="E53" s="77"/>
      <c r="F53" s="79"/>
      <c r="G53" s="80"/>
      <c r="H53" s="81">
        <f t="shared" si="0"/>
        <v>0</v>
      </c>
      <c r="I53" s="82"/>
      <c r="J53" s="77"/>
      <c r="K53" s="100">
        <v>1</v>
      </c>
      <c r="L53" s="101">
        <v>1</v>
      </c>
      <c r="M53" s="85">
        <f t="shared" si="1"/>
        <v>1</v>
      </c>
      <c r="N53" s="78" t="s">
        <v>1087</v>
      </c>
      <c r="O53" s="77"/>
      <c r="P53" s="100">
        <v>1</v>
      </c>
      <c r="Q53" s="101">
        <v>1</v>
      </c>
      <c r="R53" s="85">
        <f t="shared" si="2"/>
        <v>1</v>
      </c>
      <c r="S53" s="78" t="s">
        <v>1087</v>
      </c>
      <c r="T53" s="77"/>
      <c r="U53" s="79"/>
      <c r="V53" s="80"/>
      <c r="W53" s="81">
        <f t="shared" si="3"/>
        <v>0</v>
      </c>
      <c r="X53" s="82"/>
      <c r="Y53" s="77"/>
      <c r="Z53" s="79"/>
      <c r="AA53" s="80"/>
      <c r="AB53" s="81">
        <f t="shared" si="4"/>
        <v>0</v>
      </c>
      <c r="AC53" s="82"/>
      <c r="AD53" s="77"/>
      <c r="AE53" s="79"/>
      <c r="AF53" s="80"/>
      <c r="AG53" s="81">
        <f t="shared" si="5"/>
        <v>0</v>
      </c>
      <c r="AH53" s="82"/>
      <c r="AI53" s="77"/>
      <c r="AJ53" s="79"/>
      <c r="AK53" s="80"/>
      <c r="AL53" s="81">
        <f t="shared" si="6"/>
        <v>0</v>
      </c>
      <c r="AM53" s="82"/>
      <c r="AN53" s="77"/>
      <c r="AO53" s="100">
        <v>1</v>
      </c>
      <c r="AP53" s="101">
        <v>0.7</v>
      </c>
      <c r="AQ53" s="85">
        <f t="shared" si="7"/>
        <v>0.7</v>
      </c>
      <c r="AR53" s="78" t="s">
        <v>1086</v>
      </c>
      <c r="AS53" s="151"/>
      <c r="AT53" s="150"/>
      <c r="AU53" s="150"/>
      <c r="AV53" s="150"/>
      <c r="AW53" s="150"/>
      <c r="AX53" s="150"/>
      <c r="AY53" s="150"/>
      <c r="AZ53" s="150"/>
      <c r="BA53" s="150"/>
      <c r="BB53" s="150"/>
      <c r="BC53" s="150"/>
      <c r="BD53" s="150"/>
      <c r="BE53" s="150"/>
      <c r="BF53" s="150"/>
      <c r="BG53" s="150"/>
    </row>
    <row r="54" spans="1:59" ht="109.5" customHeight="1" x14ac:dyDescent="0.25">
      <c r="A54" s="77">
        <v>51</v>
      </c>
      <c r="B54" s="78" t="s">
        <v>14</v>
      </c>
      <c r="C54" s="78" t="s">
        <v>14</v>
      </c>
      <c r="D54" s="78" t="s">
        <v>76</v>
      </c>
      <c r="E54" s="77"/>
      <c r="F54" s="79"/>
      <c r="G54" s="80"/>
      <c r="H54" s="81">
        <f t="shared" si="0"/>
        <v>0</v>
      </c>
      <c r="I54" s="82"/>
      <c r="J54" s="77"/>
      <c r="K54" s="100">
        <v>1</v>
      </c>
      <c r="L54" s="101">
        <v>1</v>
      </c>
      <c r="M54" s="85">
        <f t="shared" si="1"/>
        <v>1</v>
      </c>
      <c r="N54" s="78" t="s">
        <v>1087</v>
      </c>
      <c r="O54" s="77"/>
      <c r="P54" s="100">
        <v>1</v>
      </c>
      <c r="Q54" s="101">
        <v>1</v>
      </c>
      <c r="R54" s="85">
        <f t="shared" si="2"/>
        <v>1</v>
      </c>
      <c r="S54" s="78" t="s">
        <v>1087</v>
      </c>
      <c r="T54" s="77"/>
      <c r="U54" s="79"/>
      <c r="V54" s="80"/>
      <c r="W54" s="81">
        <f t="shared" si="3"/>
        <v>0</v>
      </c>
      <c r="X54" s="82"/>
      <c r="Y54" s="77"/>
      <c r="Z54" s="79"/>
      <c r="AA54" s="80"/>
      <c r="AB54" s="81">
        <f t="shared" si="4"/>
        <v>0</v>
      </c>
      <c r="AC54" s="82"/>
      <c r="AD54" s="77"/>
      <c r="AE54" s="79"/>
      <c r="AF54" s="80"/>
      <c r="AG54" s="81">
        <f t="shared" si="5"/>
        <v>0</v>
      </c>
      <c r="AH54" s="82"/>
      <c r="AI54" s="77"/>
      <c r="AJ54" s="79"/>
      <c r="AK54" s="80"/>
      <c r="AL54" s="81">
        <f t="shared" si="6"/>
        <v>0</v>
      </c>
      <c r="AM54" s="82"/>
      <c r="AN54" s="77"/>
      <c r="AO54" s="100">
        <v>1</v>
      </c>
      <c r="AP54" s="101">
        <v>1</v>
      </c>
      <c r="AQ54" s="85">
        <f t="shared" si="7"/>
        <v>1</v>
      </c>
      <c r="AR54" s="78" t="s">
        <v>1087</v>
      </c>
      <c r="AS54" s="151"/>
      <c r="AT54" s="150"/>
      <c r="AU54" s="150"/>
      <c r="AV54" s="150"/>
      <c r="AW54" s="150"/>
      <c r="AX54" s="150"/>
      <c r="AY54" s="150"/>
      <c r="AZ54" s="150"/>
      <c r="BA54" s="150"/>
      <c r="BB54" s="150"/>
      <c r="BC54" s="150"/>
      <c r="BD54" s="150"/>
      <c r="BE54" s="150"/>
      <c r="BF54" s="150"/>
      <c r="BG54" s="150"/>
    </row>
    <row r="55" spans="1:59" ht="47.25" x14ac:dyDescent="0.25">
      <c r="A55" s="77">
        <v>52</v>
      </c>
      <c r="B55" s="78" t="s">
        <v>14</v>
      </c>
      <c r="C55" s="78" t="s">
        <v>14</v>
      </c>
      <c r="D55" s="78" t="s">
        <v>77</v>
      </c>
      <c r="E55" s="77"/>
      <c r="F55" s="79"/>
      <c r="G55" s="80"/>
      <c r="H55" s="81">
        <f t="shared" si="0"/>
        <v>0</v>
      </c>
      <c r="I55" s="82"/>
      <c r="J55" s="77"/>
      <c r="K55" s="100">
        <v>1</v>
      </c>
      <c r="L55" s="101">
        <v>1</v>
      </c>
      <c r="M55" s="85">
        <f t="shared" si="1"/>
        <v>1</v>
      </c>
      <c r="N55" s="78" t="s">
        <v>1087</v>
      </c>
      <c r="O55" s="77"/>
      <c r="P55" s="100">
        <v>1</v>
      </c>
      <c r="Q55" s="101">
        <v>0.9</v>
      </c>
      <c r="R55" s="85">
        <f t="shared" si="2"/>
        <v>0.9</v>
      </c>
      <c r="S55" s="78" t="s">
        <v>1101</v>
      </c>
      <c r="T55" s="77"/>
      <c r="U55" s="79"/>
      <c r="V55" s="80"/>
      <c r="W55" s="81">
        <f t="shared" si="3"/>
        <v>0</v>
      </c>
      <c r="X55" s="82"/>
      <c r="Y55" s="77"/>
      <c r="Z55" s="79"/>
      <c r="AA55" s="80"/>
      <c r="AB55" s="81">
        <f t="shared" si="4"/>
        <v>0</v>
      </c>
      <c r="AC55" s="82"/>
      <c r="AD55" s="77"/>
      <c r="AE55" s="79"/>
      <c r="AF55" s="80"/>
      <c r="AG55" s="81">
        <f t="shared" si="5"/>
        <v>0</v>
      </c>
      <c r="AH55" s="82"/>
      <c r="AI55" s="77"/>
      <c r="AJ55" s="79"/>
      <c r="AK55" s="80"/>
      <c r="AL55" s="81">
        <f t="shared" si="6"/>
        <v>0</v>
      </c>
      <c r="AM55" s="82"/>
      <c r="AN55" s="77"/>
      <c r="AO55" s="100">
        <v>1</v>
      </c>
      <c r="AP55" s="101">
        <v>0.75</v>
      </c>
      <c r="AQ55" s="85">
        <f t="shared" si="7"/>
        <v>0.75</v>
      </c>
      <c r="AR55" s="78" t="s">
        <v>1110</v>
      </c>
      <c r="AS55" s="151"/>
      <c r="AT55" s="150"/>
      <c r="AU55" s="150"/>
      <c r="AV55" s="150"/>
      <c r="AW55" s="150"/>
      <c r="AX55" s="150"/>
      <c r="AY55" s="150"/>
      <c r="AZ55" s="150"/>
      <c r="BA55" s="150"/>
      <c r="BB55" s="150"/>
      <c r="BC55" s="150"/>
      <c r="BD55" s="150"/>
      <c r="BE55" s="150"/>
      <c r="BF55" s="150"/>
      <c r="BG55" s="150"/>
    </row>
    <row r="56" spans="1:59" ht="79.5" customHeight="1" x14ac:dyDescent="0.25">
      <c r="A56" s="77">
        <v>53</v>
      </c>
      <c r="B56" s="78" t="s">
        <v>14</v>
      </c>
      <c r="C56" s="78" t="s">
        <v>14</v>
      </c>
      <c r="D56" s="78" t="s">
        <v>78</v>
      </c>
      <c r="E56" s="153"/>
      <c r="F56" s="154">
        <v>1</v>
      </c>
      <c r="G56" s="155"/>
      <c r="H56" s="156">
        <f t="shared" si="0"/>
        <v>0</v>
      </c>
      <c r="I56" s="157"/>
      <c r="J56" s="153"/>
      <c r="K56" s="100">
        <v>1</v>
      </c>
      <c r="L56" s="101">
        <v>1</v>
      </c>
      <c r="M56" s="85">
        <f t="shared" si="1"/>
        <v>1</v>
      </c>
      <c r="N56" s="78" t="s">
        <v>1087</v>
      </c>
      <c r="O56" s="153"/>
      <c r="P56" s="100">
        <v>1</v>
      </c>
      <c r="Q56" s="101">
        <v>0.9</v>
      </c>
      <c r="R56" s="85">
        <f t="shared" si="2"/>
        <v>0.9</v>
      </c>
      <c r="S56" s="78" t="s">
        <v>1091</v>
      </c>
      <c r="T56" s="153"/>
      <c r="U56" s="154"/>
      <c r="V56" s="155"/>
      <c r="W56" s="156">
        <f t="shared" si="3"/>
        <v>0</v>
      </c>
      <c r="X56" s="153"/>
      <c r="Y56" s="153"/>
      <c r="Z56" s="154"/>
      <c r="AA56" s="155"/>
      <c r="AB56" s="156">
        <f t="shared" si="4"/>
        <v>0</v>
      </c>
      <c r="AC56" s="153"/>
      <c r="AD56" s="153"/>
      <c r="AE56" s="154"/>
      <c r="AF56" s="155"/>
      <c r="AG56" s="156">
        <f t="shared" si="5"/>
        <v>0</v>
      </c>
      <c r="AH56" s="153"/>
      <c r="AI56" s="153"/>
      <c r="AJ56" s="154"/>
      <c r="AK56" s="155"/>
      <c r="AL56" s="156">
        <f t="shared" si="6"/>
        <v>0</v>
      </c>
      <c r="AM56" s="153"/>
      <c r="AN56" s="153"/>
      <c r="AO56" s="100">
        <v>1</v>
      </c>
      <c r="AP56" s="101">
        <v>1</v>
      </c>
      <c r="AQ56" s="85">
        <f t="shared" si="7"/>
        <v>1</v>
      </c>
      <c r="AR56" s="117" t="s">
        <v>1087</v>
      </c>
      <c r="AS56" s="151"/>
      <c r="AT56" s="150"/>
      <c r="AU56" s="150"/>
      <c r="AV56" s="150"/>
      <c r="AW56" s="150"/>
      <c r="AX56" s="150"/>
      <c r="AY56" s="150"/>
      <c r="AZ56" s="150"/>
      <c r="BA56" s="150"/>
      <c r="BB56" s="150"/>
      <c r="BC56" s="150"/>
      <c r="BD56" s="150"/>
      <c r="BE56" s="150"/>
      <c r="BF56" s="150"/>
      <c r="BG56" s="150"/>
    </row>
    <row r="57" spans="1:59" s="150" customFormat="1" ht="15.75" x14ac:dyDescent="0.25">
      <c r="A57" s="151"/>
      <c r="B57" s="151"/>
      <c r="C57" s="151"/>
      <c r="D57" s="151"/>
      <c r="E57" s="151"/>
      <c r="F57" s="151"/>
      <c r="G57" s="151"/>
      <c r="H57" s="151"/>
      <c r="I57" s="158"/>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51"/>
      <c r="AN57" s="151"/>
      <c r="AO57" s="151"/>
      <c r="AP57" s="151"/>
      <c r="AQ57" s="151"/>
      <c r="AR57" s="151"/>
      <c r="AS57" s="151"/>
    </row>
    <row r="58" spans="1:59" s="150" customFormat="1" ht="15.75" x14ac:dyDescent="0.25">
      <c r="A58" s="151"/>
      <c r="B58" s="151"/>
      <c r="C58" s="151"/>
      <c r="D58" s="151"/>
      <c r="E58" s="151"/>
      <c r="F58" s="151"/>
      <c r="G58" s="151"/>
      <c r="H58" s="151"/>
      <c r="I58" s="158"/>
      <c r="J58" s="151"/>
      <c r="K58" s="151"/>
      <c r="L58" s="151"/>
      <c r="M58" s="151"/>
      <c r="N58" s="151"/>
      <c r="O58" s="151"/>
      <c r="P58" s="151"/>
      <c r="Q58" s="151"/>
      <c r="R58" s="151"/>
      <c r="S58" s="151"/>
      <c r="T58" s="151"/>
      <c r="U58" s="151"/>
      <c r="V58" s="151"/>
      <c r="W58" s="151"/>
      <c r="X58" s="151"/>
      <c r="Y58" s="151"/>
      <c r="Z58" s="151"/>
      <c r="AA58" s="151"/>
      <c r="AB58" s="151"/>
      <c r="AC58" s="151"/>
      <c r="AD58" s="151"/>
      <c r="AE58" s="151"/>
      <c r="AF58" s="151"/>
      <c r="AG58" s="151"/>
      <c r="AH58" s="151"/>
      <c r="AI58" s="151"/>
      <c r="AJ58" s="151"/>
      <c r="AK58" s="151"/>
      <c r="AL58" s="151"/>
      <c r="AM58" s="151"/>
      <c r="AN58" s="151"/>
      <c r="AO58" s="151"/>
      <c r="AP58" s="151"/>
      <c r="AQ58" s="151"/>
      <c r="AR58" s="151"/>
      <c r="AS58" s="151"/>
    </row>
    <row r="59" spans="1:59" s="150" customFormat="1" ht="15.75" x14ac:dyDescent="0.25">
      <c r="A59" s="151"/>
      <c r="B59" s="151"/>
      <c r="C59" s="151"/>
      <c r="D59" s="151"/>
      <c r="E59" s="151"/>
      <c r="F59" s="151"/>
      <c r="G59" s="151"/>
      <c r="H59" s="151"/>
      <c r="I59" s="158"/>
      <c r="J59" s="151"/>
      <c r="K59" s="151"/>
      <c r="L59" s="151"/>
      <c r="M59" s="151"/>
      <c r="N59" s="151"/>
      <c r="O59" s="151"/>
      <c r="P59" s="151"/>
      <c r="Q59" s="151"/>
      <c r="R59" s="151"/>
      <c r="S59" s="151"/>
      <c r="T59" s="151"/>
      <c r="U59" s="151"/>
      <c r="V59" s="151"/>
      <c r="W59" s="151"/>
      <c r="X59" s="151"/>
      <c r="Y59" s="151"/>
      <c r="Z59" s="151"/>
      <c r="AA59" s="151"/>
      <c r="AB59" s="151"/>
      <c r="AC59" s="151"/>
      <c r="AD59" s="151"/>
      <c r="AE59" s="151"/>
      <c r="AF59" s="151"/>
      <c r="AG59" s="151"/>
      <c r="AH59" s="151"/>
      <c r="AI59" s="151"/>
      <c r="AJ59" s="151"/>
      <c r="AK59" s="151"/>
      <c r="AL59" s="151"/>
      <c r="AM59" s="151"/>
      <c r="AN59" s="151"/>
      <c r="AO59" s="151"/>
      <c r="AP59" s="151"/>
      <c r="AQ59" s="151"/>
      <c r="AR59" s="151"/>
      <c r="AS59" s="151"/>
    </row>
    <row r="60" spans="1:59" s="150" customFormat="1" ht="15.75" x14ac:dyDescent="0.25">
      <c r="A60" s="151"/>
      <c r="B60" s="151"/>
      <c r="C60" s="151"/>
      <c r="D60" s="151"/>
      <c r="E60" s="151"/>
      <c r="F60" s="151"/>
      <c r="G60" s="151"/>
      <c r="H60" s="151"/>
      <c r="I60" s="158"/>
      <c r="J60" s="151"/>
      <c r="K60" s="151"/>
      <c r="L60" s="151"/>
      <c r="M60" s="151"/>
      <c r="N60" s="151"/>
      <c r="O60" s="151"/>
      <c r="P60" s="151"/>
      <c r="Q60" s="151"/>
      <c r="R60" s="151"/>
      <c r="S60" s="151"/>
      <c r="T60" s="151"/>
      <c r="U60" s="151"/>
      <c r="V60" s="151"/>
      <c r="W60" s="151"/>
      <c r="X60" s="151"/>
      <c r="Y60" s="151"/>
      <c r="Z60" s="151"/>
      <c r="AA60" s="151"/>
      <c r="AB60" s="151"/>
      <c r="AC60" s="151"/>
      <c r="AD60" s="151"/>
      <c r="AE60" s="151"/>
      <c r="AF60" s="151"/>
      <c r="AG60" s="151"/>
      <c r="AH60" s="151"/>
      <c r="AI60" s="151"/>
      <c r="AJ60" s="151"/>
      <c r="AK60" s="151"/>
      <c r="AL60" s="151"/>
      <c r="AM60" s="151"/>
      <c r="AN60" s="151"/>
      <c r="AO60" s="151"/>
      <c r="AP60" s="151"/>
      <c r="AQ60" s="151"/>
      <c r="AR60" s="151"/>
      <c r="AS60" s="151"/>
    </row>
    <row r="61" spans="1:59" s="150" customFormat="1" ht="15.75" x14ac:dyDescent="0.25">
      <c r="A61" s="151"/>
      <c r="B61" s="151"/>
      <c r="C61" s="151"/>
      <c r="D61" s="151"/>
      <c r="E61" s="151"/>
      <c r="F61" s="151"/>
      <c r="G61" s="151"/>
      <c r="H61" s="151"/>
      <c r="I61" s="158"/>
      <c r="J61" s="151"/>
      <c r="K61" s="151"/>
      <c r="L61" s="151"/>
      <c r="M61" s="151"/>
      <c r="N61" s="151"/>
      <c r="O61" s="151"/>
      <c r="P61" s="151"/>
      <c r="Q61" s="151"/>
      <c r="R61" s="151"/>
      <c r="S61" s="151"/>
      <c r="T61" s="151"/>
      <c r="U61" s="151"/>
      <c r="V61" s="151"/>
      <c r="W61" s="151"/>
      <c r="X61" s="151"/>
      <c r="Y61" s="151"/>
      <c r="Z61" s="151"/>
      <c r="AA61" s="151"/>
      <c r="AB61" s="151"/>
      <c r="AC61" s="151"/>
      <c r="AD61" s="151"/>
      <c r="AE61" s="151"/>
      <c r="AF61" s="151"/>
      <c r="AG61" s="151"/>
      <c r="AH61" s="151"/>
      <c r="AI61" s="151"/>
      <c r="AJ61" s="151"/>
      <c r="AK61" s="151"/>
      <c r="AL61" s="151"/>
      <c r="AM61" s="151"/>
      <c r="AN61" s="151"/>
      <c r="AO61" s="151"/>
      <c r="AP61" s="151"/>
      <c r="AQ61" s="151"/>
      <c r="AR61" s="151"/>
      <c r="AS61" s="151"/>
    </row>
    <row r="62" spans="1:59" s="150" customFormat="1" ht="15.75" x14ac:dyDescent="0.25">
      <c r="A62" s="151"/>
      <c r="B62" s="151"/>
      <c r="C62" s="151"/>
      <c r="D62" s="151"/>
      <c r="E62" s="151"/>
      <c r="F62" s="151"/>
      <c r="G62" s="151"/>
      <c r="H62" s="151"/>
      <c r="I62" s="158"/>
      <c r="J62" s="151"/>
      <c r="K62" s="151"/>
      <c r="L62" s="151"/>
      <c r="M62" s="151"/>
      <c r="N62" s="151"/>
      <c r="O62" s="151"/>
      <c r="P62" s="151"/>
      <c r="Q62" s="151"/>
      <c r="R62" s="151"/>
      <c r="S62" s="151"/>
      <c r="T62" s="151"/>
      <c r="U62" s="151"/>
      <c r="V62" s="151"/>
      <c r="W62" s="151"/>
      <c r="X62" s="151"/>
      <c r="Y62" s="151"/>
      <c r="Z62" s="151"/>
      <c r="AA62" s="151"/>
      <c r="AB62" s="151"/>
      <c r="AC62" s="151"/>
      <c r="AD62" s="151"/>
      <c r="AE62" s="151"/>
      <c r="AF62" s="151"/>
      <c r="AG62" s="151"/>
      <c r="AH62" s="151"/>
      <c r="AI62" s="151"/>
      <c r="AJ62" s="151"/>
      <c r="AK62" s="151"/>
      <c r="AL62" s="151"/>
      <c r="AM62" s="151"/>
      <c r="AN62" s="151"/>
      <c r="AO62" s="151"/>
      <c r="AP62" s="151"/>
      <c r="AQ62" s="151"/>
      <c r="AR62" s="151"/>
      <c r="AS62" s="151"/>
    </row>
    <row r="63" spans="1:59" s="150" customFormat="1" ht="15.75" x14ac:dyDescent="0.25">
      <c r="A63" s="151"/>
      <c r="B63" s="151"/>
      <c r="C63" s="151"/>
      <c r="D63" s="151"/>
      <c r="E63" s="151"/>
      <c r="F63" s="151"/>
      <c r="G63" s="151"/>
      <c r="H63" s="151"/>
      <c r="I63" s="158"/>
      <c r="J63" s="151"/>
      <c r="K63" s="151"/>
      <c r="L63" s="151"/>
      <c r="M63" s="151"/>
      <c r="N63" s="151"/>
      <c r="O63" s="151"/>
      <c r="P63" s="151"/>
      <c r="Q63" s="151"/>
      <c r="R63" s="151"/>
      <c r="S63" s="151"/>
      <c r="T63" s="151"/>
      <c r="U63" s="151"/>
      <c r="V63" s="151"/>
      <c r="W63" s="151"/>
      <c r="X63" s="151"/>
      <c r="Y63" s="151"/>
      <c r="Z63" s="151"/>
      <c r="AA63" s="151"/>
      <c r="AB63" s="151"/>
      <c r="AC63" s="151"/>
      <c r="AD63" s="151"/>
      <c r="AE63" s="151"/>
      <c r="AF63" s="151"/>
      <c r="AG63" s="151"/>
      <c r="AH63" s="151"/>
      <c r="AI63" s="151"/>
      <c r="AJ63" s="151"/>
      <c r="AK63" s="151"/>
      <c r="AL63" s="151"/>
      <c r="AM63" s="151"/>
      <c r="AN63" s="151"/>
      <c r="AO63" s="151"/>
      <c r="AP63" s="151"/>
      <c r="AQ63" s="151"/>
      <c r="AR63" s="151"/>
      <c r="AS63" s="151"/>
    </row>
    <row r="64" spans="1:59" s="150" customFormat="1" ht="15.75" x14ac:dyDescent="0.25">
      <c r="A64" s="151"/>
      <c r="B64" s="151"/>
      <c r="C64" s="151"/>
      <c r="D64" s="151"/>
      <c r="E64" s="151"/>
      <c r="F64" s="151"/>
      <c r="G64" s="151"/>
      <c r="H64" s="151"/>
      <c r="I64" s="158"/>
      <c r="J64" s="151"/>
      <c r="K64" s="151"/>
      <c r="L64" s="151"/>
      <c r="M64" s="151"/>
      <c r="N64" s="151"/>
      <c r="O64" s="151"/>
      <c r="P64" s="151"/>
      <c r="Q64" s="151"/>
      <c r="R64" s="151"/>
      <c r="S64" s="151"/>
      <c r="T64" s="151"/>
      <c r="U64" s="151"/>
      <c r="V64" s="151"/>
      <c r="W64" s="151"/>
      <c r="X64" s="151"/>
      <c r="Y64" s="151"/>
      <c r="Z64" s="151"/>
      <c r="AA64" s="151"/>
      <c r="AB64" s="151"/>
      <c r="AC64" s="151"/>
      <c r="AD64" s="151"/>
      <c r="AE64" s="151"/>
      <c r="AF64" s="151"/>
      <c r="AG64" s="151"/>
      <c r="AH64" s="151"/>
      <c r="AI64" s="151"/>
      <c r="AJ64" s="151"/>
      <c r="AK64" s="151"/>
      <c r="AL64" s="151"/>
      <c r="AM64" s="151"/>
      <c r="AN64" s="151"/>
      <c r="AO64" s="151"/>
      <c r="AP64" s="151"/>
      <c r="AQ64" s="151"/>
      <c r="AR64" s="151"/>
      <c r="AS64" s="151"/>
    </row>
    <row r="65" spans="1:9" s="150" customFormat="1" x14ac:dyDescent="0.25">
      <c r="A65" s="152"/>
      <c r="I65" s="159"/>
    </row>
    <row r="66" spans="1:9" s="150" customFormat="1" x14ac:dyDescent="0.25">
      <c r="A66" s="152"/>
      <c r="I66" s="159"/>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FA545A82-B644-4242-9B09-91D00D5B2682}">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39D1067A-3B57-431B-8E19-43E349AF8830}">
          <x14:formula1>
            <xm:f>'C:\Users\michele.cerqueira\AppData\Local\Microsoft\Windows\INetCache\Content.Outlook\CUTOBPMD\[ESTUDOS DE MERCADO - AVALIAÇÕES FINAIS.xlsx]Parâmetros'!#REF!</xm:f>
          </x14:formula1>
          <xm:sqref>K4:K15 P4:P15 AO4:AO15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R56"/>
  <sheetViews>
    <sheetView tabSelected="1" zoomScale="70" zoomScaleNormal="70" workbookViewId="0">
      <pane xSplit="4" ySplit="3" topLeftCell="E8" activePane="bottomRight" state="frozen"/>
      <selection pane="topRight" activeCell="E1" sqref="E1"/>
      <selection pane="bottomLeft" activeCell="A4" sqref="A4"/>
      <selection pane="bottomRight" activeCell="N9" sqref="N9"/>
    </sheetView>
  </sheetViews>
  <sheetFormatPr defaultRowHeight="15" x14ac:dyDescent="0.25"/>
  <cols>
    <col min="1" max="1" width="6" style="73" customWidth="1"/>
    <col min="2" max="2" width="16.5703125" style="74" bestFit="1" customWidth="1"/>
    <col min="3" max="3" width="15" style="74" customWidth="1"/>
    <col min="4" max="4" width="49.85546875" style="145" customWidth="1"/>
    <col min="5" max="5" width="2.42578125" style="74" customWidth="1"/>
    <col min="6" max="6" width="20.28515625" style="74" hidden="1" customWidth="1"/>
    <col min="7" max="7" width="14.28515625" style="74" hidden="1" customWidth="1"/>
    <col min="8" max="8" width="9.140625" style="74" hidden="1" customWidth="1"/>
    <col min="9" max="9" width="52.85546875" style="110" hidden="1" customWidth="1"/>
    <col min="10" max="10" width="1.85546875" style="74" hidden="1" customWidth="1"/>
    <col min="11" max="11" width="14.85546875" style="74" customWidth="1"/>
    <col min="12" max="12" width="14.28515625" style="74" bestFit="1" customWidth="1"/>
    <col min="13" max="13" width="9.140625" style="74" customWidth="1"/>
    <col min="14" max="14" width="111.5703125" style="145" customWidth="1"/>
    <col min="15" max="15" width="1.5703125" style="74" customWidth="1"/>
    <col min="16" max="16" width="16" style="74" customWidth="1"/>
    <col min="17" max="17" width="14.28515625" style="74" bestFit="1" customWidth="1"/>
    <col min="18" max="18" width="9.140625" style="74" customWidth="1"/>
    <col min="19" max="19" width="106.5703125" style="145" customWidth="1"/>
    <col min="20" max="20" width="2.85546875" style="74" customWidth="1"/>
    <col min="21" max="21" width="13.5703125" style="74" hidden="1" customWidth="1"/>
    <col min="22" max="22" width="13.28515625" style="74" hidden="1" customWidth="1"/>
    <col min="23" max="23" width="0" style="74" hidden="1" customWidth="1"/>
    <col min="24" max="24" width="70.42578125" style="74" hidden="1" customWidth="1"/>
    <col min="25" max="25" width="0" style="74" hidden="1" customWidth="1"/>
    <col min="26" max="26" width="14.42578125" style="74" hidden="1" customWidth="1"/>
    <col min="27" max="27" width="13.7109375" style="74" hidden="1" customWidth="1"/>
    <col min="28" max="28" width="0" style="74" hidden="1" customWidth="1"/>
    <col min="29" max="29" width="78.140625" style="74" hidden="1" customWidth="1"/>
    <col min="30" max="33" width="0" style="74" hidden="1" customWidth="1"/>
    <col min="34" max="34" width="63.7109375" style="74" hidden="1" customWidth="1"/>
    <col min="35" max="35" width="0" style="74" hidden="1" customWidth="1"/>
    <col min="36" max="36" width="14.42578125" style="74" hidden="1" customWidth="1"/>
    <col min="37" max="37" width="13" style="74" hidden="1" customWidth="1"/>
    <col min="38" max="38" width="0" style="74" hidden="1" customWidth="1"/>
    <col min="39" max="39" width="72.42578125" style="74" hidden="1" customWidth="1"/>
    <col min="40" max="40" width="0" style="74" hidden="1" customWidth="1"/>
    <col min="41" max="41" width="13.28515625" style="74" customWidth="1"/>
    <col min="42" max="42" width="13.7109375" style="74" customWidth="1"/>
    <col min="43" max="43" width="9.140625" style="74"/>
    <col min="44" max="44" width="150.5703125" style="145" customWidth="1"/>
    <col min="45" max="16384" width="9.140625" style="74"/>
  </cols>
  <sheetData>
    <row r="1" spans="1:44" x14ac:dyDescent="0.25">
      <c r="I1" s="74"/>
    </row>
    <row r="2" spans="1:44" ht="39.75" customHeight="1" x14ac:dyDescent="0.25">
      <c r="B2" s="233" t="s">
        <v>16</v>
      </c>
      <c r="C2" s="233"/>
      <c r="D2" s="233"/>
      <c r="F2" s="232" t="s">
        <v>121</v>
      </c>
      <c r="G2" s="232"/>
      <c r="H2" s="232"/>
      <c r="I2" s="232"/>
      <c r="K2" s="234" t="s">
        <v>119</v>
      </c>
      <c r="L2" s="235"/>
      <c r="M2" s="235"/>
      <c r="N2" s="236"/>
      <c r="P2" s="233" t="s">
        <v>120</v>
      </c>
      <c r="Q2" s="233"/>
      <c r="R2" s="233"/>
      <c r="S2" s="233"/>
      <c r="U2" s="232" t="s">
        <v>122</v>
      </c>
      <c r="V2" s="232"/>
      <c r="W2" s="232"/>
      <c r="X2" s="232"/>
      <c r="Z2" s="232" t="s">
        <v>123</v>
      </c>
      <c r="AA2" s="232"/>
      <c r="AB2" s="232"/>
      <c r="AC2" s="232"/>
      <c r="AE2" s="232" t="s">
        <v>124</v>
      </c>
      <c r="AF2" s="232"/>
      <c r="AG2" s="232"/>
      <c r="AH2" s="232"/>
      <c r="AJ2" s="232" t="s">
        <v>125</v>
      </c>
      <c r="AK2" s="232"/>
      <c r="AL2" s="232"/>
      <c r="AM2" s="232"/>
      <c r="AO2" s="233" t="s">
        <v>1318</v>
      </c>
      <c r="AP2" s="233"/>
      <c r="AQ2" s="233"/>
      <c r="AR2" s="233"/>
    </row>
    <row r="3" spans="1:44" ht="66" customHeight="1" x14ac:dyDescent="0.25">
      <c r="B3" s="66" t="s">
        <v>0</v>
      </c>
      <c r="C3" s="66" t="s">
        <v>1</v>
      </c>
      <c r="D3" s="66" t="s">
        <v>2</v>
      </c>
      <c r="F3" s="67" t="s">
        <v>17</v>
      </c>
      <c r="G3" s="67" t="s">
        <v>18</v>
      </c>
      <c r="H3" s="67" t="s">
        <v>21</v>
      </c>
      <c r="I3" s="67" t="s">
        <v>19</v>
      </c>
      <c r="K3" s="67" t="s">
        <v>17</v>
      </c>
      <c r="L3" s="67" t="s">
        <v>18</v>
      </c>
      <c r="M3" s="67" t="s">
        <v>21</v>
      </c>
      <c r="N3" s="67" t="s">
        <v>19</v>
      </c>
      <c r="P3" s="67" t="s">
        <v>17</v>
      </c>
      <c r="Q3" s="67" t="s">
        <v>18</v>
      </c>
      <c r="R3" s="67" t="s">
        <v>21</v>
      </c>
      <c r="S3" s="67" t="s">
        <v>19</v>
      </c>
      <c r="U3" s="67" t="s">
        <v>17</v>
      </c>
      <c r="V3" s="67" t="s">
        <v>18</v>
      </c>
      <c r="W3" s="67" t="s">
        <v>21</v>
      </c>
      <c r="X3" s="67" t="s">
        <v>19</v>
      </c>
      <c r="Z3" s="67" t="s">
        <v>17</v>
      </c>
      <c r="AA3" s="67" t="s">
        <v>18</v>
      </c>
      <c r="AB3" s="67" t="s">
        <v>21</v>
      </c>
      <c r="AC3" s="67" t="s">
        <v>19</v>
      </c>
      <c r="AE3" s="67" t="s">
        <v>17</v>
      </c>
      <c r="AF3" s="67" t="s">
        <v>18</v>
      </c>
      <c r="AG3" s="67" t="s">
        <v>21</v>
      </c>
      <c r="AH3" s="67" t="s">
        <v>19</v>
      </c>
      <c r="AJ3" s="67" t="s">
        <v>17</v>
      </c>
      <c r="AK3" s="67" t="s">
        <v>18</v>
      </c>
      <c r="AL3" s="67" t="s">
        <v>21</v>
      </c>
      <c r="AM3" s="67" t="s">
        <v>19</v>
      </c>
      <c r="AO3" s="67" t="s">
        <v>17</v>
      </c>
      <c r="AP3" s="67" t="s">
        <v>18</v>
      </c>
      <c r="AQ3" s="67" t="s">
        <v>21</v>
      </c>
      <c r="AR3" s="67" t="s">
        <v>19</v>
      </c>
    </row>
    <row r="4" spans="1:44" ht="150.75" customHeight="1" x14ac:dyDescent="0.25">
      <c r="A4" s="77">
        <v>1</v>
      </c>
      <c r="B4" s="78" t="s">
        <v>3</v>
      </c>
      <c r="C4" s="78" t="s">
        <v>4</v>
      </c>
      <c r="D4" s="102" t="s">
        <v>127</v>
      </c>
      <c r="E4" s="77"/>
      <c r="F4" s="79"/>
      <c r="G4" s="80"/>
      <c r="H4" s="81">
        <f>F4*G4</f>
        <v>0</v>
      </c>
      <c r="I4" s="82"/>
      <c r="J4" s="77"/>
      <c r="K4" s="83">
        <v>1</v>
      </c>
      <c r="L4" s="84">
        <v>1</v>
      </c>
      <c r="M4" s="85">
        <f>K4*L4</f>
        <v>1</v>
      </c>
      <c r="N4" s="87"/>
      <c r="O4" s="77"/>
      <c r="P4" s="83">
        <v>1</v>
      </c>
      <c r="Q4" s="84">
        <v>0.9</v>
      </c>
      <c r="R4" s="85">
        <f>P4*Q4</f>
        <v>0.9</v>
      </c>
      <c r="S4" s="87" t="s">
        <v>1219</v>
      </c>
      <c r="T4" s="77"/>
      <c r="U4" s="79"/>
      <c r="V4" s="80"/>
      <c r="W4" s="81">
        <f>U4*V4</f>
        <v>0</v>
      </c>
      <c r="X4" s="82"/>
      <c r="Y4" s="77"/>
      <c r="Z4" s="79"/>
      <c r="AA4" s="80"/>
      <c r="AB4" s="81">
        <f>Z4*AA4</f>
        <v>0</v>
      </c>
      <c r="AC4" s="82"/>
      <c r="AD4" s="77"/>
      <c r="AE4" s="79"/>
      <c r="AF4" s="80"/>
      <c r="AG4" s="81">
        <f>AE4*AF4</f>
        <v>0</v>
      </c>
      <c r="AH4" s="82"/>
      <c r="AI4" s="77"/>
      <c r="AJ4" s="79"/>
      <c r="AK4" s="80"/>
      <c r="AL4" s="81">
        <f>AJ4*AK4</f>
        <v>0</v>
      </c>
      <c r="AM4" s="82"/>
      <c r="AN4" s="77"/>
      <c r="AO4" s="83">
        <v>1</v>
      </c>
      <c r="AP4" s="118">
        <v>0.45</v>
      </c>
      <c r="AQ4" s="85">
        <f>AO4*AP4</f>
        <v>0.45</v>
      </c>
      <c r="AR4" s="87" t="s">
        <v>1224</v>
      </c>
    </row>
    <row r="5" spans="1:44" ht="210" customHeight="1" x14ac:dyDescent="0.25">
      <c r="A5" s="77">
        <v>2</v>
      </c>
      <c r="B5" s="78" t="s">
        <v>3</v>
      </c>
      <c r="C5" s="78" t="s">
        <v>4</v>
      </c>
      <c r="D5" s="102" t="s">
        <v>33</v>
      </c>
      <c r="E5" s="77"/>
      <c r="F5" s="79"/>
      <c r="G5" s="80"/>
      <c r="H5" s="81">
        <f t="shared" ref="H5:H56" si="0">F5*G5</f>
        <v>0</v>
      </c>
      <c r="I5" s="82"/>
      <c r="J5" s="77"/>
      <c r="K5" s="146">
        <v>1</v>
      </c>
      <c r="L5" s="147">
        <v>0.9</v>
      </c>
      <c r="M5" s="85">
        <f t="shared" ref="M5:M56" si="1">K5*L5</f>
        <v>0.9</v>
      </c>
      <c r="N5" s="148" t="s">
        <v>1211</v>
      </c>
      <c r="O5" s="77"/>
      <c r="P5" s="126">
        <v>1</v>
      </c>
      <c r="Q5" s="127">
        <v>0.8</v>
      </c>
      <c r="R5" s="85">
        <f t="shared" ref="R5:R56" si="2">P5*Q5</f>
        <v>0.8</v>
      </c>
      <c r="S5" s="144" t="s">
        <v>1220</v>
      </c>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79"/>
      <c r="AK5" s="80"/>
      <c r="AL5" s="81">
        <f t="shared" ref="AL5:AL56" si="6">AJ5*AK5</f>
        <v>0</v>
      </c>
      <c r="AM5" s="82"/>
      <c r="AN5" s="77"/>
      <c r="AO5" s="126">
        <v>1</v>
      </c>
      <c r="AP5" s="129">
        <v>0.1</v>
      </c>
      <c r="AQ5" s="85">
        <f t="shared" ref="AQ5:AQ56" si="7">AO5*AP5</f>
        <v>0.1</v>
      </c>
      <c r="AR5" s="144" t="s">
        <v>1225</v>
      </c>
    </row>
    <row r="6" spans="1:44" ht="275.25" customHeight="1" x14ac:dyDescent="0.25">
      <c r="A6" s="77">
        <v>3</v>
      </c>
      <c r="B6" s="78" t="s">
        <v>3</v>
      </c>
      <c r="C6" s="78" t="s">
        <v>4</v>
      </c>
      <c r="D6" s="102" t="s">
        <v>128</v>
      </c>
      <c r="E6" s="77"/>
      <c r="F6" s="79"/>
      <c r="G6" s="80"/>
      <c r="H6" s="81">
        <f t="shared" si="0"/>
        <v>0</v>
      </c>
      <c r="I6" s="82"/>
      <c r="J6" s="77"/>
      <c r="K6" s="83">
        <v>1</v>
      </c>
      <c r="L6" s="84">
        <v>1</v>
      </c>
      <c r="M6" s="85">
        <f t="shared" si="1"/>
        <v>1</v>
      </c>
      <c r="N6" s="87"/>
      <c r="O6" s="77"/>
      <c r="P6" s="83">
        <v>1</v>
      </c>
      <c r="Q6" s="84">
        <v>1</v>
      </c>
      <c r="R6" s="85">
        <f t="shared" si="2"/>
        <v>1</v>
      </c>
      <c r="S6" s="87"/>
      <c r="T6" s="77"/>
      <c r="U6" s="79"/>
      <c r="V6" s="80"/>
      <c r="W6" s="81">
        <f t="shared" si="3"/>
        <v>0</v>
      </c>
      <c r="X6" s="82"/>
      <c r="Y6" s="77"/>
      <c r="Z6" s="79"/>
      <c r="AA6" s="80"/>
      <c r="AB6" s="81">
        <f t="shared" si="4"/>
        <v>0</v>
      </c>
      <c r="AC6" s="82"/>
      <c r="AD6" s="77"/>
      <c r="AE6" s="79"/>
      <c r="AF6" s="80"/>
      <c r="AG6" s="81">
        <f t="shared" si="5"/>
        <v>0</v>
      </c>
      <c r="AH6" s="82"/>
      <c r="AI6" s="77"/>
      <c r="AJ6" s="79"/>
      <c r="AK6" s="80"/>
      <c r="AL6" s="81">
        <f t="shared" si="6"/>
        <v>0</v>
      </c>
      <c r="AM6" s="82"/>
      <c r="AN6" s="77"/>
      <c r="AO6" s="83">
        <v>1</v>
      </c>
      <c r="AP6" s="118">
        <v>0.3</v>
      </c>
      <c r="AQ6" s="85">
        <f t="shared" si="7"/>
        <v>0.3</v>
      </c>
      <c r="AR6" s="102" t="s">
        <v>1591</v>
      </c>
    </row>
    <row r="7" spans="1:44" ht="255" customHeight="1" x14ac:dyDescent="0.25">
      <c r="A7" s="77">
        <v>4</v>
      </c>
      <c r="B7" s="78" t="s">
        <v>3</v>
      </c>
      <c r="C7" s="78" t="s">
        <v>4</v>
      </c>
      <c r="D7" s="102" t="s">
        <v>34</v>
      </c>
      <c r="E7" s="77"/>
      <c r="F7" s="79"/>
      <c r="G7" s="80"/>
      <c r="H7" s="81">
        <f t="shared" si="0"/>
        <v>0</v>
      </c>
      <c r="I7" s="82"/>
      <c r="J7" s="77"/>
      <c r="K7" s="126">
        <v>1</v>
      </c>
      <c r="L7" s="127">
        <v>0.95</v>
      </c>
      <c r="M7" s="85">
        <f t="shared" si="1"/>
        <v>0.95</v>
      </c>
      <c r="N7" s="144" t="s">
        <v>1212</v>
      </c>
      <c r="O7" s="77"/>
      <c r="P7" s="126">
        <v>1</v>
      </c>
      <c r="Q7" s="127">
        <v>1</v>
      </c>
      <c r="R7" s="85">
        <f t="shared" si="2"/>
        <v>1</v>
      </c>
      <c r="S7" s="144"/>
      <c r="T7" s="77"/>
      <c r="U7" s="79"/>
      <c r="V7" s="80"/>
      <c r="W7" s="81">
        <f t="shared" si="3"/>
        <v>0</v>
      </c>
      <c r="X7" s="82"/>
      <c r="Y7" s="77"/>
      <c r="Z7" s="79"/>
      <c r="AA7" s="80"/>
      <c r="AB7" s="81">
        <f t="shared" si="4"/>
        <v>0</v>
      </c>
      <c r="AC7" s="82"/>
      <c r="AD7" s="77"/>
      <c r="AE7" s="79"/>
      <c r="AF7" s="80"/>
      <c r="AG7" s="81">
        <f t="shared" si="5"/>
        <v>0</v>
      </c>
      <c r="AH7" s="82"/>
      <c r="AI7" s="77"/>
      <c r="AJ7" s="79"/>
      <c r="AK7" s="80"/>
      <c r="AL7" s="81">
        <f t="shared" si="6"/>
        <v>0</v>
      </c>
      <c r="AM7" s="82"/>
      <c r="AN7" s="77"/>
      <c r="AO7" s="126">
        <v>1</v>
      </c>
      <c r="AP7" s="129">
        <v>0.25</v>
      </c>
      <c r="AQ7" s="85">
        <f t="shared" si="7"/>
        <v>0.25</v>
      </c>
      <c r="AR7" s="144" t="s">
        <v>1610</v>
      </c>
    </row>
    <row r="8" spans="1:44" ht="110.25" customHeight="1" x14ac:dyDescent="0.25">
      <c r="A8" s="77">
        <v>5</v>
      </c>
      <c r="B8" s="78" t="s">
        <v>3</v>
      </c>
      <c r="C8" s="78" t="s">
        <v>4</v>
      </c>
      <c r="D8" s="102" t="s">
        <v>35</v>
      </c>
      <c r="E8" s="77"/>
      <c r="F8" s="79"/>
      <c r="G8" s="80"/>
      <c r="H8" s="81">
        <f t="shared" si="0"/>
        <v>0</v>
      </c>
      <c r="I8" s="82"/>
      <c r="J8" s="77"/>
      <c r="K8" s="83">
        <v>1</v>
      </c>
      <c r="L8" s="84">
        <v>0.95</v>
      </c>
      <c r="M8" s="85">
        <f t="shared" si="1"/>
        <v>0.95</v>
      </c>
      <c r="N8" s="87" t="s">
        <v>1213</v>
      </c>
      <c r="O8" s="77"/>
      <c r="P8" s="83">
        <v>1</v>
      </c>
      <c r="Q8" s="84">
        <v>0.95</v>
      </c>
      <c r="R8" s="85">
        <f t="shared" si="2"/>
        <v>0.95</v>
      </c>
      <c r="S8" s="87" t="s">
        <v>1221</v>
      </c>
      <c r="T8" s="77"/>
      <c r="U8" s="79"/>
      <c r="V8" s="80"/>
      <c r="W8" s="81">
        <f t="shared" si="3"/>
        <v>0</v>
      </c>
      <c r="X8" s="78"/>
      <c r="Y8" s="77"/>
      <c r="Z8" s="79"/>
      <c r="AA8" s="80"/>
      <c r="AB8" s="81">
        <f t="shared" si="4"/>
        <v>0</v>
      </c>
      <c r="AC8" s="78"/>
      <c r="AD8" s="77"/>
      <c r="AE8" s="79"/>
      <c r="AF8" s="80"/>
      <c r="AG8" s="81">
        <f t="shared" si="5"/>
        <v>0</v>
      </c>
      <c r="AH8" s="78"/>
      <c r="AI8" s="77"/>
      <c r="AJ8" s="79"/>
      <c r="AK8" s="80"/>
      <c r="AL8" s="81">
        <f t="shared" si="6"/>
        <v>0</v>
      </c>
      <c r="AM8" s="78"/>
      <c r="AN8" s="77"/>
      <c r="AO8" s="83">
        <v>1</v>
      </c>
      <c r="AP8" s="118">
        <v>0.3</v>
      </c>
      <c r="AQ8" s="85">
        <f t="shared" si="7"/>
        <v>0.3</v>
      </c>
      <c r="AR8" s="87" t="s">
        <v>1190</v>
      </c>
    </row>
    <row r="9" spans="1:44" ht="285" customHeight="1" x14ac:dyDescent="0.25">
      <c r="A9" s="77">
        <v>6</v>
      </c>
      <c r="B9" s="78" t="s">
        <v>3</v>
      </c>
      <c r="C9" s="78" t="s">
        <v>4</v>
      </c>
      <c r="D9" s="102" t="s">
        <v>129</v>
      </c>
      <c r="E9" s="77"/>
      <c r="F9" s="79"/>
      <c r="G9" s="80"/>
      <c r="H9" s="81">
        <f t="shared" si="0"/>
        <v>0</v>
      </c>
      <c r="I9" s="78"/>
      <c r="J9" s="77"/>
      <c r="K9" s="126">
        <v>1</v>
      </c>
      <c r="L9" s="127">
        <v>0.9</v>
      </c>
      <c r="M9" s="85">
        <f t="shared" si="1"/>
        <v>0.9</v>
      </c>
      <c r="N9" s="144" t="s">
        <v>1634</v>
      </c>
      <c r="O9" s="77"/>
      <c r="P9" s="126">
        <v>1</v>
      </c>
      <c r="Q9" s="127">
        <v>0.7</v>
      </c>
      <c r="R9" s="85">
        <f t="shared" si="2"/>
        <v>0.7</v>
      </c>
      <c r="S9" s="144" t="s">
        <v>1222</v>
      </c>
      <c r="T9" s="77"/>
      <c r="U9" s="79"/>
      <c r="V9" s="80"/>
      <c r="W9" s="81">
        <f t="shared" si="3"/>
        <v>0</v>
      </c>
      <c r="X9" s="78"/>
      <c r="Y9" s="77"/>
      <c r="Z9" s="79"/>
      <c r="AA9" s="80"/>
      <c r="AB9" s="81">
        <f t="shared" si="4"/>
        <v>0</v>
      </c>
      <c r="AC9" s="78"/>
      <c r="AD9" s="77"/>
      <c r="AE9" s="79"/>
      <c r="AF9" s="80"/>
      <c r="AG9" s="81">
        <f t="shared" si="5"/>
        <v>0</v>
      </c>
      <c r="AH9" s="78"/>
      <c r="AI9" s="77"/>
      <c r="AJ9" s="79"/>
      <c r="AK9" s="80"/>
      <c r="AL9" s="81">
        <f t="shared" si="6"/>
        <v>0</v>
      </c>
      <c r="AM9" s="78"/>
      <c r="AN9" s="77"/>
      <c r="AO9" s="126">
        <v>1</v>
      </c>
      <c r="AP9" s="129">
        <v>0.2</v>
      </c>
      <c r="AQ9" s="85">
        <f t="shared" si="7"/>
        <v>0.2</v>
      </c>
      <c r="AR9" s="144" t="s">
        <v>1612</v>
      </c>
    </row>
    <row r="10" spans="1:44" ht="176.25" customHeight="1" x14ac:dyDescent="0.25">
      <c r="A10" s="77">
        <v>7</v>
      </c>
      <c r="B10" s="78" t="s">
        <v>3</v>
      </c>
      <c r="C10" s="78" t="s">
        <v>4</v>
      </c>
      <c r="D10" s="102" t="s">
        <v>36</v>
      </c>
      <c r="E10" s="77"/>
      <c r="F10" s="79"/>
      <c r="G10" s="80"/>
      <c r="H10" s="81">
        <f t="shared" si="0"/>
        <v>0</v>
      </c>
      <c r="I10" s="82"/>
      <c r="J10" s="77"/>
      <c r="K10" s="83">
        <v>1</v>
      </c>
      <c r="L10" s="84">
        <v>0.9</v>
      </c>
      <c r="M10" s="85">
        <f t="shared" si="1"/>
        <v>0.9</v>
      </c>
      <c r="N10" s="87" t="s">
        <v>1214</v>
      </c>
      <c r="O10" s="77"/>
      <c r="P10" s="83">
        <v>1</v>
      </c>
      <c r="Q10" s="84">
        <v>0.7</v>
      </c>
      <c r="R10" s="85">
        <f t="shared" si="2"/>
        <v>0.7</v>
      </c>
      <c r="S10" s="87" t="s">
        <v>1184</v>
      </c>
      <c r="T10" s="77"/>
      <c r="U10" s="79"/>
      <c r="V10" s="80"/>
      <c r="W10" s="81">
        <f t="shared" si="3"/>
        <v>0</v>
      </c>
      <c r="X10" s="82"/>
      <c r="Y10" s="77"/>
      <c r="Z10" s="79"/>
      <c r="AA10" s="80"/>
      <c r="AB10" s="81">
        <f t="shared" si="4"/>
        <v>0</v>
      </c>
      <c r="AC10" s="82"/>
      <c r="AD10" s="77"/>
      <c r="AE10" s="79"/>
      <c r="AF10" s="80"/>
      <c r="AG10" s="81">
        <f t="shared" si="5"/>
        <v>0</v>
      </c>
      <c r="AH10" s="82"/>
      <c r="AI10" s="77"/>
      <c r="AJ10" s="79"/>
      <c r="AK10" s="80"/>
      <c r="AL10" s="81">
        <f t="shared" si="6"/>
        <v>0</v>
      </c>
      <c r="AM10" s="82"/>
      <c r="AN10" s="77"/>
      <c r="AO10" s="83">
        <v>1</v>
      </c>
      <c r="AP10" s="118">
        <v>0.2</v>
      </c>
      <c r="AQ10" s="85">
        <f t="shared" si="7"/>
        <v>0.2</v>
      </c>
      <c r="AR10" s="87" t="s">
        <v>1226</v>
      </c>
    </row>
    <row r="11" spans="1:44" ht="63" x14ac:dyDescent="0.25">
      <c r="A11" s="77">
        <v>8</v>
      </c>
      <c r="B11" s="78" t="s">
        <v>3</v>
      </c>
      <c r="C11" s="78" t="s">
        <v>4</v>
      </c>
      <c r="D11" s="102" t="s">
        <v>64</v>
      </c>
      <c r="E11" s="77"/>
      <c r="F11" s="79"/>
      <c r="G11" s="80"/>
      <c r="H11" s="81">
        <f t="shared" si="0"/>
        <v>0</v>
      </c>
      <c r="I11" s="78"/>
      <c r="J11" s="77"/>
      <c r="K11" s="126">
        <v>1</v>
      </c>
      <c r="L11" s="127">
        <v>0.9</v>
      </c>
      <c r="M11" s="85">
        <f t="shared" si="1"/>
        <v>0.9</v>
      </c>
      <c r="N11" s="144" t="s">
        <v>1215</v>
      </c>
      <c r="O11" s="77"/>
      <c r="P11" s="126">
        <v>1</v>
      </c>
      <c r="Q11" s="127">
        <v>1</v>
      </c>
      <c r="R11" s="85">
        <f t="shared" si="2"/>
        <v>1</v>
      </c>
      <c r="S11" s="144"/>
      <c r="T11" s="77"/>
      <c r="U11" s="79"/>
      <c r="V11" s="80"/>
      <c r="W11" s="81">
        <f t="shared" si="3"/>
        <v>0</v>
      </c>
      <c r="X11" s="82"/>
      <c r="Y11" s="77"/>
      <c r="Z11" s="79"/>
      <c r="AA11" s="80"/>
      <c r="AB11" s="81">
        <f t="shared" si="4"/>
        <v>0</v>
      </c>
      <c r="AC11" s="82"/>
      <c r="AD11" s="77"/>
      <c r="AE11" s="79"/>
      <c r="AF11" s="80"/>
      <c r="AG11" s="81">
        <f t="shared" si="5"/>
        <v>0</v>
      </c>
      <c r="AH11" s="82"/>
      <c r="AI11" s="77"/>
      <c r="AJ11" s="79"/>
      <c r="AK11" s="80"/>
      <c r="AL11" s="81">
        <f t="shared" si="6"/>
        <v>0</v>
      </c>
      <c r="AM11" s="82"/>
      <c r="AN11" s="77"/>
      <c r="AO11" s="126">
        <v>1</v>
      </c>
      <c r="AP11" s="129">
        <v>0.15</v>
      </c>
      <c r="AQ11" s="85">
        <f t="shared" si="7"/>
        <v>0.15</v>
      </c>
      <c r="AR11" s="144" t="s">
        <v>1192</v>
      </c>
    </row>
    <row r="12" spans="1:44" ht="63" x14ac:dyDescent="0.25">
      <c r="A12" s="77">
        <v>9</v>
      </c>
      <c r="B12" s="78" t="s">
        <v>3</v>
      </c>
      <c r="C12" s="78" t="s">
        <v>5</v>
      </c>
      <c r="D12" s="102" t="s">
        <v>37</v>
      </c>
      <c r="E12" s="77"/>
      <c r="F12" s="79"/>
      <c r="G12" s="80"/>
      <c r="H12" s="81">
        <f t="shared" si="0"/>
        <v>0</v>
      </c>
      <c r="I12" s="82"/>
      <c r="J12" s="77"/>
      <c r="K12" s="83">
        <v>1</v>
      </c>
      <c r="L12" s="99">
        <v>0.6</v>
      </c>
      <c r="M12" s="85">
        <f t="shared" si="1"/>
        <v>0.6</v>
      </c>
      <c r="N12" s="87" t="s">
        <v>1198</v>
      </c>
      <c r="O12" s="77"/>
      <c r="P12" s="83">
        <v>1</v>
      </c>
      <c r="Q12" s="84">
        <v>1</v>
      </c>
      <c r="R12" s="85">
        <f t="shared" si="2"/>
        <v>1</v>
      </c>
      <c r="S12" s="87"/>
      <c r="T12" s="77"/>
      <c r="U12" s="79"/>
      <c r="V12" s="80"/>
      <c r="W12" s="81">
        <f t="shared" si="3"/>
        <v>0</v>
      </c>
      <c r="X12" s="82"/>
      <c r="Y12" s="77"/>
      <c r="Z12" s="79"/>
      <c r="AA12" s="80"/>
      <c r="AB12" s="81">
        <f t="shared" si="4"/>
        <v>0</v>
      </c>
      <c r="AC12" s="82"/>
      <c r="AD12" s="77"/>
      <c r="AE12" s="79"/>
      <c r="AF12" s="80"/>
      <c r="AG12" s="81">
        <f t="shared" si="5"/>
        <v>0</v>
      </c>
      <c r="AH12" s="82"/>
      <c r="AI12" s="77"/>
      <c r="AJ12" s="79"/>
      <c r="AK12" s="80"/>
      <c r="AL12" s="81">
        <f t="shared" si="6"/>
        <v>0</v>
      </c>
      <c r="AM12" s="82"/>
      <c r="AN12" s="77"/>
      <c r="AO12" s="83">
        <v>1</v>
      </c>
      <c r="AP12" s="118">
        <v>0.3</v>
      </c>
      <c r="AQ12" s="85">
        <f t="shared" si="7"/>
        <v>0.3</v>
      </c>
      <c r="AR12" s="87" t="s">
        <v>1227</v>
      </c>
    </row>
    <row r="13" spans="1:44" ht="166.5" customHeight="1" x14ac:dyDescent="0.25">
      <c r="A13" s="77">
        <v>10</v>
      </c>
      <c r="B13" s="78" t="s">
        <v>3</v>
      </c>
      <c r="C13" s="78" t="s">
        <v>5</v>
      </c>
      <c r="D13" s="102" t="s">
        <v>38</v>
      </c>
      <c r="E13" s="77"/>
      <c r="F13" s="79"/>
      <c r="G13" s="80"/>
      <c r="H13" s="81">
        <f t="shared" si="0"/>
        <v>0</v>
      </c>
      <c r="I13" s="82"/>
      <c r="J13" s="77"/>
      <c r="K13" s="126">
        <v>1</v>
      </c>
      <c r="L13" s="127">
        <v>0.6</v>
      </c>
      <c r="M13" s="85">
        <f t="shared" si="1"/>
        <v>0.6</v>
      </c>
      <c r="N13" s="144" t="s">
        <v>1216</v>
      </c>
      <c r="O13" s="77"/>
      <c r="P13" s="126">
        <v>1</v>
      </c>
      <c r="Q13" s="127">
        <v>1</v>
      </c>
      <c r="R13" s="85">
        <f t="shared" si="2"/>
        <v>1</v>
      </c>
      <c r="S13" s="144"/>
      <c r="T13" s="77"/>
      <c r="U13" s="79"/>
      <c r="V13" s="80"/>
      <c r="W13" s="81">
        <f t="shared" si="3"/>
        <v>0</v>
      </c>
      <c r="X13" s="82"/>
      <c r="Y13" s="77"/>
      <c r="Z13" s="79"/>
      <c r="AA13" s="80"/>
      <c r="AB13" s="81">
        <f t="shared" si="4"/>
        <v>0</v>
      </c>
      <c r="AC13" s="82"/>
      <c r="AD13" s="77"/>
      <c r="AE13" s="79"/>
      <c r="AF13" s="80"/>
      <c r="AG13" s="81">
        <f t="shared" si="5"/>
        <v>0</v>
      </c>
      <c r="AH13" s="82"/>
      <c r="AI13" s="77"/>
      <c r="AJ13" s="79"/>
      <c r="AK13" s="80"/>
      <c r="AL13" s="81">
        <f t="shared" si="6"/>
        <v>0</v>
      </c>
      <c r="AM13" s="82"/>
      <c r="AN13" s="77"/>
      <c r="AO13" s="126">
        <v>1</v>
      </c>
      <c r="AP13" s="129">
        <v>0.05</v>
      </c>
      <c r="AQ13" s="85">
        <f t="shared" si="7"/>
        <v>0.05</v>
      </c>
      <c r="AR13" s="144" t="s">
        <v>1228</v>
      </c>
    </row>
    <row r="14" spans="1:44" ht="78.75" x14ac:dyDescent="0.25">
      <c r="A14" s="77">
        <v>11</v>
      </c>
      <c r="B14" s="78" t="s">
        <v>3</v>
      </c>
      <c r="C14" s="78" t="s">
        <v>31</v>
      </c>
      <c r="D14" s="102" t="s">
        <v>39</v>
      </c>
      <c r="E14" s="77"/>
      <c r="F14" s="79"/>
      <c r="G14" s="80"/>
      <c r="H14" s="81">
        <f t="shared" si="0"/>
        <v>0</v>
      </c>
      <c r="I14" s="82"/>
      <c r="J14" s="77"/>
      <c r="K14" s="83">
        <v>1</v>
      </c>
      <c r="L14" s="84">
        <v>0.85</v>
      </c>
      <c r="M14" s="85">
        <f t="shared" si="1"/>
        <v>0.85</v>
      </c>
      <c r="N14" s="87" t="s">
        <v>1217</v>
      </c>
      <c r="O14" s="77"/>
      <c r="P14" s="83">
        <v>1</v>
      </c>
      <c r="Q14" s="84">
        <v>0.95</v>
      </c>
      <c r="R14" s="85">
        <f t="shared" si="2"/>
        <v>0.95</v>
      </c>
      <c r="S14" s="149" t="s">
        <v>1223</v>
      </c>
      <c r="T14" s="77"/>
      <c r="U14" s="79"/>
      <c r="V14" s="80"/>
      <c r="W14" s="81">
        <f t="shared" si="3"/>
        <v>0</v>
      </c>
      <c r="X14" s="82"/>
      <c r="Y14" s="77"/>
      <c r="Z14" s="79"/>
      <c r="AA14" s="80"/>
      <c r="AB14" s="81">
        <f t="shared" si="4"/>
        <v>0</v>
      </c>
      <c r="AC14" s="82"/>
      <c r="AD14" s="77"/>
      <c r="AE14" s="79"/>
      <c r="AF14" s="80"/>
      <c r="AG14" s="81">
        <f t="shared" si="5"/>
        <v>0</v>
      </c>
      <c r="AH14" s="82"/>
      <c r="AI14" s="77"/>
      <c r="AJ14" s="79"/>
      <c r="AK14" s="80"/>
      <c r="AL14" s="81">
        <f t="shared" si="6"/>
        <v>0</v>
      </c>
      <c r="AM14" s="82"/>
      <c r="AN14" s="77"/>
      <c r="AO14" s="83">
        <v>1</v>
      </c>
      <c r="AP14" s="118">
        <v>0.15</v>
      </c>
      <c r="AQ14" s="85">
        <f t="shared" si="7"/>
        <v>0.15</v>
      </c>
      <c r="AR14" s="87" t="s">
        <v>1195</v>
      </c>
    </row>
    <row r="15" spans="1:44" ht="69.75" customHeight="1" x14ac:dyDescent="0.25">
      <c r="A15" s="77">
        <v>12</v>
      </c>
      <c r="B15" s="78" t="s">
        <v>3</v>
      </c>
      <c r="C15" s="78" t="s">
        <v>31</v>
      </c>
      <c r="D15" s="102" t="s">
        <v>40</v>
      </c>
      <c r="E15" s="77"/>
      <c r="F15" s="79"/>
      <c r="G15" s="80"/>
      <c r="H15" s="81">
        <f t="shared" si="0"/>
        <v>0</v>
      </c>
      <c r="I15" s="82"/>
      <c r="J15" s="77"/>
      <c r="K15" s="126">
        <v>1</v>
      </c>
      <c r="L15" s="127">
        <v>0.95</v>
      </c>
      <c r="M15" s="85">
        <f t="shared" si="1"/>
        <v>0.95</v>
      </c>
      <c r="N15" s="144" t="s">
        <v>1218</v>
      </c>
      <c r="O15" s="77"/>
      <c r="P15" s="126">
        <v>1</v>
      </c>
      <c r="Q15" s="127">
        <v>1</v>
      </c>
      <c r="R15" s="85">
        <f t="shared" si="2"/>
        <v>1</v>
      </c>
      <c r="S15" s="144"/>
      <c r="T15" s="77"/>
      <c r="U15" s="79"/>
      <c r="V15" s="80"/>
      <c r="W15" s="81">
        <f t="shared" si="3"/>
        <v>0</v>
      </c>
      <c r="X15" s="82"/>
      <c r="Y15" s="77"/>
      <c r="Z15" s="79"/>
      <c r="AA15" s="80"/>
      <c r="AB15" s="81">
        <f t="shared" si="4"/>
        <v>0</v>
      </c>
      <c r="AC15" s="82"/>
      <c r="AD15" s="77"/>
      <c r="AE15" s="79"/>
      <c r="AF15" s="80"/>
      <c r="AG15" s="81">
        <f t="shared" si="5"/>
        <v>0</v>
      </c>
      <c r="AH15" s="82"/>
      <c r="AI15" s="77"/>
      <c r="AJ15" s="79"/>
      <c r="AK15" s="80"/>
      <c r="AL15" s="81">
        <f t="shared" si="6"/>
        <v>0</v>
      </c>
      <c r="AM15" s="82"/>
      <c r="AN15" s="77"/>
      <c r="AO15" s="126">
        <v>1</v>
      </c>
      <c r="AP15" s="129">
        <v>0.5</v>
      </c>
      <c r="AQ15" s="85">
        <f t="shared" si="7"/>
        <v>0.5</v>
      </c>
      <c r="AR15" s="144" t="s">
        <v>1196</v>
      </c>
    </row>
    <row r="16" spans="1:44" ht="269.25" customHeight="1" x14ac:dyDescent="0.25">
      <c r="A16" s="77">
        <v>13</v>
      </c>
      <c r="B16" s="78" t="s">
        <v>6</v>
      </c>
      <c r="C16" s="78" t="s">
        <v>7</v>
      </c>
      <c r="D16" s="102" t="s">
        <v>41</v>
      </c>
      <c r="E16" s="77"/>
      <c r="F16" s="79"/>
      <c r="G16" s="80"/>
      <c r="H16" s="81">
        <f t="shared" si="0"/>
        <v>0</v>
      </c>
      <c r="I16" s="82"/>
      <c r="J16" s="77"/>
      <c r="K16" s="100">
        <v>1</v>
      </c>
      <c r="L16" s="101">
        <v>1</v>
      </c>
      <c r="M16" s="85">
        <f t="shared" si="1"/>
        <v>1</v>
      </c>
      <c r="N16" s="102" t="s">
        <v>134</v>
      </c>
      <c r="O16" s="77"/>
      <c r="P16" s="100">
        <v>1</v>
      </c>
      <c r="Q16" s="101">
        <v>0.8</v>
      </c>
      <c r="R16" s="85">
        <f t="shared" si="2"/>
        <v>0.8</v>
      </c>
      <c r="S16" s="102" t="s">
        <v>412</v>
      </c>
      <c r="T16" s="77"/>
      <c r="U16" s="79"/>
      <c r="V16" s="80"/>
      <c r="W16" s="81">
        <f t="shared" si="3"/>
        <v>0</v>
      </c>
      <c r="X16" s="82"/>
      <c r="Y16" s="77"/>
      <c r="Z16" s="79"/>
      <c r="AA16" s="80"/>
      <c r="AB16" s="81">
        <f t="shared" si="4"/>
        <v>0</v>
      </c>
      <c r="AC16" s="82"/>
      <c r="AD16" s="77"/>
      <c r="AE16" s="79"/>
      <c r="AF16" s="80"/>
      <c r="AG16" s="81">
        <f t="shared" si="5"/>
        <v>0</v>
      </c>
      <c r="AH16" s="82"/>
      <c r="AI16" s="77"/>
      <c r="AJ16" s="79"/>
      <c r="AK16" s="80"/>
      <c r="AL16" s="81">
        <f t="shared" si="6"/>
        <v>0</v>
      </c>
      <c r="AM16" s="82"/>
      <c r="AN16" s="77"/>
      <c r="AO16" s="100">
        <v>1</v>
      </c>
      <c r="AP16" s="101">
        <v>0.85</v>
      </c>
      <c r="AQ16" s="85">
        <f t="shared" si="7"/>
        <v>0.85</v>
      </c>
      <c r="AR16" s="102" t="s">
        <v>425</v>
      </c>
    </row>
    <row r="17" spans="1:44" ht="110.25" x14ac:dyDescent="0.25">
      <c r="A17" s="77">
        <v>14</v>
      </c>
      <c r="B17" s="78" t="s">
        <v>6</v>
      </c>
      <c r="C17" s="78" t="s">
        <v>7</v>
      </c>
      <c r="D17" s="102" t="s">
        <v>130</v>
      </c>
      <c r="E17" s="77"/>
      <c r="F17" s="79"/>
      <c r="G17" s="80"/>
      <c r="H17" s="81">
        <f t="shared" si="0"/>
        <v>0</v>
      </c>
      <c r="I17" s="82"/>
      <c r="J17" s="77"/>
      <c r="K17" s="100">
        <v>1</v>
      </c>
      <c r="L17" s="101">
        <v>1</v>
      </c>
      <c r="M17" s="85">
        <f t="shared" si="1"/>
        <v>1</v>
      </c>
      <c r="N17" s="102" t="s">
        <v>135</v>
      </c>
      <c r="O17" s="77"/>
      <c r="P17" s="100">
        <v>1</v>
      </c>
      <c r="Q17" s="101">
        <v>0.45</v>
      </c>
      <c r="R17" s="85">
        <f t="shared" si="2"/>
        <v>0.45</v>
      </c>
      <c r="S17" s="102" t="s">
        <v>413</v>
      </c>
      <c r="T17" s="77"/>
      <c r="U17" s="79"/>
      <c r="V17" s="80"/>
      <c r="W17" s="81">
        <f t="shared" si="3"/>
        <v>0</v>
      </c>
      <c r="X17" s="82"/>
      <c r="Y17" s="77"/>
      <c r="Z17" s="79"/>
      <c r="AA17" s="80"/>
      <c r="AB17" s="81">
        <f t="shared" si="4"/>
        <v>0</v>
      </c>
      <c r="AC17" s="82"/>
      <c r="AD17" s="77"/>
      <c r="AE17" s="79"/>
      <c r="AF17" s="80"/>
      <c r="AG17" s="81">
        <f t="shared" si="5"/>
        <v>0</v>
      </c>
      <c r="AH17" s="82"/>
      <c r="AI17" s="77"/>
      <c r="AJ17" s="79"/>
      <c r="AK17" s="80"/>
      <c r="AL17" s="81">
        <f t="shared" si="6"/>
        <v>0</v>
      </c>
      <c r="AM17" s="82"/>
      <c r="AN17" s="77"/>
      <c r="AO17" s="100">
        <v>1</v>
      </c>
      <c r="AP17" s="101">
        <v>0.45</v>
      </c>
      <c r="AQ17" s="85">
        <f t="shared" si="7"/>
        <v>0.45</v>
      </c>
      <c r="AR17" s="102" t="s">
        <v>426</v>
      </c>
    </row>
    <row r="18" spans="1:44" ht="126" customHeight="1" x14ac:dyDescent="0.25">
      <c r="A18" s="77">
        <v>15</v>
      </c>
      <c r="B18" s="78" t="s">
        <v>6</v>
      </c>
      <c r="C18" s="78" t="s">
        <v>7</v>
      </c>
      <c r="D18" s="102" t="s">
        <v>131</v>
      </c>
      <c r="E18" s="77"/>
      <c r="F18" s="79"/>
      <c r="G18" s="80"/>
      <c r="H18" s="81">
        <f t="shared" si="0"/>
        <v>0</v>
      </c>
      <c r="I18" s="82"/>
      <c r="J18" s="77"/>
      <c r="K18" s="100">
        <v>1</v>
      </c>
      <c r="L18" s="101">
        <v>1</v>
      </c>
      <c r="M18" s="85">
        <f t="shared" si="1"/>
        <v>1</v>
      </c>
      <c r="N18" s="102" t="s">
        <v>397</v>
      </c>
      <c r="O18" s="77"/>
      <c r="P18" s="100">
        <v>1</v>
      </c>
      <c r="Q18" s="101">
        <v>1</v>
      </c>
      <c r="R18" s="85">
        <f t="shared" si="2"/>
        <v>1</v>
      </c>
      <c r="S18" s="102" t="s">
        <v>414</v>
      </c>
      <c r="T18" s="77"/>
      <c r="U18" s="79"/>
      <c r="V18" s="80"/>
      <c r="W18" s="81">
        <f t="shared" si="3"/>
        <v>0</v>
      </c>
      <c r="X18" s="82"/>
      <c r="Y18" s="77"/>
      <c r="Z18" s="79"/>
      <c r="AA18" s="80"/>
      <c r="AB18" s="81">
        <f t="shared" si="4"/>
        <v>0</v>
      </c>
      <c r="AC18" s="82"/>
      <c r="AD18" s="77"/>
      <c r="AE18" s="79"/>
      <c r="AF18" s="80"/>
      <c r="AG18" s="81">
        <f t="shared" si="5"/>
        <v>0</v>
      </c>
      <c r="AH18" s="82"/>
      <c r="AI18" s="77"/>
      <c r="AJ18" s="79"/>
      <c r="AK18" s="80"/>
      <c r="AL18" s="81">
        <f t="shared" si="6"/>
        <v>0</v>
      </c>
      <c r="AM18" s="82"/>
      <c r="AN18" s="77"/>
      <c r="AO18" s="100">
        <v>1</v>
      </c>
      <c r="AP18" s="101">
        <v>0.95</v>
      </c>
      <c r="AQ18" s="85">
        <f t="shared" si="7"/>
        <v>0.95</v>
      </c>
      <c r="AR18" s="102" t="s">
        <v>427</v>
      </c>
    </row>
    <row r="19" spans="1:44" ht="94.5" x14ac:dyDescent="0.25">
      <c r="A19" s="77">
        <v>16</v>
      </c>
      <c r="B19" s="78" t="s">
        <v>6</v>
      </c>
      <c r="C19" s="78" t="s">
        <v>7</v>
      </c>
      <c r="D19" s="102" t="s">
        <v>42</v>
      </c>
      <c r="E19" s="77"/>
      <c r="F19" s="79"/>
      <c r="G19" s="80"/>
      <c r="H19" s="81">
        <f t="shared" si="0"/>
        <v>0</v>
      </c>
      <c r="I19" s="82"/>
      <c r="J19" s="77"/>
      <c r="K19" s="100">
        <v>1</v>
      </c>
      <c r="L19" s="101">
        <v>1</v>
      </c>
      <c r="M19" s="85">
        <f t="shared" si="1"/>
        <v>1</v>
      </c>
      <c r="N19" s="102" t="s">
        <v>398</v>
      </c>
      <c r="O19" s="77"/>
      <c r="P19" s="100">
        <v>1</v>
      </c>
      <c r="Q19" s="101">
        <v>1</v>
      </c>
      <c r="R19" s="85">
        <f t="shared" si="2"/>
        <v>1</v>
      </c>
      <c r="S19" s="102" t="s">
        <v>415</v>
      </c>
      <c r="T19" s="77"/>
      <c r="U19" s="79"/>
      <c r="V19" s="80"/>
      <c r="W19" s="81">
        <f t="shared" si="3"/>
        <v>0</v>
      </c>
      <c r="X19" s="82"/>
      <c r="Y19" s="77"/>
      <c r="Z19" s="79"/>
      <c r="AA19" s="80"/>
      <c r="AB19" s="81">
        <f t="shared" si="4"/>
        <v>0</v>
      </c>
      <c r="AC19" s="82"/>
      <c r="AD19" s="77"/>
      <c r="AE19" s="79"/>
      <c r="AF19" s="80"/>
      <c r="AG19" s="81">
        <f t="shared" si="5"/>
        <v>0</v>
      </c>
      <c r="AH19" s="82"/>
      <c r="AI19" s="77"/>
      <c r="AJ19" s="79"/>
      <c r="AK19" s="80"/>
      <c r="AL19" s="81">
        <f t="shared" si="6"/>
        <v>0</v>
      </c>
      <c r="AM19" s="82"/>
      <c r="AN19" s="77"/>
      <c r="AO19" s="100">
        <v>1</v>
      </c>
      <c r="AP19" s="101">
        <v>0.95</v>
      </c>
      <c r="AQ19" s="85">
        <f t="shared" si="7"/>
        <v>0.95</v>
      </c>
      <c r="AR19" s="102" t="s">
        <v>239</v>
      </c>
    </row>
    <row r="20" spans="1:44" ht="201" customHeight="1" x14ac:dyDescent="0.25">
      <c r="A20" s="77">
        <v>17</v>
      </c>
      <c r="B20" s="78" t="s">
        <v>6</v>
      </c>
      <c r="C20" s="78" t="s">
        <v>7</v>
      </c>
      <c r="D20" s="102" t="s">
        <v>43</v>
      </c>
      <c r="E20" s="77"/>
      <c r="F20" s="79"/>
      <c r="G20" s="80"/>
      <c r="H20" s="81">
        <f t="shared" si="0"/>
        <v>0</v>
      </c>
      <c r="I20" s="82"/>
      <c r="J20" s="77"/>
      <c r="K20" s="100">
        <v>1</v>
      </c>
      <c r="L20" s="101">
        <v>1</v>
      </c>
      <c r="M20" s="85">
        <f t="shared" si="1"/>
        <v>1</v>
      </c>
      <c r="N20" s="102"/>
      <c r="O20" s="77"/>
      <c r="P20" s="100">
        <v>1</v>
      </c>
      <c r="Q20" s="101">
        <v>1</v>
      </c>
      <c r="R20" s="85">
        <f t="shared" si="2"/>
        <v>1</v>
      </c>
      <c r="S20" s="102"/>
      <c r="T20" s="77"/>
      <c r="U20" s="79"/>
      <c r="V20" s="80"/>
      <c r="W20" s="81">
        <f t="shared" si="3"/>
        <v>0</v>
      </c>
      <c r="X20" s="82"/>
      <c r="Y20" s="77"/>
      <c r="Z20" s="79"/>
      <c r="AA20" s="80"/>
      <c r="AB20" s="81">
        <f t="shared" si="4"/>
        <v>0</v>
      </c>
      <c r="AC20" s="82"/>
      <c r="AD20" s="77"/>
      <c r="AE20" s="79"/>
      <c r="AF20" s="80"/>
      <c r="AG20" s="81">
        <f t="shared" si="5"/>
        <v>0</v>
      </c>
      <c r="AH20" s="82"/>
      <c r="AI20" s="77"/>
      <c r="AJ20" s="79"/>
      <c r="AK20" s="80"/>
      <c r="AL20" s="81">
        <f t="shared" si="6"/>
        <v>0</v>
      </c>
      <c r="AM20" s="82"/>
      <c r="AN20" s="77"/>
      <c r="AO20" s="100">
        <v>1</v>
      </c>
      <c r="AP20" s="101">
        <v>0.45</v>
      </c>
      <c r="AQ20" s="85">
        <f>AO20*AP20</f>
        <v>0.45</v>
      </c>
      <c r="AR20" s="102" t="s">
        <v>428</v>
      </c>
    </row>
    <row r="21" spans="1:44" ht="158.25" customHeight="1" x14ac:dyDescent="0.25">
      <c r="A21" s="77">
        <v>18</v>
      </c>
      <c r="B21" s="78" t="s">
        <v>6</v>
      </c>
      <c r="C21" s="78" t="s">
        <v>7</v>
      </c>
      <c r="D21" s="102" t="s">
        <v>44</v>
      </c>
      <c r="E21" s="77"/>
      <c r="F21" s="79"/>
      <c r="G21" s="80"/>
      <c r="H21" s="81">
        <f t="shared" si="0"/>
        <v>0</v>
      </c>
      <c r="I21" s="82"/>
      <c r="J21" s="77"/>
      <c r="K21" s="100">
        <v>1</v>
      </c>
      <c r="L21" s="101">
        <v>0.75</v>
      </c>
      <c r="M21" s="85">
        <f t="shared" si="1"/>
        <v>0.75</v>
      </c>
      <c r="N21" s="102" t="s">
        <v>399</v>
      </c>
      <c r="O21" s="77"/>
      <c r="P21" s="100">
        <v>1</v>
      </c>
      <c r="Q21" s="101">
        <v>0.75</v>
      </c>
      <c r="R21" s="85">
        <f t="shared" si="2"/>
        <v>0.75</v>
      </c>
      <c r="S21" s="102" t="s">
        <v>1360</v>
      </c>
      <c r="T21" s="77"/>
      <c r="U21" s="79"/>
      <c r="V21" s="80"/>
      <c r="W21" s="81">
        <f t="shared" si="3"/>
        <v>0</v>
      </c>
      <c r="X21" s="82"/>
      <c r="Y21" s="77"/>
      <c r="Z21" s="79"/>
      <c r="AA21" s="80"/>
      <c r="AB21" s="81">
        <f t="shared" si="4"/>
        <v>0</v>
      </c>
      <c r="AC21" s="82"/>
      <c r="AD21" s="77"/>
      <c r="AE21" s="79"/>
      <c r="AF21" s="80"/>
      <c r="AG21" s="81">
        <f t="shared" si="5"/>
        <v>0</v>
      </c>
      <c r="AH21" s="82"/>
      <c r="AI21" s="77"/>
      <c r="AJ21" s="79"/>
      <c r="AK21" s="80"/>
      <c r="AL21" s="81">
        <f t="shared" si="6"/>
        <v>0</v>
      </c>
      <c r="AM21" s="82"/>
      <c r="AN21" s="77"/>
      <c r="AO21" s="100">
        <v>1</v>
      </c>
      <c r="AP21" s="101">
        <v>0.72</v>
      </c>
      <c r="AQ21" s="85">
        <f t="shared" ref="AQ21:AQ27" si="8">AO21*AP21</f>
        <v>0.72</v>
      </c>
      <c r="AR21" s="102" t="s">
        <v>429</v>
      </c>
    </row>
    <row r="22" spans="1:44" ht="135" customHeight="1" x14ac:dyDescent="0.25">
      <c r="A22" s="77">
        <v>19</v>
      </c>
      <c r="B22" s="78" t="s">
        <v>6</v>
      </c>
      <c r="C22" s="78" t="s">
        <v>7</v>
      </c>
      <c r="D22" s="102" t="s">
        <v>45</v>
      </c>
      <c r="E22" s="77"/>
      <c r="F22" s="79"/>
      <c r="G22" s="80"/>
      <c r="H22" s="81">
        <f t="shared" si="0"/>
        <v>0</v>
      </c>
      <c r="I22" s="82"/>
      <c r="J22" s="77"/>
      <c r="K22" s="100">
        <v>1</v>
      </c>
      <c r="L22" s="101">
        <v>0.9</v>
      </c>
      <c r="M22" s="85">
        <f t="shared" si="1"/>
        <v>0.9</v>
      </c>
      <c r="N22" s="102" t="s">
        <v>400</v>
      </c>
      <c r="O22" s="77"/>
      <c r="P22" s="100">
        <v>1</v>
      </c>
      <c r="Q22" s="101">
        <v>0.2</v>
      </c>
      <c r="R22" s="85">
        <f t="shared" si="2"/>
        <v>0.2</v>
      </c>
      <c r="S22" s="102" t="s">
        <v>416</v>
      </c>
      <c r="T22" s="77"/>
      <c r="U22" s="79"/>
      <c r="V22" s="80"/>
      <c r="W22" s="81">
        <f t="shared" si="3"/>
        <v>0</v>
      </c>
      <c r="X22" s="82"/>
      <c r="Y22" s="77"/>
      <c r="Z22" s="79"/>
      <c r="AA22" s="80"/>
      <c r="AB22" s="81">
        <f t="shared" si="4"/>
        <v>0</v>
      </c>
      <c r="AC22" s="82"/>
      <c r="AD22" s="77"/>
      <c r="AE22" s="79"/>
      <c r="AF22" s="80"/>
      <c r="AG22" s="81">
        <f t="shared" si="5"/>
        <v>0</v>
      </c>
      <c r="AH22" s="82"/>
      <c r="AI22" s="77"/>
      <c r="AJ22" s="79"/>
      <c r="AK22" s="80"/>
      <c r="AL22" s="81">
        <f t="shared" si="6"/>
        <v>0</v>
      </c>
      <c r="AM22" s="82"/>
      <c r="AN22" s="77"/>
      <c r="AO22" s="100">
        <v>1</v>
      </c>
      <c r="AP22" s="101">
        <v>0.35</v>
      </c>
      <c r="AQ22" s="85">
        <f t="shared" si="8"/>
        <v>0.35</v>
      </c>
      <c r="AR22" s="102" t="s">
        <v>430</v>
      </c>
    </row>
    <row r="23" spans="1:44" ht="109.5" customHeight="1" x14ac:dyDescent="0.25">
      <c r="A23" s="77">
        <v>20</v>
      </c>
      <c r="B23" s="78" t="s">
        <v>6</v>
      </c>
      <c r="C23" s="78" t="s">
        <v>7</v>
      </c>
      <c r="D23" s="102" t="s">
        <v>46</v>
      </c>
      <c r="E23" s="77"/>
      <c r="F23" s="79"/>
      <c r="G23" s="80"/>
      <c r="H23" s="81">
        <f t="shared" si="0"/>
        <v>0</v>
      </c>
      <c r="I23" s="82"/>
      <c r="J23" s="77"/>
      <c r="K23" s="100">
        <v>1</v>
      </c>
      <c r="L23" s="101">
        <v>0.9</v>
      </c>
      <c r="M23" s="85">
        <f t="shared" si="1"/>
        <v>0.9</v>
      </c>
      <c r="N23" s="102" t="s">
        <v>401</v>
      </c>
      <c r="O23" s="77"/>
      <c r="P23" s="100">
        <v>1</v>
      </c>
      <c r="Q23" s="101">
        <v>0.9</v>
      </c>
      <c r="R23" s="85">
        <f t="shared" si="2"/>
        <v>0.9</v>
      </c>
      <c r="S23" s="102" t="s">
        <v>417</v>
      </c>
      <c r="T23" s="77"/>
      <c r="U23" s="79"/>
      <c r="V23" s="80"/>
      <c r="W23" s="81">
        <f t="shared" si="3"/>
        <v>0</v>
      </c>
      <c r="X23" s="82"/>
      <c r="Y23" s="77"/>
      <c r="Z23" s="79"/>
      <c r="AA23" s="80"/>
      <c r="AB23" s="81">
        <f t="shared" si="4"/>
        <v>0</v>
      </c>
      <c r="AC23" s="82"/>
      <c r="AD23" s="77"/>
      <c r="AE23" s="79"/>
      <c r="AF23" s="80"/>
      <c r="AG23" s="81">
        <f t="shared" si="5"/>
        <v>0</v>
      </c>
      <c r="AH23" s="82"/>
      <c r="AI23" s="77"/>
      <c r="AJ23" s="79"/>
      <c r="AK23" s="80"/>
      <c r="AL23" s="81">
        <f t="shared" si="6"/>
        <v>0</v>
      </c>
      <c r="AM23" s="82"/>
      <c r="AN23" s="77"/>
      <c r="AO23" s="100">
        <v>1</v>
      </c>
      <c r="AP23" s="101">
        <v>0.5</v>
      </c>
      <c r="AQ23" s="85">
        <f t="shared" si="8"/>
        <v>0.5</v>
      </c>
      <c r="AR23" s="102" t="s">
        <v>431</v>
      </c>
    </row>
    <row r="24" spans="1:44" ht="94.5" x14ac:dyDescent="0.25">
      <c r="A24" s="77">
        <v>21</v>
      </c>
      <c r="B24" s="78" t="s">
        <v>6</v>
      </c>
      <c r="C24" s="78" t="s">
        <v>7</v>
      </c>
      <c r="D24" s="102" t="s">
        <v>47</v>
      </c>
      <c r="E24" s="77"/>
      <c r="F24" s="79"/>
      <c r="G24" s="80"/>
      <c r="H24" s="81">
        <f t="shared" si="0"/>
        <v>0</v>
      </c>
      <c r="I24" s="82"/>
      <c r="J24" s="77" t="s">
        <v>30</v>
      </c>
      <c r="K24" s="100">
        <v>1</v>
      </c>
      <c r="L24" s="101">
        <v>0.98</v>
      </c>
      <c r="M24" s="85">
        <f t="shared" si="1"/>
        <v>0.98</v>
      </c>
      <c r="N24" s="102" t="s">
        <v>358</v>
      </c>
      <c r="O24" s="77"/>
      <c r="P24" s="100">
        <v>1</v>
      </c>
      <c r="Q24" s="101">
        <v>0.98</v>
      </c>
      <c r="R24" s="85">
        <f t="shared" si="2"/>
        <v>0.98</v>
      </c>
      <c r="S24" s="102" t="s">
        <v>358</v>
      </c>
      <c r="T24" s="77"/>
      <c r="U24" s="79"/>
      <c r="V24" s="80"/>
      <c r="W24" s="81">
        <f t="shared" si="3"/>
        <v>0</v>
      </c>
      <c r="X24" s="82"/>
      <c r="Y24" s="77"/>
      <c r="Z24" s="79"/>
      <c r="AA24" s="80"/>
      <c r="AB24" s="81">
        <f t="shared" si="4"/>
        <v>0</v>
      </c>
      <c r="AC24" s="82"/>
      <c r="AD24" s="77"/>
      <c r="AE24" s="79"/>
      <c r="AF24" s="80"/>
      <c r="AG24" s="81">
        <f t="shared" si="5"/>
        <v>0</v>
      </c>
      <c r="AH24" s="82"/>
      <c r="AI24" s="77"/>
      <c r="AJ24" s="79"/>
      <c r="AK24" s="80"/>
      <c r="AL24" s="81">
        <f t="shared" si="6"/>
        <v>0</v>
      </c>
      <c r="AM24" s="82"/>
      <c r="AN24" s="77"/>
      <c r="AO24" s="100">
        <v>1</v>
      </c>
      <c r="AP24" s="101">
        <v>0.95</v>
      </c>
      <c r="AQ24" s="85">
        <f t="shared" si="8"/>
        <v>0.95</v>
      </c>
      <c r="AR24" s="102" t="s">
        <v>185</v>
      </c>
    </row>
    <row r="25" spans="1:44" s="73" customFormat="1" ht="141.75" x14ac:dyDescent="0.25">
      <c r="A25" s="77">
        <v>22</v>
      </c>
      <c r="B25" s="78" t="s">
        <v>6</v>
      </c>
      <c r="C25" s="78" t="s">
        <v>8</v>
      </c>
      <c r="D25" s="102" t="s">
        <v>48</v>
      </c>
      <c r="E25" s="77"/>
      <c r="F25" s="79"/>
      <c r="G25" s="80"/>
      <c r="H25" s="81">
        <f t="shared" si="0"/>
        <v>0</v>
      </c>
      <c r="I25" s="82"/>
      <c r="J25" s="77"/>
      <c r="K25" s="100">
        <v>1</v>
      </c>
      <c r="L25" s="101">
        <v>1</v>
      </c>
      <c r="M25" s="85">
        <f t="shared" si="1"/>
        <v>1</v>
      </c>
      <c r="N25" s="102" t="s">
        <v>402</v>
      </c>
      <c r="O25" s="77"/>
      <c r="P25" s="100">
        <v>1</v>
      </c>
      <c r="Q25" s="101">
        <v>1</v>
      </c>
      <c r="R25" s="85">
        <f t="shared" si="2"/>
        <v>1</v>
      </c>
      <c r="S25" s="102" t="s">
        <v>418</v>
      </c>
      <c r="T25" s="77"/>
      <c r="U25" s="79"/>
      <c r="V25" s="80"/>
      <c r="W25" s="81">
        <f t="shared" si="3"/>
        <v>0</v>
      </c>
      <c r="X25" s="82"/>
      <c r="Y25" s="77"/>
      <c r="Z25" s="79"/>
      <c r="AA25" s="80"/>
      <c r="AB25" s="81">
        <f t="shared" si="4"/>
        <v>0</v>
      </c>
      <c r="AC25" s="82"/>
      <c r="AD25" s="77"/>
      <c r="AE25" s="79"/>
      <c r="AF25" s="80"/>
      <c r="AG25" s="81">
        <f t="shared" si="5"/>
        <v>0</v>
      </c>
      <c r="AH25" s="82"/>
      <c r="AI25" s="77"/>
      <c r="AJ25" s="79"/>
      <c r="AK25" s="80"/>
      <c r="AL25" s="81">
        <f t="shared" si="6"/>
        <v>0</v>
      </c>
      <c r="AM25" s="82"/>
      <c r="AN25" s="77"/>
      <c r="AO25" s="100">
        <v>1</v>
      </c>
      <c r="AP25" s="101">
        <v>0.5</v>
      </c>
      <c r="AQ25" s="85">
        <f t="shared" si="8"/>
        <v>0.5</v>
      </c>
      <c r="AR25" s="102" t="s">
        <v>432</v>
      </c>
    </row>
    <row r="26" spans="1:44" ht="94.5" x14ac:dyDescent="0.25">
      <c r="A26" s="77">
        <v>23</v>
      </c>
      <c r="B26" s="78" t="s">
        <v>6</v>
      </c>
      <c r="C26" s="78" t="s">
        <v>8</v>
      </c>
      <c r="D26" s="102" t="s">
        <v>49</v>
      </c>
      <c r="E26" s="77"/>
      <c r="F26" s="79"/>
      <c r="G26" s="80"/>
      <c r="H26" s="81">
        <f t="shared" si="0"/>
        <v>0</v>
      </c>
      <c r="I26" s="82"/>
      <c r="J26" s="77"/>
      <c r="K26" s="100">
        <v>1</v>
      </c>
      <c r="L26" s="101">
        <v>1</v>
      </c>
      <c r="M26" s="85">
        <f t="shared" si="1"/>
        <v>1</v>
      </c>
      <c r="N26" s="102" t="s">
        <v>403</v>
      </c>
      <c r="O26" s="77"/>
      <c r="P26" s="100">
        <v>1</v>
      </c>
      <c r="Q26" s="101">
        <v>1</v>
      </c>
      <c r="R26" s="85">
        <f t="shared" si="2"/>
        <v>1</v>
      </c>
      <c r="S26" s="102" t="s">
        <v>419</v>
      </c>
      <c r="T26" s="77"/>
      <c r="U26" s="79"/>
      <c r="V26" s="80"/>
      <c r="W26" s="81">
        <f t="shared" si="3"/>
        <v>0</v>
      </c>
      <c r="X26" s="82"/>
      <c r="Y26" s="77"/>
      <c r="Z26" s="79"/>
      <c r="AA26" s="80"/>
      <c r="AB26" s="81">
        <f t="shared" si="4"/>
        <v>0</v>
      </c>
      <c r="AC26" s="82"/>
      <c r="AD26" s="77"/>
      <c r="AE26" s="79"/>
      <c r="AF26" s="80"/>
      <c r="AG26" s="81">
        <f t="shared" si="5"/>
        <v>0</v>
      </c>
      <c r="AH26" s="82"/>
      <c r="AI26" s="77"/>
      <c r="AJ26" s="79"/>
      <c r="AK26" s="80"/>
      <c r="AL26" s="81">
        <f t="shared" si="6"/>
        <v>0</v>
      </c>
      <c r="AM26" s="82"/>
      <c r="AN26" s="77"/>
      <c r="AO26" s="100">
        <v>1</v>
      </c>
      <c r="AP26" s="101">
        <v>0.6</v>
      </c>
      <c r="AQ26" s="85">
        <f t="shared" si="8"/>
        <v>0.6</v>
      </c>
      <c r="AR26" s="102" t="s">
        <v>433</v>
      </c>
    </row>
    <row r="27" spans="1:44" ht="118.5" customHeight="1" x14ac:dyDescent="0.25">
      <c r="A27" s="77">
        <v>24</v>
      </c>
      <c r="B27" s="78" t="s">
        <v>6</v>
      </c>
      <c r="C27" s="78" t="s">
        <v>8</v>
      </c>
      <c r="D27" s="102" t="s">
        <v>50</v>
      </c>
      <c r="E27" s="77"/>
      <c r="F27" s="79"/>
      <c r="G27" s="80"/>
      <c r="H27" s="81">
        <f t="shared" si="0"/>
        <v>0</v>
      </c>
      <c r="I27" s="82"/>
      <c r="J27" s="77"/>
      <c r="K27" s="100">
        <v>1</v>
      </c>
      <c r="L27" s="101">
        <v>0.99</v>
      </c>
      <c r="M27" s="85">
        <f t="shared" si="1"/>
        <v>0.99</v>
      </c>
      <c r="N27" s="102" t="s">
        <v>404</v>
      </c>
      <c r="O27" s="77"/>
      <c r="P27" s="100">
        <v>1</v>
      </c>
      <c r="Q27" s="101">
        <v>1</v>
      </c>
      <c r="R27" s="85">
        <f t="shared" si="2"/>
        <v>1</v>
      </c>
      <c r="S27" s="102" t="s">
        <v>376</v>
      </c>
      <c r="T27" s="77"/>
      <c r="U27" s="79"/>
      <c r="V27" s="80"/>
      <c r="W27" s="81">
        <f t="shared" si="3"/>
        <v>0</v>
      </c>
      <c r="X27" s="82"/>
      <c r="Y27" s="77"/>
      <c r="Z27" s="79"/>
      <c r="AA27" s="80"/>
      <c r="AB27" s="81">
        <f t="shared" si="4"/>
        <v>0</v>
      </c>
      <c r="AC27" s="82"/>
      <c r="AD27" s="77"/>
      <c r="AE27" s="79"/>
      <c r="AF27" s="80"/>
      <c r="AG27" s="81">
        <f t="shared" si="5"/>
        <v>0</v>
      </c>
      <c r="AH27" s="82"/>
      <c r="AI27" s="77"/>
      <c r="AJ27" s="79"/>
      <c r="AK27" s="80"/>
      <c r="AL27" s="81">
        <f t="shared" si="6"/>
        <v>0</v>
      </c>
      <c r="AM27" s="82"/>
      <c r="AN27" s="77"/>
      <c r="AO27" s="100">
        <v>1</v>
      </c>
      <c r="AP27" s="101">
        <v>0.7</v>
      </c>
      <c r="AQ27" s="85">
        <f t="shared" si="8"/>
        <v>0.7</v>
      </c>
      <c r="AR27" s="102" t="s">
        <v>434</v>
      </c>
    </row>
    <row r="28" spans="1:44" ht="333" customHeight="1" x14ac:dyDescent="0.25">
      <c r="A28" s="77">
        <v>25</v>
      </c>
      <c r="B28" s="78" t="s">
        <v>6</v>
      </c>
      <c r="C28" s="78" t="s">
        <v>8</v>
      </c>
      <c r="D28" s="102" t="s">
        <v>51</v>
      </c>
      <c r="E28" s="77"/>
      <c r="F28" s="79"/>
      <c r="G28" s="80"/>
      <c r="H28" s="81">
        <f t="shared" si="0"/>
        <v>0</v>
      </c>
      <c r="I28" s="82"/>
      <c r="J28" s="77"/>
      <c r="K28" s="100">
        <v>1</v>
      </c>
      <c r="L28" s="101">
        <v>0.9</v>
      </c>
      <c r="M28" s="85">
        <f t="shared" si="1"/>
        <v>0.9</v>
      </c>
      <c r="N28" s="102" t="s">
        <v>405</v>
      </c>
      <c r="O28" s="77"/>
      <c r="P28" s="100">
        <v>1</v>
      </c>
      <c r="Q28" s="101">
        <v>0.7</v>
      </c>
      <c r="R28" s="85">
        <f t="shared" si="2"/>
        <v>0.7</v>
      </c>
      <c r="S28" s="102" t="s">
        <v>420</v>
      </c>
      <c r="T28" s="77"/>
      <c r="U28" s="79"/>
      <c r="V28" s="80"/>
      <c r="W28" s="81">
        <f t="shared" si="3"/>
        <v>0</v>
      </c>
      <c r="X28" s="82"/>
      <c r="Y28" s="77"/>
      <c r="Z28" s="79"/>
      <c r="AA28" s="80"/>
      <c r="AB28" s="81">
        <f t="shared" si="4"/>
        <v>0</v>
      </c>
      <c r="AC28" s="82"/>
      <c r="AD28" s="77"/>
      <c r="AE28" s="79"/>
      <c r="AF28" s="80"/>
      <c r="AG28" s="81">
        <f t="shared" si="5"/>
        <v>0</v>
      </c>
      <c r="AH28" s="82"/>
      <c r="AI28" s="77"/>
      <c r="AJ28" s="79"/>
      <c r="AK28" s="80"/>
      <c r="AL28" s="81">
        <f t="shared" si="6"/>
        <v>0</v>
      </c>
      <c r="AM28" s="82"/>
      <c r="AN28" s="77"/>
      <c r="AO28" s="100">
        <v>1</v>
      </c>
      <c r="AP28" s="101">
        <v>0.65</v>
      </c>
      <c r="AQ28" s="85">
        <f t="shared" si="7"/>
        <v>0.65</v>
      </c>
      <c r="AR28" s="102" t="s">
        <v>1361</v>
      </c>
    </row>
    <row r="29" spans="1:44" ht="94.5" x14ac:dyDescent="0.25">
      <c r="A29" s="77">
        <v>26</v>
      </c>
      <c r="B29" s="78" t="s">
        <v>6</v>
      </c>
      <c r="C29" s="78" t="s">
        <v>8</v>
      </c>
      <c r="D29" s="102" t="s">
        <v>52</v>
      </c>
      <c r="E29" s="77"/>
      <c r="F29" s="79"/>
      <c r="G29" s="80"/>
      <c r="H29" s="81">
        <f t="shared" si="0"/>
        <v>0</v>
      </c>
      <c r="I29" s="82"/>
      <c r="J29" s="77"/>
      <c r="K29" s="100">
        <v>1</v>
      </c>
      <c r="L29" s="101">
        <v>1</v>
      </c>
      <c r="M29" s="85">
        <f t="shared" si="1"/>
        <v>1</v>
      </c>
      <c r="N29" s="102" t="s">
        <v>147</v>
      </c>
      <c r="O29" s="77"/>
      <c r="P29" s="100">
        <v>1</v>
      </c>
      <c r="Q29" s="101">
        <v>0.85</v>
      </c>
      <c r="R29" s="85">
        <f t="shared" si="2"/>
        <v>0.85</v>
      </c>
      <c r="S29" s="102" t="s">
        <v>421</v>
      </c>
      <c r="T29" s="77"/>
      <c r="U29" s="79"/>
      <c r="V29" s="80"/>
      <c r="W29" s="81">
        <f t="shared" si="3"/>
        <v>0</v>
      </c>
      <c r="X29" s="78"/>
      <c r="Y29" s="77"/>
      <c r="Z29" s="79"/>
      <c r="AA29" s="80"/>
      <c r="AB29" s="81">
        <f t="shared" si="4"/>
        <v>0</v>
      </c>
      <c r="AC29" s="78"/>
      <c r="AD29" s="77"/>
      <c r="AE29" s="79"/>
      <c r="AF29" s="80"/>
      <c r="AG29" s="81">
        <f t="shared" si="5"/>
        <v>0</v>
      </c>
      <c r="AH29" s="78"/>
      <c r="AI29" s="77"/>
      <c r="AJ29" s="79"/>
      <c r="AK29" s="80"/>
      <c r="AL29" s="81">
        <f t="shared" si="6"/>
        <v>0</v>
      </c>
      <c r="AM29" s="78"/>
      <c r="AN29" s="77"/>
      <c r="AO29" s="100">
        <v>1</v>
      </c>
      <c r="AP29" s="101">
        <v>0.85</v>
      </c>
      <c r="AQ29" s="85">
        <f t="shared" si="7"/>
        <v>0.85</v>
      </c>
      <c r="AR29" s="102" t="s">
        <v>435</v>
      </c>
    </row>
    <row r="30" spans="1:44" ht="173.25" x14ac:dyDescent="0.25">
      <c r="A30" s="77">
        <v>27</v>
      </c>
      <c r="B30" s="78" t="s">
        <v>6</v>
      </c>
      <c r="C30" s="78" t="s">
        <v>8</v>
      </c>
      <c r="D30" s="102" t="s">
        <v>53</v>
      </c>
      <c r="E30" s="77"/>
      <c r="F30" s="79"/>
      <c r="G30" s="80"/>
      <c r="H30" s="81">
        <f t="shared" si="0"/>
        <v>0</v>
      </c>
      <c r="I30" s="82"/>
      <c r="J30" s="77"/>
      <c r="K30" s="100">
        <v>1</v>
      </c>
      <c r="L30" s="107">
        <v>1</v>
      </c>
      <c r="M30" s="85">
        <f t="shared" si="1"/>
        <v>1</v>
      </c>
      <c r="N30" s="102"/>
      <c r="O30" s="77"/>
      <c r="P30" s="100">
        <v>1</v>
      </c>
      <c r="Q30" s="101">
        <v>1</v>
      </c>
      <c r="R30" s="85">
        <f t="shared" si="2"/>
        <v>1</v>
      </c>
      <c r="S30" s="102"/>
      <c r="T30" s="77"/>
      <c r="U30" s="79"/>
      <c r="V30" s="80"/>
      <c r="W30" s="81">
        <f t="shared" si="3"/>
        <v>0</v>
      </c>
      <c r="X30" s="82"/>
      <c r="Y30" s="77"/>
      <c r="Z30" s="79"/>
      <c r="AA30" s="80"/>
      <c r="AB30" s="81">
        <f t="shared" si="4"/>
        <v>0</v>
      </c>
      <c r="AC30" s="82"/>
      <c r="AD30" s="77"/>
      <c r="AE30" s="79"/>
      <c r="AF30" s="80"/>
      <c r="AG30" s="81">
        <f t="shared" si="5"/>
        <v>0</v>
      </c>
      <c r="AH30" s="82"/>
      <c r="AI30" s="77"/>
      <c r="AJ30" s="79"/>
      <c r="AK30" s="80"/>
      <c r="AL30" s="81">
        <f t="shared" si="6"/>
        <v>0</v>
      </c>
      <c r="AM30" s="82"/>
      <c r="AN30" s="77"/>
      <c r="AO30" s="100">
        <v>1</v>
      </c>
      <c r="AP30" s="101">
        <v>1</v>
      </c>
      <c r="AQ30" s="85">
        <f t="shared" si="7"/>
        <v>1</v>
      </c>
      <c r="AR30" s="102"/>
    </row>
    <row r="31" spans="1:44" ht="110.25" x14ac:dyDescent="0.25">
      <c r="A31" s="77">
        <v>28</v>
      </c>
      <c r="B31" s="78" t="s">
        <v>6</v>
      </c>
      <c r="C31" s="78" t="s">
        <v>8</v>
      </c>
      <c r="D31" s="102" t="s">
        <v>54</v>
      </c>
      <c r="E31" s="77"/>
      <c r="F31" s="79"/>
      <c r="G31" s="80"/>
      <c r="H31" s="81">
        <f t="shared" si="0"/>
        <v>0</v>
      </c>
      <c r="I31" s="82"/>
      <c r="J31" s="77"/>
      <c r="K31" s="100">
        <v>1</v>
      </c>
      <c r="L31" s="101">
        <v>1</v>
      </c>
      <c r="M31" s="85">
        <f t="shared" si="1"/>
        <v>1</v>
      </c>
      <c r="N31" s="102" t="s">
        <v>211</v>
      </c>
      <c r="O31" s="77"/>
      <c r="P31" s="100">
        <v>1</v>
      </c>
      <c r="Q31" s="101">
        <v>1</v>
      </c>
      <c r="R31" s="85">
        <f t="shared" si="2"/>
        <v>1</v>
      </c>
      <c r="S31" s="102" t="s">
        <v>422</v>
      </c>
      <c r="T31" s="77"/>
      <c r="U31" s="79"/>
      <c r="V31" s="80"/>
      <c r="W31" s="81">
        <f t="shared" si="3"/>
        <v>0</v>
      </c>
      <c r="X31" s="82"/>
      <c r="Y31" s="77"/>
      <c r="Z31" s="79"/>
      <c r="AA31" s="80"/>
      <c r="AB31" s="81">
        <f t="shared" si="4"/>
        <v>0</v>
      </c>
      <c r="AC31" s="82"/>
      <c r="AD31" s="77"/>
      <c r="AE31" s="79"/>
      <c r="AF31" s="80"/>
      <c r="AG31" s="81">
        <f t="shared" si="5"/>
        <v>0</v>
      </c>
      <c r="AH31" s="82"/>
      <c r="AI31" s="77"/>
      <c r="AJ31" s="79"/>
      <c r="AK31" s="80"/>
      <c r="AL31" s="81">
        <f t="shared" si="6"/>
        <v>0</v>
      </c>
      <c r="AM31" s="82"/>
      <c r="AN31" s="77"/>
      <c r="AO31" s="100">
        <v>1</v>
      </c>
      <c r="AP31" s="101">
        <v>1</v>
      </c>
      <c r="AQ31" s="85">
        <f t="shared" si="7"/>
        <v>1</v>
      </c>
      <c r="AR31" s="102" t="s">
        <v>436</v>
      </c>
    </row>
    <row r="32" spans="1:44" ht="110.25" x14ac:dyDescent="0.25">
      <c r="A32" s="77">
        <v>29</v>
      </c>
      <c r="B32" s="78" t="s">
        <v>6</v>
      </c>
      <c r="C32" s="78" t="s">
        <v>8</v>
      </c>
      <c r="D32" s="102" t="s">
        <v>55</v>
      </c>
      <c r="E32" s="77"/>
      <c r="F32" s="79"/>
      <c r="G32" s="80"/>
      <c r="H32" s="81">
        <f t="shared" si="0"/>
        <v>0</v>
      </c>
      <c r="I32" s="82"/>
      <c r="J32" s="77"/>
      <c r="K32" s="100">
        <v>1</v>
      </c>
      <c r="L32" s="101">
        <v>1</v>
      </c>
      <c r="M32" s="85">
        <f t="shared" si="1"/>
        <v>1</v>
      </c>
      <c r="N32" s="102" t="s">
        <v>406</v>
      </c>
      <c r="O32" s="77"/>
      <c r="P32" s="100">
        <v>1</v>
      </c>
      <c r="Q32" s="101">
        <v>1</v>
      </c>
      <c r="R32" s="85">
        <f t="shared" si="2"/>
        <v>1</v>
      </c>
      <c r="S32" s="102" t="s">
        <v>423</v>
      </c>
      <c r="T32" s="77"/>
      <c r="U32" s="79"/>
      <c r="V32" s="80"/>
      <c r="W32" s="81">
        <f t="shared" si="3"/>
        <v>0</v>
      </c>
      <c r="X32" s="82"/>
      <c r="Y32" s="77"/>
      <c r="Z32" s="79"/>
      <c r="AA32" s="80"/>
      <c r="AB32" s="81">
        <f t="shared" si="4"/>
        <v>0</v>
      </c>
      <c r="AC32" s="82"/>
      <c r="AD32" s="77"/>
      <c r="AE32" s="79"/>
      <c r="AF32" s="80"/>
      <c r="AG32" s="81">
        <f t="shared" si="5"/>
        <v>0</v>
      </c>
      <c r="AH32" s="82"/>
      <c r="AI32" s="77"/>
      <c r="AJ32" s="79"/>
      <c r="AK32" s="80"/>
      <c r="AL32" s="81">
        <f t="shared" si="6"/>
        <v>0</v>
      </c>
      <c r="AM32" s="82"/>
      <c r="AN32" s="77"/>
      <c r="AO32" s="100">
        <v>1</v>
      </c>
      <c r="AP32" s="101">
        <v>1</v>
      </c>
      <c r="AQ32" s="85">
        <f t="shared" si="7"/>
        <v>1</v>
      </c>
      <c r="AR32" s="102" t="s">
        <v>437</v>
      </c>
    </row>
    <row r="33" spans="1:44" ht="159.75" customHeight="1" x14ac:dyDescent="0.25">
      <c r="A33" s="77">
        <v>30</v>
      </c>
      <c r="B33" s="78" t="s">
        <v>6</v>
      </c>
      <c r="C33" s="78" t="s">
        <v>8</v>
      </c>
      <c r="D33" s="102" t="s">
        <v>56</v>
      </c>
      <c r="E33" s="77"/>
      <c r="F33" s="79"/>
      <c r="G33" s="80"/>
      <c r="H33" s="81">
        <f t="shared" si="0"/>
        <v>0</v>
      </c>
      <c r="I33" s="82"/>
      <c r="J33" s="77"/>
      <c r="K33" s="100">
        <v>1</v>
      </c>
      <c r="L33" s="101">
        <v>0.9</v>
      </c>
      <c r="M33" s="85">
        <f t="shared" si="1"/>
        <v>0.9</v>
      </c>
      <c r="N33" s="102" t="s">
        <v>407</v>
      </c>
      <c r="O33" s="77"/>
      <c r="P33" s="100">
        <v>1</v>
      </c>
      <c r="Q33" s="101">
        <v>0.5</v>
      </c>
      <c r="R33" s="85">
        <f t="shared" si="2"/>
        <v>0.5</v>
      </c>
      <c r="S33" s="102" t="s">
        <v>172</v>
      </c>
      <c r="T33" s="77"/>
      <c r="U33" s="79"/>
      <c r="V33" s="80"/>
      <c r="W33" s="81">
        <f t="shared" si="3"/>
        <v>0</v>
      </c>
      <c r="X33" s="82"/>
      <c r="Y33" s="77"/>
      <c r="Z33" s="79"/>
      <c r="AA33" s="80"/>
      <c r="AB33" s="81">
        <f t="shared" si="4"/>
        <v>0</v>
      </c>
      <c r="AC33" s="82"/>
      <c r="AD33" s="77"/>
      <c r="AE33" s="79"/>
      <c r="AF33" s="80"/>
      <c r="AG33" s="81">
        <f t="shared" si="5"/>
        <v>0</v>
      </c>
      <c r="AH33" s="82"/>
      <c r="AI33" s="77"/>
      <c r="AJ33" s="79"/>
      <c r="AK33" s="80"/>
      <c r="AL33" s="81">
        <f t="shared" si="6"/>
        <v>0</v>
      </c>
      <c r="AM33" s="82"/>
      <c r="AN33" s="77"/>
      <c r="AO33" s="100">
        <v>1</v>
      </c>
      <c r="AP33" s="101">
        <v>0.5</v>
      </c>
      <c r="AQ33" s="85">
        <f t="shared" si="7"/>
        <v>0.5</v>
      </c>
      <c r="AR33" s="102" t="s">
        <v>193</v>
      </c>
    </row>
    <row r="34" spans="1:44" ht="144" customHeight="1" x14ac:dyDescent="0.25">
      <c r="A34" s="77">
        <v>31</v>
      </c>
      <c r="B34" s="78" t="s">
        <v>6</v>
      </c>
      <c r="C34" s="78" t="s">
        <v>9</v>
      </c>
      <c r="D34" s="102" t="s">
        <v>57</v>
      </c>
      <c r="E34" s="77"/>
      <c r="F34" s="79"/>
      <c r="G34" s="80"/>
      <c r="H34" s="81">
        <f t="shared" si="0"/>
        <v>0</v>
      </c>
      <c r="I34" s="82"/>
      <c r="J34" s="77"/>
      <c r="K34" s="100">
        <v>1</v>
      </c>
      <c r="L34" s="101">
        <v>0.65</v>
      </c>
      <c r="M34" s="85">
        <f t="shared" si="1"/>
        <v>0.65</v>
      </c>
      <c r="N34" s="102" t="s">
        <v>408</v>
      </c>
      <c r="O34" s="77"/>
      <c r="P34" s="100">
        <v>1</v>
      </c>
      <c r="Q34" s="101">
        <v>0.3</v>
      </c>
      <c r="R34" s="85">
        <f t="shared" si="2"/>
        <v>0.3</v>
      </c>
      <c r="S34" s="102" t="s">
        <v>173</v>
      </c>
      <c r="T34" s="77"/>
      <c r="U34" s="79"/>
      <c r="V34" s="80"/>
      <c r="W34" s="81">
        <f t="shared" si="3"/>
        <v>0</v>
      </c>
      <c r="X34" s="82"/>
      <c r="Y34" s="77"/>
      <c r="Z34" s="79"/>
      <c r="AA34" s="80"/>
      <c r="AB34" s="81">
        <f t="shared" si="4"/>
        <v>0</v>
      </c>
      <c r="AC34" s="82"/>
      <c r="AD34" s="77"/>
      <c r="AE34" s="79"/>
      <c r="AF34" s="80"/>
      <c r="AG34" s="81">
        <f t="shared" si="5"/>
        <v>0</v>
      </c>
      <c r="AH34" s="82"/>
      <c r="AI34" s="77"/>
      <c r="AJ34" s="79"/>
      <c r="AK34" s="80"/>
      <c r="AL34" s="81">
        <f t="shared" si="6"/>
        <v>0</v>
      </c>
      <c r="AM34" s="82"/>
      <c r="AN34" s="77"/>
      <c r="AO34" s="100">
        <v>1</v>
      </c>
      <c r="AP34" s="101">
        <v>0.5</v>
      </c>
      <c r="AQ34" s="85">
        <f t="shared" si="7"/>
        <v>0.5</v>
      </c>
      <c r="AR34" s="102" t="s">
        <v>194</v>
      </c>
    </row>
    <row r="35" spans="1:44" ht="141.75" customHeight="1" x14ac:dyDescent="0.25">
      <c r="A35" s="77">
        <v>32</v>
      </c>
      <c r="B35" s="78" t="s">
        <v>6</v>
      </c>
      <c r="C35" s="78" t="s">
        <v>9</v>
      </c>
      <c r="D35" s="102" t="s">
        <v>58</v>
      </c>
      <c r="E35" s="77"/>
      <c r="F35" s="79"/>
      <c r="G35" s="80"/>
      <c r="H35" s="81">
        <f t="shared" si="0"/>
        <v>0</v>
      </c>
      <c r="I35" s="78"/>
      <c r="J35" s="77"/>
      <c r="K35" s="100">
        <v>1</v>
      </c>
      <c r="L35" s="101">
        <v>1</v>
      </c>
      <c r="M35" s="85">
        <f t="shared" si="1"/>
        <v>1</v>
      </c>
      <c r="N35" s="102"/>
      <c r="O35" s="77"/>
      <c r="P35" s="100">
        <v>1</v>
      </c>
      <c r="Q35" s="101">
        <v>0.7</v>
      </c>
      <c r="R35" s="85">
        <f t="shared" si="2"/>
        <v>0.7</v>
      </c>
      <c r="S35" s="102" t="s">
        <v>332</v>
      </c>
      <c r="T35" s="77"/>
      <c r="U35" s="79"/>
      <c r="V35" s="80"/>
      <c r="W35" s="81">
        <f t="shared" si="3"/>
        <v>0</v>
      </c>
      <c r="X35" s="82"/>
      <c r="Y35" s="77"/>
      <c r="Z35" s="79"/>
      <c r="AA35" s="80"/>
      <c r="AB35" s="81">
        <f t="shared" si="4"/>
        <v>0</v>
      </c>
      <c r="AC35" s="82"/>
      <c r="AD35" s="77"/>
      <c r="AE35" s="79"/>
      <c r="AF35" s="80"/>
      <c r="AG35" s="81">
        <f t="shared" si="5"/>
        <v>0</v>
      </c>
      <c r="AH35" s="82"/>
      <c r="AI35" s="77"/>
      <c r="AJ35" s="79"/>
      <c r="AK35" s="80"/>
      <c r="AL35" s="81">
        <f t="shared" si="6"/>
        <v>0</v>
      </c>
      <c r="AM35" s="82"/>
      <c r="AN35" s="77"/>
      <c r="AO35" s="100">
        <v>1</v>
      </c>
      <c r="AP35" s="101">
        <v>0.5</v>
      </c>
      <c r="AQ35" s="85">
        <f t="shared" si="7"/>
        <v>0.5</v>
      </c>
      <c r="AR35" s="102" t="s">
        <v>348</v>
      </c>
    </row>
    <row r="36" spans="1:44" ht="227.25" customHeight="1" x14ac:dyDescent="0.25">
      <c r="A36" s="77">
        <v>33</v>
      </c>
      <c r="B36" s="78" t="s">
        <v>6</v>
      </c>
      <c r="C36" s="78" t="s">
        <v>9</v>
      </c>
      <c r="D36" s="102" t="s">
        <v>59</v>
      </c>
      <c r="E36" s="77"/>
      <c r="F36" s="79"/>
      <c r="G36" s="80"/>
      <c r="H36" s="81">
        <f t="shared" si="0"/>
        <v>0</v>
      </c>
      <c r="I36" s="82"/>
      <c r="J36" s="77"/>
      <c r="K36" s="100">
        <v>1</v>
      </c>
      <c r="L36" s="101">
        <v>1</v>
      </c>
      <c r="M36" s="85">
        <f t="shared" si="1"/>
        <v>1</v>
      </c>
      <c r="N36" s="102"/>
      <c r="O36" s="77"/>
      <c r="P36" s="100">
        <v>1</v>
      </c>
      <c r="Q36" s="101">
        <v>0.4</v>
      </c>
      <c r="R36" s="85">
        <f t="shared" si="2"/>
        <v>0.4</v>
      </c>
      <c r="S36" s="102" t="s">
        <v>424</v>
      </c>
      <c r="T36" s="77"/>
      <c r="U36" s="79"/>
      <c r="V36" s="80"/>
      <c r="W36" s="81">
        <f t="shared" si="3"/>
        <v>0</v>
      </c>
      <c r="X36" s="82"/>
      <c r="Y36" s="77"/>
      <c r="Z36" s="79"/>
      <c r="AA36" s="80"/>
      <c r="AB36" s="81">
        <f t="shared" si="4"/>
        <v>0</v>
      </c>
      <c r="AC36" s="82"/>
      <c r="AD36" s="77"/>
      <c r="AE36" s="79"/>
      <c r="AF36" s="80"/>
      <c r="AG36" s="81">
        <f t="shared" si="5"/>
        <v>0</v>
      </c>
      <c r="AH36" s="82"/>
      <c r="AI36" s="77"/>
      <c r="AJ36" s="79"/>
      <c r="AK36" s="80"/>
      <c r="AL36" s="81">
        <f t="shared" si="6"/>
        <v>0</v>
      </c>
      <c r="AM36" s="82"/>
      <c r="AN36" s="77"/>
      <c r="AO36" s="100">
        <v>1</v>
      </c>
      <c r="AP36" s="101">
        <v>0.8</v>
      </c>
      <c r="AQ36" s="85">
        <f t="shared" si="7"/>
        <v>0.8</v>
      </c>
      <c r="AR36" s="102" t="s">
        <v>196</v>
      </c>
    </row>
    <row r="37" spans="1:44" ht="110.25" x14ac:dyDescent="0.25">
      <c r="A37" s="77">
        <v>34</v>
      </c>
      <c r="B37" s="78" t="s">
        <v>6</v>
      </c>
      <c r="C37" s="78" t="s">
        <v>9</v>
      </c>
      <c r="D37" s="102" t="s">
        <v>60</v>
      </c>
      <c r="E37" s="77"/>
      <c r="F37" s="79"/>
      <c r="G37" s="80"/>
      <c r="H37" s="81">
        <f t="shared" si="0"/>
        <v>0</v>
      </c>
      <c r="I37" s="82"/>
      <c r="J37" s="77"/>
      <c r="K37" s="100">
        <v>1</v>
      </c>
      <c r="L37" s="101">
        <v>1</v>
      </c>
      <c r="M37" s="85">
        <f t="shared" si="1"/>
        <v>1</v>
      </c>
      <c r="N37" s="102" t="s">
        <v>409</v>
      </c>
      <c r="O37" s="77"/>
      <c r="P37" s="100">
        <v>1</v>
      </c>
      <c r="Q37" s="101">
        <v>1</v>
      </c>
      <c r="R37" s="85">
        <f t="shared" si="2"/>
        <v>1</v>
      </c>
      <c r="S37" s="102" t="s">
        <v>176</v>
      </c>
      <c r="T37" s="77"/>
      <c r="U37" s="79"/>
      <c r="V37" s="80"/>
      <c r="W37" s="81">
        <f t="shared" si="3"/>
        <v>0</v>
      </c>
      <c r="X37" s="82"/>
      <c r="Y37" s="77"/>
      <c r="Z37" s="79"/>
      <c r="AA37" s="80"/>
      <c r="AB37" s="81">
        <f t="shared" si="4"/>
        <v>0</v>
      </c>
      <c r="AC37" s="82"/>
      <c r="AD37" s="77"/>
      <c r="AE37" s="79"/>
      <c r="AF37" s="80"/>
      <c r="AG37" s="81">
        <f t="shared" si="5"/>
        <v>0</v>
      </c>
      <c r="AH37" s="82"/>
      <c r="AI37" s="77"/>
      <c r="AJ37" s="79"/>
      <c r="AK37" s="80"/>
      <c r="AL37" s="81">
        <f t="shared" si="6"/>
        <v>0</v>
      </c>
      <c r="AM37" s="82"/>
      <c r="AN37" s="77"/>
      <c r="AO37" s="100">
        <v>0</v>
      </c>
      <c r="AP37" s="101"/>
      <c r="AQ37" s="85">
        <f t="shared" si="7"/>
        <v>0</v>
      </c>
      <c r="AR37" s="102" t="s">
        <v>297</v>
      </c>
    </row>
    <row r="38" spans="1:44" ht="292.5" customHeight="1" x14ac:dyDescent="0.25">
      <c r="A38" s="77">
        <v>35</v>
      </c>
      <c r="B38" s="78" t="s">
        <v>6</v>
      </c>
      <c r="C38" s="78" t="s">
        <v>9</v>
      </c>
      <c r="D38" s="102" t="s">
        <v>61</v>
      </c>
      <c r="E38" s="77"/>
      <c r="F38" s="79"/>
      <c r="G38" s="80"/>
      <c r="H38" s="81">
        <f t="shared" si="0"/>
        <v>0</v>
      </c>
      <c r="I38" s="82"/>
      <c r="J38" s="77"/>
      <c r="K38" s="100">
        <v>1</v>
      </c>
      <c r="L38" s="101">
        <v>0.9</v>
      </c>
      <c r="M38" s="85">
        <f t="shared" si="1"/>
        <v>0.9</v>
      </c>
      <c r="N38" s="102" t="s">
        <v>410</v>
      </c>
      <c r="O38" s="77"/>
      <c r="P38" s="100">
        <v>1</v>
      </c>
      <c r="Q38" s="101">
        <v>0.98</v>
      </c>
      <c r="R38" s="85">
        <f t="shared" si="2"/>
        <v>0.98</v>
      </c>
      <c r="S38" s="102" t="s">
        <v>234</v>
      </c>
      <c r="T38" s="77"/>
      <c r="U38" s="79"/>
      <c r="V38" s="80"/>
      <c r="W38" s="81">
        <f t="shared" si="3"/>
        <v>0</v>
      </c>
      <c r="X38" s="82"/>
      <c r="Y38" s="77"/>
      <c r="Z38" s="79"/>
      <c r="AA38" s="80"/>
      <c r="AB38" s="81">
        <f t="shared" si="4"/>
        <v>0</v>
      </c>
      <c r="AC38" s="82"/>
      <c r="AD38" s="77"/>
      <c r="AE38" s="79"/>
      <c r="AF38" s="80"/>
      <c r="AG38" s="81">
        <f t="shared" si="5"/>
        <v>0</v>
      </c>
      <c r="AH38" s="82"/>
      <c r="AI38" s="77"/>
      <c r="AJ38" s="79"/>
      <c r="AK38" s="80"/>
      <c r="AL38" s="81">
        <f t="shared" si="6"/>
        <v>0</v>
      </c>
      <c r="AM38" s="82"/>
      <c r="AN38" s="77"/>
      <c r="AO38" s="100">
        <v>1</v>
      </c>
      <c r="AP38" s="101">
        <v>0.65</v>
      </c>
      <c r="AQ38" s="85">
        <f t="shared" si="7"/>
        <v>0.65</v>
      </c>
      <c r="AR38" s="102" t="s">
        <v>438</v>
      </c>
    </row>
    <row r="39" spans="1:44" ht="331.5" customHeight="1" x14ac:dyDescent="0.25">
      <c r="A39" s="77">
        <v>36</v>
      </c>
      <c r="B39" s="78" t="s">
        <v>6</v>
      </c>
      <c r="C39" s="78" t="s">
        <v>9</v>
      </c>
      <c r="D39" s="102" t="s">
        <v>62</v>
      </c>
      <c r="E39" s="77"/>
      <c r="F39" s="79"/>
      <c r="G39" s="80"/>
      <c r="H39" s="81">
        <f t="shared" si="0"/>
        <v>0</v>
      </c>
      <c r="I39" s="82"/>
      <c r="J39" s="77"/>
      <c r="K39" s="100">
        <v>1</v>
      </c>
      <c r="L39" s="101">
        <v>0.9</v>
      </c>
      <c r="M39" s="85">
        <f t="shared" si="1"/>
        <v>0.9</v>
      </c>
      <c r="N39" s="102" t="s">
        <v>216</v>
      </c>
      <c r="O39" s="77"/>
      <c r="P39" s="100">
        <v>1</v>
      </c>
      <c r="Q39" s="101">
        <v>0.96</v>
      </c>
      <c r="R39" s="85">
        <f t="shared" si="2"/>
        <v>0.96</v>
      </c>
      <c r="S39" s="102" t="s">
        <v>177</v>
      </c>
      <c r="T39" s="77"/>
      <c r="U39" s="79"/>
      <c r="V39" s="80"/>
      <c r="W39" s="81">
        <f t="shared" si="3"/>
        <v>0</v>
      </c>
      <c r="X39" s="82"/>
      <c r="Y39" s="77"/>
      <c r="Z39" s="79"/>
      <c r="AA39" s="80"/>
      <c r="AB39" s="81">
        <f t="shared" si="4"/>
        <v>0</v>
      </c>
      <c r="AC39" s="82"/>
      <c r="AD39" s="77"/>
      <c r="AE39" s="79"/>
      <c r="AF39" s="80"/>
      <c r="AG39" s="81">
        <f t="shared" si="5"/>
        <v>0</v>
      </c>
      <c r="AH39" s="82"/>
      <c r="AI39" s="77"/>
      <c r="AJ39" s="79"/>
      <c r="AK39" s="80"/>
      <c r="AL39" s="81">
        <f t="shared" si="6"/>
        <v>0</v>
      </c>
      <c r="AM39" s="82"/>
      <c r="AN39" s="77"/>
      <c r="AO39" s="100">
        <v>1</v>
      </c>
      <c r="AP39" s="101">
        <v>0.6</v>
      </c>
      <c r="AQ39" s="85">
        <f t="shared" si="7"/>
        <v>0.6</v>
      </c>
      <c r="AR39" s="102" t="s">
        <v>439</v>
      </c>
    </row>
    <row r="40" spans="1:44" ht="127.5" customHeight="1" x14ac:dyDescent="0.25">
      <c r="A40" s="77">
        <v>37</v>
      </c>
      <c r="B40" s="78" t="s">
        <v>6</v>
      </c>
      <c r="C40" s="78" t="s">
        <v>9</v>
      </c>
      <c r="D40" s="102" t="s">
        <v>63</v>
      </c>
      <c r="E40" s="77"/>
      <c r="F40" s="79"/>
      <c r="G40" s="80"/>
      <c r="H40" s="81">
        <f t="shared" si="0"/>
        <v>0</v>
      </c>
      <c r="I40" s="82"/>
      <c r="J40" s="77"/>
      <c r="K40" s="100">
        <v>1</v>
      </c>
      <c r="L40" s="101">
        <v>0.65</v>
      </c>
      <c r="M40" s="85">
        <f t="shared" si="1"/>
        <v>0.65</v>
      </c>
      <c r="N40" s="102" t="s">
        <v>411</v>
      </c>
      <c r="O40" s="77"/>
      <c r="P40" s="100">
        <v>1</v>
      </c>
      <c r="Q40" s="101">
        <v>1</v>
      </c>
      <c r="R40" s="85">
        <f t="shared" si="2"/>
        <v>1</v>
      </c>
      <c r="S40" s="102" t="s">
        <v>285</v>
      </c>
      <c r="T40" s="77"/>
      <c r="U40" s="79"/>
      <c r="V40" s="80"/>
      <c r="W40" s="81">
        <f t="shared" si="3"/>
        <v>0</v>
      </c>
      <c r="X40" s="82"/>
      <c r="Y40" s="77"/>
      <c r="Z40" s="79"/>
      <c r="AA40" s="80"/>
      <c r="AB40" s="81">
        <f t="shared" si="4"/>
        <v>0</v>
      </c>
      <c r="AC40" s="82"/>
      <c r="AD40" s="77"/>
      <c r="AE40" s="79"/>
      <c r="AF40" s="80"/>
      <c r="AG40" s="81">
        <f t="shared" si="5"/>
        <v>0</v>
      </c>
      <c r="AH40" s="82"/>
      <c r="AI40" s="77"/>
      <c r="AJ40" s="79"/>
      <c r="AK40" s="80"/>
      <c r="AL40" s="81">
        <f t="shared" si="6"/>
        <v>0</v>
      </c>
      <c r="AM40" s="82"/>
      <c r="AN40" s="77"/>
      <c r="AO40" s="100">
        <v>1</v>
      </c>
      <c r="AP40" s="101">
        <v>0.6</v>
      </c>
      <c r="AQ40" s="85">
        <f t="shared" si="7"/>
        <v>0.6</v>
      </c>
      <c r="AR40" s="102" t="s">
        <v>199</v>
      </c>
    </row>
    <row r="41" spans="1:44" ht="78.75" x14ac:dyDescent="0.25">
      <c r="A41" s="77">
        <v>38</v>
      </c>
      <c r="B41" s="78" t="s">
        <v>10</v>
      </c>
      <c r="C41" s="78" t="s">
        <v>11</v>
      </c>
      <c r="D41" s="102" t="s">
        <v>65</v>
      </c>
      <c r="E41" s="77"/>
      <c r="F41" s="79"/>
      <c r="G41" s="80"/>
      <c r="H41" s="81">
        <f t="shared" si="0"/>
        <v>0</v>
      </c>
      <c r="I41" s="82"/>
      <c r="J41" s="77"/>
      <c r="K41" s="100">
        <v>1</v>
      </c>
      <c r="L41" s="101">
        <v>0.93</v>
      </c>
      <c r="M41" s="85">
        <f t="shared" si="1"/>
        <v>0.93</v>
      </c>
      <c r="N41" s="102" t="s">
        <v>1363</v>
      </c>
      <c r="O41" s="77"/>
      <c r="P41" s="100">
        <v>1</v>
      </c>
      <c r="Q41" s="101">
        <v>0.93</v>
      </c>
      <c r="R41" s="85">
        <f t="shared" si="2"/>
        <v>0.93</v>
      </c>
      <c r="S41" s="102" t="s">
        <v>1364</v>
      </c>
      <c r="T41" s="77"/>
      <c r="U41" s="79"/>
      <c r="V41" s="80"/>
      <c r="W41" s="81">
        <f t="shared" si="3"/>
        <v>0</v>
      </c>
      <c r="X41" s="82"/>
      <c r="Y41" s="77"/>
      <c r="Z41" s="79"/>
      <c r="AA41" s="80"/>
      <c r="AB41" s="81">
        <f t="shared" si="4"/>
        <v>0</v>
      </c>
      <c r="AC41" s="82"/>
      <c r="AD41" s="77"/>
      <c r="AE41" s="79"/>
      <c r="AF41" s="80"/>
      <c r="AG41" s="81">
        <f t="shared" si="5"/>
        <v>0</v>
      </c>
      <c r="AH41" s="82"/>
      <c r="AI41" s="77"/>
      <c r="AJ41" s="79"/>
      <c r="AK41" s="80"/>
      <c r="AL41" s="81">
        <f t="shared" si="6"/>
        <v>0</v>
      </c>
      <c r="AM41" s="82"/>
      <c r="AN41" s="77"/>
      <c r="AO41" s="100">
        <v>1</v>
      </c>
      <c r="AP41" s="101">
        <v>0.93</v>
      </c>
      <c r="AQ41" s="85">
        <f t="shared" si="7"/>
        <v>0.93</v>
      </c>
      <c r="AR41" s="102" t="s">
        <v>1365</v>
      </c>
    </row>
    <row r="42" spans="1:44" ht="105.75" customHeight="1" x14ac:dyDescent="0.25">
      <c r="A42" s="77">
        <v>39</v>
      </c>
      <c r="B42" s="78" t="s">
        <v>10</v>
      </c>
      <c r="C42" s="78" t="s">
        <v>11</v>
      </c>
      <c r="D42" s="102" t="s">
        <v>66</v>
      </c>
      <c r="E42" s="77"/>
      <c r="F42" s="79"/>
      <c r="G42" s="80"/>
      <c r="H42" s="81">
        <f t="shared" si="0"/>
        <v>0</v>
      </c>
      <c r="I42" s="82"/>
      <c r="J42" s="77"/>
      <c r="K42" s="100">
        <v>1</v>
      </c>
      <c r="L42" s="101">
        <v>1</v>
      </c>
      <c r="M42" s="85">
        <f t="shared" si="1"/>
        <v>1</v>
      </c>
      <c r="N42" s="102" t="s">
        <v>1058</v>
      </c>
      <c r="O42" s="77"/>
      <c r="P42" s="100">
        <v>1</v>
      </c>
      <c r="Q42" s="101">
        <v>1</v>
      </c>
      <c r="R42" s="85">
        <f t="shared" si="2"/>
        <v>1</v>
      </c>
      <c r="S42" s="102" t="s">
        <v>1064</v>
      </c>
      <c r="T42" s="77"/>
      <c r="U42" s="79"/>
      <c r="V42" s="80"/>
      <c r="W42" s="81">
        <f t="shared" si="3"/>
        <v>0</v>
      </c>
      <c r="X42" s="82"/>
      <c r="Y42" s="77"/>
      <c r="Z42" s="79"/>
      <c r="AA42" s="80"/>
      <c r="AB42" s="81">
        <f t="shared" si="4"/>
        <v>0</v>
      </c>
      <c r="AC42" s="82"/>
      <c r="AD42" s="77"/>
      <c r="AE42" s="79"/>
      <c r="AF42" s="80"/>
      <c r="AG42" s="81">
        <f t="shared" si="5"/>
        <v>0</v>
      </c>
      <c r="AH42" s="82"/>
      <c r="AI42" s="77"/>
      <c r="AJ42" s="79"/>
      <c r="AK42" s="80"/>
      <c r="AL42" s="81">
        <f t="shared" si="6"/>
        <v>0</v>
      </c>
      <c r="AM42" s="82"/>
      <c r="AN42" s="77"/>
      <c r="AO42" s="100">
        <v>1</v>
      </c>
      <c r="AP42" s="101">
        <v>1</v>
      </c>
      <c r="AQ42" s="85">
        <f t="shared" si="7"/>
        <v>1</v>
      </c>
      <c r="AR42" s="102" t="s">
        <v>1066</v>
      </c>
    </row>
    <row r="43" spans="1:44" ht="120.75" customHeight="1" x14ac:dyDescent="0.25">
      <c r="A43" s="77">
        <v>40</v>
      </c>
      <c r="B43" s="78" t="s">
        <v>10</v>
      </c>
      <c r="C43" s="78" t="s">
        <v>11</v>
      </c>
      <c r="D43" s="102" t="s">
        <v>67</v>
      </c>
      <c r="E43" s="77"/>
      <c r="F43" s="79"/>
      <c r="G43" s="80"/>
      <c r="H43" s="81">
        <f t="shared" si="0"/>
        <v>0</v>
      </c>
      <c r="I43" s="82"/>
      <c r="J43" s="77"/>
      <c r="K43" s="100">
        <v>1</v>
      </c>
      <c r="L43" s="101">
        <v>0.9</v>
      </c>
      <c r="M43" s="85">
        <f t="shared" si="1"/>
        <v>0.9</v>
      </c>
      <c r="N43" s="102" t="s">
        <v>1366</v>
      </c>
      <c r="O43" s="77"/>
      <c r="P43" s="100">
        <v>1</v>
      </c>
      <c r="Q43" s="101">
        <v>0.8</v>
      </c>
      <c r="R43" s="85">
        <f t="shared" si="2"/>
        <v>0.8</v>
      </c>
      <c r="S43" s="102" t="s">
        <v>1367</v>
      </c>
      <c r="T43" s="77"/>
      <c r="U43" s="79"/>
      <c r="V43" s="80"/>
      <c r="W43" s="81">
        <f t="shared" si="3"/>
        <v>0</v>
      </c>
      <c r="X43" s="82"/>
      <c r="Y43" s="77"/>
      <c r="Z43" s="79"/>
      <c r="AA43" s="80"/>
      <c r="AB43" s="81">
        <f t="shared" si="4"/>
        <v>0</v>
      </c>
      <c r="AC43" s="82"/>
      <c r="AD43" s="77"/>
      <c r="AE43" s="79"/>
      <c r="AF43" s="80"/>
      <c r="AG43" s="81">
        <f t="shared" si="5"/>
        <v>0</v>
      </c>
      <c r="AH43" s="82"/>
      <c r="AI43" s="77"/>
      <c r="AJ43" s="79"/>
      <c r="AK43" s="80"/>
      <c r="AL43" s="81">
        <f t="shared" si="6"/>
        <v>0</v>
      </c>
      <c r="AM43" s="82"/>
      <c r="AN43" s="77"/>
      <c r="AO43" s="100">
        <v>1</v>
      </c>
      <c r="AP43" s="101">
        <v>0.65</v>
      </c>
      <c r="AQ43" s="85">
        <f t="shared" si="7"/>
        <v>0.65</v>
      </c>
      <c r="AR43" s="102" t="s">
        <v>1368</v>
      </c>
    </row>
    <row r="44" spans="1:44" ht="147" customHeight="1" x14ac:dyDescent="0.25">
      <c r="A44" s="77">
        <v>41</v>
      </c>
      <c r="B44" s="78" t="s">
        <v>10</v>
      </c>
      <c r="C44" s="78" t="s">
        <v>11</v>
      </c>
      <c r="D44" s="102" t="s">
        <v>68</v>
      </c>
      <c r="E44" s="77"/>
      <c r="F44" s="79"/>
      <c r="G44" s="80"/>
      <c r="H44" s="81">
        <f t="shared" si="0"/>
        <v>0</v>
      </c>
      <c r="I44" s="82"/>
      <c r="J44" s="77"/>
      <c r="K44" s="100">
        <v>1</v>
      </c>
      <c r="L44" s="101">
        <v>1</v>
      </c>
      <c r="M44" s="85">
        <f t="shared" si="1"/>
        <v>1</v>
      </c>
      <c r="N44" s="102" t="s">
        <v>1059</v>
      </c>
      <c r="O44" s="77"/>
      <c r="P44" s="100">
        <v>1</v>
      </c>
      <c r="Q44" s="101">
        <v>0.87</v>
      </c>
      <c r="R44" s="85">
        <f t="shared" si="2"/>
        <v>0.87</v>
      </c>
      <c r="S44" s="122" t="s">
        <v>1346</v>
      </c>
      <c r="T44" s="77"/>
      <c r="U44" s="79"/>
      <c r="V44" s="80"/>
      <c r="W44" s="81">
        <f t="shared" si="3"/>
        <v>0</v>
      </c>
      <c r="X44" s="82"/>
      <c r="Y44" s="77"/>
      <c r="Z44" s="79"/>
      <c r="AA44" s="80"/>
      <c r="AB44" s="81">
        <f t="shared" si="4"/>
        <v>0</v>
      </c>
      <c r="AC44" s="82"/>
      <c r="AD44" s="77"/>
      <c r="AE44" s="79"/>
      <c r="AF44" s="80"/>
      <c r="AG44" s="81">
        <f t="shared" si="5"/>
        <v>0</v>
      </c>
      <c r="AH44" s="82"/>
      <c r="AI44" s="77"/>
      <c r="AJ44" s="79"/>
      <c r="AK44" s="80"/>
      <c r="AL44" s="81">
        <f t="shared" si="6"/>
        <v>0</v>
      </c>
      <c r="AM44" s="82"/>
      <c r="AN44" s="77"/>
      <c r="AO44" s="100">
        <v>1</v>
      </c>
      <c r="AP44" s="101">
        <v>0.87</v>
      </c>
      <c r="AQ44" s="85">
        <f t="shared" si="7"/>
        <v>0.87</v>
      </c>
      <c r="AR44" s="122" t="s">
        <v>1347</v>
      </c>
    </row>
    <row r="45" spans="1:44" ht="75.75" customHeight="1" x14ac:dyDescent="0.25">
      <c r="A45" s="77">
        <v>42</v>
      </c>
      <c r="B45" s="78" t="s">
        <v>10</v>
      </c>
      <c r="C45" s="78" t="s">
        <v>11</v>
      </c>
      <c r="D45" s="102" t="s">
        <v>69</v>
      </c>
      <c r="E45" s="77"/>
      <c r="F45" s="79"/>
      <c r="G45" s="80"/>
      <c r="H45" s="81">
        <f t="shared" si="0"/>
        <v>0</v>
      </c>
      <c r="I45" s="82"/>
      <c r="J45" s="77"/>
      <c r="K45" s="100">
        <v>1</v>
      </c>
      <c r="L45" s="101">
        <v>1</v>
      </c>
      <c r="M45" s="85">
        <f t="shared" si="1"/>
        <v>1</v>
      </c>
      <c r="N45" s="102" t="s">
        <v>1069</v>
      </c>
      <c r="O45" s="77"/>
      <c r="P45" s="100">
        <v>1</v>
      </c>
      <c r="Q45" s="101">
        <v>0.7</v>
      </c>
      <c r="R45" s="85">
        <f t="shared" si="2"/>
        <v>0.7</v>
      </c>
      <c r="S45" s="102" t="s">
        <v>1276</v>
      </c>
      <c r="T45" s="77"/>
      <c r="U45" s="79"/>
      <c r="V45" s="80"/>
      <c r="W45" s="81">
        <f t="shared" si="3"/>
        <v>0</v>
      </c>
      <c r="X45" s="82"/>
      <c r="Y45" s="77"/>
      <c r="Z45" s="79"/>
      <c r="AA45" s="80"/>
      <c r="AB45" s="81">
        <f t="shared" si="4"/>
        <v>0</v>
      </c>
      <c r="AC45" s="82"/>
      <c r="AD45" s="77"/>
      <c r="AE45" s="79"/>
      <c r="AF45" s="80"/>
      <c r="AG45" s="81">
        <f t="shared" si="5"/>
        <v>0</v>
      </c>
      <c r="AH45" s="82"/>
      <c r="AI45" s="77"/>
      <c r="AJ45" s="79"/>
      <c r="AK45" s="80"/>
      <c r="AL45" s="81">
        <f t="shared" si="6"/>
        <v>0</v>
      </c>
      <c r="AM45" s="82"/>
      <c r="AN45" s="77"/>
      <c r="AO45" s="100">
        <v>1</v>
      </c>
      <c r="AP45" s="101">
        <v>0.95</v>
      </c>
      <c r="AQ45" s="85">
        <f t="shared" si="7"/>
        <v>0.95</v>
      </c>
      <c r="AR45" s="102" t="s">
        <v>1277</v>
      </c>
    </row>
    <row r="46" spans="1:44" ht="63" x14ac:dyDescent="0.25">
      <c r="A46" s="77">
        <v>43</v>
      </c>
      <c r="B46" s="78" t="s">
        <v>10</v>
      </c>
      <c r="C46" s="78" t="s">
        <v>11</v>
      </c>
      <c r="D46" s="102" t="s">
        <v>70</v>
      </c>
      <c r="E46" s="77"/>
      <c r="F46" s="79"/>
      <c r="G46" s="80"/>
      <c r="H46" s="81">
        <f t="shared" si="0"/>
        <v>0</v>
      </c>
      <c r="I46" s="82"/>
      <c r="J46" s="77"/>
      <c r="K46" s="100">
        <v>1</v>
      </c>
      <c r="L46" s="101">
        <v>1</v>
      </c>
      <c r="M46" s="85">
        <f t="shared" si="1"/>
        <v>1</v>
      </c>
      <c r="N46" s="102" t="s">
        <v>1061</v>
      </c>
      <c r="O46" s="77"/>
      <c r="P46" s="100">
        <v>1</v>
      </c>
      <c r="Q46" s="101">
        <v>0.85</v>
      </c>
      <c r="R46" s="85">
        <f t="shared" si="2"/>
        <v>0.85</v>
      </c>
      <c r="S46" s="102" t="s">
        <v>1356</v>
      </c>
      <c r="T46" s="77"/>
      <c r="U46" s="79"/>
      <c r="V46" s="80"/>
      <c r="W46" s="81">
        <f t="shared" si="3"/>
        <v>0</v>
      </c>
      <c r="X46" s="82"/>
      <c r="Y46" s="77"/>
      <c r="Z46" s="79"/>
      <c r="AA46" s="80"/>
      <c r="AB46" s="81">
        <f t="shared" si="4"/>
        <v>0</v>
      </c>
      <c r="AC46" s="82"/>
      <c r="AD46" s="77"/>
      <c r="AE46" s="79"/>
      <c r="AF46" s="80"/>
      <c r="AG46" s="81">
        <f t="shared" si="5"/>
        <v>0</v>
      </c>
      <c r="AH46" s="82"/>
      <c r="AI46" s="77"/>
      <c r="AJ46" s="79"/>
      <c r="AK46" s="80"/>
      <c r="AL46" s="81">
        <f t="shared" si="6"/>
        <v>0</v>
      </c>
      <c r="AM46" s="82"/>
      <c r="AN46" s="77"/>
      <c r="AO46" s="100">
        <v>1</v>
      </c>
      <c r="AP46" s="101">
        <v>0.9</v>
      </c>
      <c r="AQ46" s="85">
        <f t="shared" si="7"/>
        <v>0.9</v>
      </c>
      <c r="AR46" s="102" t="s">
        <v>1357</v>
      </c>
    </row>
    <row r="47" spans="1:44" ht="63" x14ac:dyDescent="0.25">
      <c r="A47" s="77">
        <v>44</v>
      </c>
      <c r="B47" s="78" t="s">
        <v>10</v>
      </c>
      <c r="C47" s="78" t="s">
        <v>11</v>
      </c>
      <c r="D47" s="102" t="s">
        <v>12</v>
      </c>
      <c r="E47" s="77"/>
      <c r="F47" s="79"/>
      <c r="G47" s="80"/>
      <c r="H47" s="81">
        <f t="shared" si="0"/>
        <v>0</v>
      </c>
      <c r="I47" s="82"/>
      <c r="J47" s="77"/>
      <c r="K47" s="100">
        <v>1</v>
      </c>
      <c r="L47" s="101">
        <v>1</v>
      </c>
      <c r="M47" s="85">
        <f t="shared" si="1"/>
        <v>1</v>
      </c>
      <c r="N47" s="102" t="s">
        <v>1062</v>
      </c>
      <c r="O47" s="77"/>
      <c r="P47" s="100">
        <v>1</v>
      </c>
      <c r="Q47" s="101">
        <v>1</v>
      </c>
      <c r="R47" s="85">
        <f t="shared" si="2"/>
        <v>1</v>
      </c>
      <c r="S47" s="122" t="s">
        <v>1065</v>
      </c>
      <c r="T47" s="77"/>
      <c r="U47" s="79"/>
      <c r="V47" s="80"/>
      <c r="W47" s="81">
        <f t="shared" si="3"/>
        <v>0</v>
      </c>
      <c r="X47" s="82"/>
      <c r="Y47" s="77"/>
      <c r="Z47" s="79"/>
      <c r="AA47" s="80"/>
      <c r="AB47" s="81">
        <f t="shared" si="4"/>
        <v>0</v>
      </c>
      <c r="AC47" s="82"/>
      <c r="AD47" s="77"/>
      <c r="AE47" s="79"/>
      <c r="AF47" s="80"/>
      <c r="AG47" s="81">
        <f t="shared" si="5"/>
        <v>0</v>
      </c>
      <c r="AH47" s="82"/>
      <c r="AI47" s="77"/>
      <c r="AJ47" s="79"/>
      <c r="AK47" s="80"/>
      <c r="AL47" s="81">
        <f t="shared" si="6"/>
        <v>0</v>
      </c>
      <c r="AM47" s="82"/>
      <c r="AN47" s="77"/>
      <c r="AO47" s="100">
        <v>1</v>
      </c>
      <c r="AP47" s="101">
        <v>1</v>
      </c>
      <c r="AQ47" s="85">
        <f t="shared" si="7"/>
        <v>1</v>
      </c>
      <c r="AR47" s="102" t="s">
        <v>1058</v>
      </c>
    </row>
    <row r="48" spans="1:44" ht="78.75" x14ac:dyDescent="0.25">
      <c r="A48" s="77">
        <v>45</v>
      </c>
      <c r="B48" s="78" t="s">
        <v>10</v>
      </c>
      <c r="C48" s="78" t="s">
        <v>71</v>
      </c>
      <c r="D48" s="102" t="s">
        <v>72</v>
      </c>
      <c r="E48" s="77"/>
      <c r="F48" s="79"/>
      <c r="G48" s="80"/>
      <c r="H48" s="81">
        <f t="shared" si="0"/>
        <v>0</v>
      </c>
      <c r="I48" s="82"/>
      <c r="J48" s="77"/>
      <c r="K48" s="100">
        <v>1</v>
      </c>
      <c r="L48" s="101">
        <v>0.95</v>
      </c>
      <c r="M48" s="85">
        <f t="shared" si="1"/>
        <v>0.95</v>
      </c>
      <c r="N48" s="102" t="s">
        <v>1280</v>
      </c>
      <c r="O48" s="77"/>
      <c r="P48" s="100">
        <v>1</v>
      </c>
      <c r="Q48" s="101">
        <v>0.85</v>
      </c>
      <c r="R48" s="85">
        <f t="shared" si="2"/>
        <v>0.85</v>
      </c>
      <c r="S48" s="102" t="s">
        <v>1281</v>
      </c>
      <c r="T48" s="77"/>
      <c r="U48" s="79"/>
      <c r="V48" s="80"/>
      <c r="W48" s="81">
        <f t="shared" si="3"/>
        <v>0</v>
      </c>
      <c r="X48" s="82"/>
      <c r="Y48" s="77"/>
      <c r="Z48" s="79"/>
      <c r="AA48" s="80"/>
      <c r="AB48" s="81">
        <f t="shared" si="4"/>
        <v>0</v>
      </c>
      <c r="AC48" s="82"/>
      <c r="AD48" s="77"/>
      <c r="AE48" s="79"/>
      <c r="AF48" s="80"/>
      <c r="AG48" s="81">
        <f t="shared" si="5"/>
        <v>0</v>
      </c>
      <c r="AH48" s="82"/>
      <c r="AI48" s="77"/>
      <c r="AJ48" s="79"/>
      <c r="AK48" s="80"/>
      <c r="AL48" s="81">
        <f t="shared" si="6"/>
        <v>0</v>
      </c>
      <c r="AM48" s="82"/>
      <c r="AN48" s="77"/>
      <c r="AO48" s="100">
        <v>1</v>
      </c>
      <c r="AP48" s="101">
        <v>0.8</v>
      </c>
      <c r="AQ48" s="85">
        <f t="shared" si="7"/>
        <v>0.8</v>
      </c>
      <c r="AR48" s="102" t="s">
        <v>1336</v>
      </c>
    </row>
    <row r="49" spans="1:44" ht="47.25" x14ac:dyDescent="0.25">
      <c r="A49" s="77">
        <v>46</v>
      </c>
      <c r="B49" s="78" t="s">
        <v>10</v>
      </c>
      <c r="C49" s="78" t="s">
        <v>11</v>
      </c>
      <c r="D49" s="102" t="s">
        <v>13</v>
      </c>
      <c r="E49" s="77"/>
      <c r="F49" s="79"/>
      <c r="G49" s="80"/>
      <c r="H49" s="81">
        <f t="shared" si="0"/>
        <v>0</v>
      </c>
      <c r="I49" s="82"/>
      <c r="J49" s="77"/>
      <c r="K49" s="100">
        <v>1</v>
      </c>
      <c r="L49" s="101">
        <v>1</v>
      </c>
      <c r="M49" s="85">
        <f t="shared" si="1"/>
        <v>1</v>
      </c>
      <c r="N49" s="102" t="s">
        <v>1060</v>
      </c>
      <c r="O49" s="77"/>
      <c r="P49" s="100">
        <v>1</v>
      </c>
      <c r="Q49" s="101">
        <v>1</v>
      </c>
      <c r="R49" s="85">
        <f t="shared" si="2"/>
        <v>1</v>
      </c>
      <c r="S49" s="102" t="s">
        <v>1062</v>
      </c>
      <c r="T49" s="77"/>
      <c r="U49" s="79"/>
      <c r="V49" s="80"/>
      <c r="W49" s="81">
        <f t="shared" si="3"/>
        <v>0</v>
      </c>
      <c r="X49" s="82"/>
      <c r="Y49" s="77"/>
      <c r="Z49" s="79"/>
      <c r="AA49" s="80"/>
      <c r="AB49" s="81">
        <f t="shared" si="4"/>
        <v>0</v>
      </c>
      <c r="AC49" s="82"/>
      <c r="AD49" s="77"/>
      <c r="AE49" s="79"/>
      <c r="AF49" s="80"/>
      <c r="AG49" s="81">
        <f t="shared" si="5"/>
        <v>0</v>
      </c>
      <c r="AH49" s="82"/>
      <c r="AI49" s="77"/>
      <c r="AJ49" s="79"/>
      <c r="AK49" s="80"/>
      <c r="AL49" s="81">
        <f t="shared" si="6"/>
        <v>0</v>
      </c>
      <c r="AM49" s="82"/>
      <c r="AN49" s="77"/>
      <c r="AO49" s="100">
        <v>1</v>
      </c>
      <c r="AP49" s="101">
        <v>1</v>
      </c>
      <c r="AQ49" s="85">
        <f t="shared" si="7"/>
        <v>1</v>
      </c>
      <c r="AR49" s="102" t="s">
        <v>1062</v>
      </c>
    </row>
    <row r="50" spans="1:44" ht="141" customHeight="1" x14ac:dyDescent="0.25">
      <c r="A50" s="77">
        <v>47</v>
      </c>
      <c r="B50" s="78" t="s">
        <v>14</v>
      </c>
      <c r="C50" s="78" t="s">
        <v>14</v>
      </c>
      <c r="D50" s="102" t="s">
        <v>15</v>
      </c>
      <c r="E50" s="77"/>
      <c r="F50" s="79"/>
      <c r="G50" s="80"/>
      <c r="H50" s="81">
        <f t="shared" si="0"/>
        <v>0</v>
      </c>
      <c r="I50" s="82"/>
      <c r="J50" s="77"/>
      <c r="K50" s="100">
        <v>1</v>
      </c>
      <c r="L50" s="101">
        <v>1</v>
      </c>
      <c r="M50" s="85">
        <f t="shared" si="1"/>
        <v>1</v>
      </c>
      <c r="N50" s="102" t="s">
        <v>1087</v>
      </c>
      <c r="O50" s="77"/>
      <c r="P50" s="100">
        <v>1</v>
      </c>
      <c r="Q50" s="101">
        <v>0.55000000000000004</v>
      </c>
      <c r="R50" s="85">
        <f t="shared" si="2"/>
        <v>0.55000000000000004</v>
      </c>
      <c r="S50" s="102" t="s">
        <v>1296</v>
      </c>
      <c r="T50" s="77"/>
      <c r="U50" s="79"/>
      <c r="V50" s="80"/>
      <c r="W50" s="81">
        <f t="shared" si="3"/>
        <v>0</v>
      </c>
      <c r="X50" s="82"/>
      <c r="Y50" s="77"/>
      <c r="Z50" s="79"/>
      <c r="AA50" s="80"/>
      <c r="AB50" s="81">
        <f t="shared" si="4"/>
        <v>0</v>
      </c>
      <c r="AC50" s="82"/>
      <c r="AD50" s="77"/>
      <c r="AE50" s="79"/>
      <c r="AF50" s="80"/>
      <c r="AG50" s="81">
        <f t="shared" si="5"/>
        <v>0</v>
      </c>
      <c r="AH50" s="82"/>
      <c r="AI50" s="77"/>
      <c r="AJ50" s="79"/>
      <c r="AK50" s="80"/>
      <c r="AL50" s="81">
        <f t="shared" si="6"/>
        <v>0</v>
      </c>
      <c r="AM50" s="82"/>
      <c r="AN50" s="77"/>
      <c r="AO50" s="100">
        <v>1</v>
      </c>
      <c r="AP50" s="101">
        <v>1</v>
      </c>
      <c r="AQ50" s="85">
        <f t="shared" si="7"/>
        <v>1</v>
      </c>
      <c r="AR50" s="122" t="s">
        <v>1087</v>
      </c>
    </row>
    <row r="51" spans="1:44" ht="189" x14ac:dyDescent="0.25">
      <c r="A51" s="77">
        <v>48</v>
      </c>
      <c r="B51" s="78" t="s">
        <v>14</v>
      </c>
      <c r="C51" s="78" t="s">
        <v>14</v>
      </c>
      <c r="D51" s="102" t="s">
        <v>73</v>
      </c>
      <c r="E51" s="77"/>
      <c r="F51" s="79"/>
      <c r="G51" s="80"/>
      <c r="H51" s="81">
        <f t="shared" si="0"/>
        <v>0</v>
      </c>
      <c r="I51" s="82"/>
      <c r="J51" s="77"/>
      <c r="K51" s="100">
        <v>1</v>
      </c>
      <c r="L51" s="101">
        <v>0.85</v>
      </c>
      <c r="M51" s="85">
        <f t="shared" si="1"/>
        <v>0.85</v>
      </c>
      <c r="N51" s="102" t="s">
        <v>1111</v>
      </c>
      <c r="O51" s="77"/>
      <c r="P51" s="100">
        <v>1</v>
      </c>
      <c r="Q51" s="101">
        <v>0.9</v>
      </c>
      <c r="R51" s="85">
        <f t="shared" si="2"/>
        <v>0.9</v>
      </c>
      <c r="S51" s="102" t="s">
        <v>1113</v>
      </c>
      <c r="T51" s="77"/>
      <c r="U51" s="79"/>
      <c r="V51" s="80"/>
      <c r="W51" s="81">
        <f t="shared" si="3"/>
        <v>0</v>
      </c>
      <c r="X51" s="82"/>
      <c r="Y51" s="77"/>
      <c r="Z51" s="79"/>
      <c r="AA51" s="80"/>
      <c r="AB51" s="81">
        <f t="shared" si="4"/>
        <v>0</v>
      </c>
      <c r="AC51" s="82"/>
      <c r="AD51" s="77"/>
      <c r="AE51" s="79"/>
      <c r="AF51" s="80"/>
      <c r="AG51" s="81">
        <f t="shared" si="5"/>
        <v>0</v>
      </c>
      <c r="AH51" s="82"/>
      <c r="AI51" s="77"/>
      <c r="AJ51" s="79"/>
      <c r="AK51" s="80"/>
      <c r="AL51" s="81">
        <f t="shared" si="6"/>
        <v>0</v>
      </c>
      <c r="AM51" s="82"/>
      <c r="AN51" s="77"/>
      <c r="AO51" s="100">
        <v>1</v>
      </c>
      <c r="AP51" s="101">
        <v>0.4</v>
      </c>
      <c r="AQ51" s="85">
        <f t="shared" si="7"/>
        <v>0.4</v>
      </c>
      <c r="AR51" s="102" t="s">
        <v>1311</v>
      </c>
    </row>
    <row r="52" spans="1:44" ht="387" customHeight="1" x14ac:dyDescent="0.25">
      <c r="A52" s="77">
        <v>49</v>
      </c>
      <c r="B52" s="78" t="s">
        <v>14</v>
      </c>
      <c r="C52" s="78" t="s">
        <v>14</v>
      </c>
      <c r="D52" s="102" t="s">
        <v>74</v>
      </c>
      <c r="E52" s="77"/>
      <c r="F52" s="79"/>
      <c r="G52" s="80"/>
      <c r="H52" s="81">
        <f t="shared" si="0"/>
        <v>0</v>
      </c>
      <c r="I52" s="82"/>
      <c r="J52" s="77"/>
      <c r="K52" s="100">
        <v>1</v>
      </c>
      <c r="L52" s="101">
        <v>0.7</v>
      </c>
      <c r="M52" s="85">
        <f t="shared" si="1"/>
        <v>0.7</v>
      </c>
      <c r="N52" s="102" t="s">
        <v>1112</v>
      </c>
      <c r="O52" s="77"/>
      <c r="P52" s="100">
        <v>1</v>
      </c>
      <c r="Q52" s="101">
        <v>0.7</v>
      </c>
      <c r="R52" s="85">
        <f t="shared" si="2"/>
        <v>0.7</v>
      </c>
      <c r="S52" s="102" t="s">
        <v>1114</v>
      </c>
      <c r="T52" s="77"/>
      <c r="U52" s="79"/>
      <c r="V52" s="80"/>
      <c r="W52" s="81">
        <f t="shared" si="3"/>
        <v>0</v>
      </c>
      <c r="X52" s="82"/>
      <c r="Y52" s="77"/>
      <c r="Z52" s="79"/>
      <c r="AA52" s="80"/>
      <c r="AB52" s="81">
        <f t="shared" si="4"/>
        <v>0</v>
      </c>
      <c r="AC52" s="82"/>
      <c r="AD52" s="77"/>
      <c r="AE52" s="79"/>
      <c r="AF52" s="80"/>
      <c r="AG52" s="81">
        <f t="shared" si="5"/>
        <v>0</v>
      </c>
      <c r="AH52" s="82"/>
      <c r="AI52" s="77"/>
      <c r="AJ52" s="79"/>
      <c r="AK52" s="80"/>
      <c r="AL52" s="81">
        <f t="shared" si="6"/>
        <v>0</v>
      </c>
      <c r="AM52" s="82"/>
      <c r="AN52" s="77"/>
      <c r="AO52" s="100">
        <v>1</v>
      </c>
      <c r="AP52" s="101">
        <v>0.15</v>
      </c>
      <c r="AQ52" s="85">
        <f t="shared" si="7"/>
        <v>0.15</v>
      </c>
      <c r="AR52" s="102" t="s">
        <v>1362</v>
      </c>
    </row>
    <row r="53" spans="1:44" ht="138" customHeight="1" x14ac:dyDescent="0.25">
      <c r="A53" s="77">
        <v>50</v>
      </c>
      <c r="B53" s="78" t="s">
        <v>14</v>
      </c>
      <c r="C53" s="78" t="s">
        <v>14</v>
      </c>
      <c r="D53" s="102" t="s">
        <v>75</v>
      </c>
      <c r="E53" s="77"/>
      <c r="F53" s="79"/>
      <c r="G53" s="80"/>
      <c r="H53" s="81">
        <f t="shared" si="0"/>
        <v>0</v>
      </c>
      <c r="I53" s="82"/>
      <c r="J53" s="77"/>
      <c r="K53" s="100">
        <v>1</v>
      </c>
      <c r="L53" s="101">
        <v>1</v>
      </c>
      <c r="M53" s="85">
        <f t="shared" si="1"/>
        <v>1</v>
      </c>
      <c r="N53" s="102" t="s">
        <v>1087</v>
      </c>
      <c r="O53" s="77"/>
      <c r="P53" s="100">
        <v>1</v>
      </c>
      <c r="Q53" s="101">
        <v>0.7</v>
      </c>
      <c r="R53" s="85">
        <f t="shared" si="2"/>
        <v>0.7</v>
      </c>
      <c r="S53" s="102" t="s">
        <v>1086</v>
      </c>
      <c r="T53" s="77"/>
      <c r="U53" s="79"/>
      <c r="V53" s="80"/>
      <c r="W53" s="81">
        <f t="shared" si="3"/>
        <v>0</v>
      </c>
      <c r="X53" s="82"/>
      <c r="Y53" s="77"/>
      <c r="Z53" s="79"/>
      <c r="AA53" s="80"/>
      <c r="AB53" s="81">
        <f t="shared" si="4"/>
        <v>0</v>
      </c>
      <c r="AC53" s="82"/>
      <c r="AD53" s="77"/>
      <c r="AE53" s="79"/>
      <c r="AF53" s="80"/>
      <c r="AG53" s="81">
        <f t="shared" si="5"/>
        <v>0</v>
      </c>
      <c r="AH53" s="82"/>
      <c r="AI53" s="77"/>
      <c r="AJ53" s="79"/>
      <c r="AK53" s="80"/>
      <c r="AL53" s="81">
        <f t="shared" si="6"/>
        <v>0</v>
      </c>
      <c r="AM53" s="82"/>
      <c r="AN53" s="77"/>
      <c r="AO53" s="100">
        <v>1</v>
      </c>
      <c r="AP53" s="101">
        <v>0.7</v>
      </c>
      <c r="AQ53" s="85">
        <f t="shared" si="7"/>
        <v>0.7</v>
      </c>
      <c r="AR53" s="102" t="s">
        <v>1086</v>
      </c>
    </row>
    <row r="54" spans="1:44" ht="109.5" customHeight="1" x14ac:dyDescent="0.25">
      <c r="A54" s="77">
        <v>51</v>
      </c>
      <c r="B54" s="78" t="s">
        <v>14</v>
      </c>
      <c r="C54" s="78" t="s">
        <v>14</v>
      </c>
      <c r="D54" s="102" t="s">
        <v>76</v>
      </c>
      <c r="E54" s="77"/>
      <c r="F54" s="79"/>
      <c r="G54" s="80"/>
      <c r="H54" s="81">
        <f t="shared" si="0"/>
        <v>0</v>
      </c>
      <c r="I54" s="82"/>
      <c r="J54" s="77"/>
      <c r="K54" s="100">
        <v>1</v>
      </c>
      <c r="L54" s="101">
        <v>1</v>
      </c>
      <c r="M54" s="85">
        <f t="shared" si="1"/>
        <v>1</v>
      </c>
      <c r="N54" s="102" t="s">
        <v>1087</v>
      </c>
      <c r="O54" s="77"/>
      <c r="P54" s="100">
        <v>1</v>
      </c>
      <c r="Q54" s="101">
        <v>1</v>
      </c>
      <c r="R54" s="85">
        <f t="shared" si="2"/>
        <v>1</v>
      </c>
      <c r="S54" s="102" t="s">
        <v>1087</v>
      </c>
      <c r="T54" s="77"/>
      <c r="U54" s="79"/>
      <c r="V54" s="80"/>
      <c r="W54" s="81">
        <f t="shared" si="3"/>
        <v>0</v>
      </c>
      <c r="X54" s="82"/>
      <c r="Y54" s="77"/>
      <c r="Z54" s="79"/>
      <c r="AA54" s="80"/>
      <c r="AB54" s="81">
        <f t="shared" si="4"/>
        <v>0</v>
      </c>
      <c r="AC54" s="82"/>
      <c r="AD54" s="77"/>
      <c r="AE54" s="79"/>
      <c r="AF54" s="80"/>
      <c r="AG54" s="81">
        <f t="shared" si="5"/>
        <v>0</v>
      </c>
      <c r="AH54" s="82"/>
      <c r="AI54" s="77"/>
      <c r="AJ54" s="79"/>
      <c r="AK54" s="80"/>
      <c r="AL54" s="81">
        <f t="shared" si="6"/>
        <v>0</v>
      </c>
      <c r="AM54" s="82"/>
      <c r="AN54" s="77"/>
      <c r="AO54" s="100">
        <v>1</v>
      </c>
      <c r="AP54" s="101">
        <v>1</v>
      </c>
      <c r="AQ54" s="85">
        <f t="shared" si="7"/>
        <v>1</v>
      </c>
      <c r="AR54" s="102" t="s">
        <v>1087</v>
      </c>
    </row>
    <row r="55" spans="1:44" ht="110.25" x14ac:dyDescent="0.25">
      <c r="A55" s="77">
        <v>52</v>
      </c>
      <c r="B55" s="78" t="s">
        <v>14</v>
      </c>
      <c r="C55" s="78" t="s">
        <v>14</v>
      </c>
      <c r="D55" s="102" t="s">
        <v>77</v>
      </c>
      <c r="E55" s="77"/>
      <c r="F55" s="79"/>
      <c r="G55" s="80"/>
      <c r="H55" s="81">
        <f t="shared" si="0"/>
        <v>0</v>
      </c>
      <c r="I55" s="82"/>
      <c r="J55" s="77"/>
      <c r="K55" s="100">
        <v>1</v>
      </c>
      <c r="L55" s="101">
        <v>1</v>
      </c>
      <c r="M55" s="85">
        <f t="shared" si="1"/>
        <v>1</v>
      </c>
      <c r="N55" s="102" t="s">
        <v>1087</v>
      </c>
      <c r="O55" s="77"/>
      <c r="P55" s="100">
        <v>1</v>
      </c>
      <c r="Q55" s="101">
        <v>0.9</v>
      </c>
      <c r="R55" s="85">
        <f t="shared" si="2"/>
        <v>0.9</v>
      </c>
      <c r="S55" s="102" t="s">
        <v>1090</v>
      </c>
      <c r="T55" s="77"/>
      <c r="U55" s="79"/>
      <c r="V55" s="80"/>
      <c r="W55" s="81">
        <f t="shared" si="3"/>
        <v>0</v>
      </c>
      <c r="X55" s="82"/>
      <c r="Y55" s="77"/>
      <c r="Z55" s="79"/>
      <c r="AA55" s="80"/>
      <c r="AB55" s="81">
        <f t="shared" si="4"/>
        <v>0</v>
      </c>
      <c r="AC55" s="82"/>
      <c r="AD55" s="77"/>
      <c r="AE55" s="79"/>
      <c r="AF55" s="80"/>
      <c r="AG55" s="81">
        <f t="shared" si="5"/>
        <v>0</v>
      </c>
      <c r="AH55" s="82"/>
      <c r="AI55" s="77"/>
      <c r="AJ55" s="79"/>
      <c r="AK55" s="80"/>
      <c r="AL55" s="81">
        <f t="shared" si="6"/>
        <v>0</v>
      </c>
      <c r="AM55" s="82"/>
      <c r="AN55" s="77"/>
      <c r="AO55" s="100">
        <v>1</v>
      </c>
      <c r="AP55" s="101">
        <v>0.75</v>
      </c>
      <c r="AQ55" s="85">
        <f t="shared" si="7"/>
        <v>0.75</v>
      </c>
      <c r="AR55" s="102" t="s">
        <v>1092</v>
      </c>
    </row>
    <row r="56" spans="1:44" ht="79.5" customHeight="1" x14ac:dyDescent="0.25">
      <c r="A56" s="77">
        <v>53</v>
      </c>
      <c r="B56" s="78" t="s">
        <v>14</v>
      </c>
      <c r="C56" s="78" t="s">
        <v>14</v>
      </c>
      <c r="D56" s="102" t="s">
        <v>78</v>
      </c>
      <c r="E56" s="77"/>
      <c r="F56" s="79">
        <v>1</v>
      </c>
      <c r="G56" s="80"/>
      <c r="H56" s="81">
        <f t="shared" si="0"/>
        <v>0</v>
      </c>
      <c r="I56" s="82"/>
      <c r="J56" s="77"/>
      <c r="K56" s="100">
        <v>1</v>
      </c>
      <c r="L56" s="101">
        <v>1</v>
      </c>
      <c r="M56" s="85">
        <f t="shared" si="1"/>
        <v>1</v>
      </c>
      <c r="N56" s="102" t="s">
        <v>1087</v>
      </c>
      <c r="O56" s="77"/>
      <c r="P56" s="100">
        <v>1</v>
      </c>
      <c r="Q56" s="101">
        <v>0.9</v>
      </c>
      <c r="R56" s="85">
        <f t="shared" si="2"/>
        <v>0.9</v>
      </c>
      <c r="S56" s="102" t="s">
        <v>1097</v>
      </c>
      <c r="T56" s="77"/>
      <c r="U56" s="79"/>
      <c r="V56" s="80"/>
      <c r="W56" s="81">
        <f t="shared" si="3"/>
        <v>0</v>
      </c>
      <c r="X56" s="77"/>
      <c r="Y56" s="77"/>
      <c r="Z56" s="79"/>
      <c r="AA56" s="80"/>
      <c r="AB56" s="81">
        <f t="shared" si="4"/>
        <v>0</v>
      </c>
      <c r="AC56" s="77"/>
      <c r="AD56" s="77"/>
      <c r="AE56" s="79"/>
      <c r="AF56" s="80"/>
      <c r="AG56" s="81">
        <f t="shared" si="5"/>
        <v>0</v>
      </c>
      <c r="AH56" s="77"/>
      <c r="AI56" s="77"/>
      <c r="AJ56" s="79"/>
      <c r="AK56" s="80"/>
      <c r="AL56" s="81">
        <f t="shared" si="6"/>
        <v>0</v>
      </c>
      <c r="AM56" s="77"/>
      <c r="AN56" s="77"/>
      <c r="AO56" s="100">
        <v>1</v>
      </c>
      <c r="AP56" s="101">
        <v>1</v>
      </c>
      <c r="AQ56" s="85">
        <f t="shared" si="7"/>
        <v>1</v>
      </c>
      <c r="AR56" s="143" t="s">
        <v>1087</v>
      </c>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98E605E1-AA82-4E7C-8151-A15E6DEE28C1}">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556DC140-0454-4178-B895-1ECDC33C0097}">
          <x14:formula1>
            <xm:f>'C:\Users\michele.cerqueira\AppData\Local\Microsoft\Windows\INetCache\Content.Outlook\CUTOBPMD\[ESTUDOS DE MERCADO - AVALIAÇÕES FINAIS.xlsx]Parâmetros'!#REF!</xm:f>
          </x14:formula1>
          <xm:sqref>K4:K15 P4:P15 AO4:AO15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R56"/>
  <sheetViews>
    <sheetView zoomScale="60" zoomScaleNormal="60" workbookViewId="0">
      <pane xSplit="4" ySplit="3" topLeftCell="N9" activePane="bottomRight" state="frozen"/>
      <selection pane="topRight" activeCell="E1" sqref="E1"/>
      <selection pane="bottomLeft" activeCell="A4" sqref="A4"/>
      <selection pane="bottomRight" activeCell="S10" sqref="S10"/>
    </sheetView>
  </sheetViews>
  <sheetFormatPr defaultRowHeight="15" x14ac:dyDescent="0.25"/>
  <cols>
    <col min="1" max="1" width="4.28515625" style="73" customWidth="1"/>
    <col min="2" max="2" width="12.140625" style="74" customWidth="1"/>
    <col min="3" max="3" width="14.85546875" style="74" customWidth="1"/>
    <col min="4" max="4" width="56.5703125" style="74" customWidth="1"/>
    <col min="5" max="5" width="2.42578125" style="74" customWidth="1"/>
    <col min="6" max="6" width="20.140625" style="74" hidden="1" customWidth="1"/>
    <col min="7" max="7" width="14.28515625" style="74" hidden="1" customWidth="1"/>
    <col min="8" max="8" width="9.140625" style="74" hidden="1" customWidth="1"/>
    <col min="9" max="9" width="52.85546875" style="110" hidden="1" customWidth="1"/>
    <col min="10" max="10" width="1.85546875" style="74" hidden="1" customWidth="1"/>
    <col min="11" max="11" width="14.28515625" style="75" customWidth="1"/>
    <col min="12" max="12" width="14.28515625" style="75" bestFit="1" customWidth="1"/>
    <col min="13" max="13" width="9.140625" style="75" customWidth="1"/>
    <col min="14" max="14" width="115.28515625" style="74" customWidth="1"/>
    <col min="15" max="15" width="1.5703125" style="74" customWidth="1"/>
    <col min="16" max="16" width="14.42578125" style="74" customWidth="1"/>
    <col min="17" max="17" width="14.28515625" style="74" bestFit="1" customWidth="1"/>
    <col min="18" max="18" width="9.140625" style="74" customWidth="1"/>
    <col min="19" max="19" width="122.85546875" style="121" customWidth="1"/>
    <col min="20" max="20" width="2.85546875" style="74" customWidth="1"/>
    <col min="21" max="21" width="15.28515625" style="74" hidden="1" customWidth="1"/>
    <col min="22" max="22" width="15" style="74" hidden="1" customWidth="1"/>
    <col min="23" max="23" width="0" style="74" hidden="1" customWidth="1"/>
    <col min="24" max="24" width="75" style="74" hidden="1" customWidth="1"/>
    <col min="25" max="25" width="0" style="74" hidden="1" customWidth="1"/>
    <col min="26" max="26" width="16.140625" style="74" hidden="1" customWidth="1"/>
    <col min="27" max="27" width="15.28515625" style="74" hidden="1" customWidth="1"/>
    <col min="28" max="28" width="0" style="74" hidden="1" customWidth="1"/>
    <col min="29" max="29" width="70.5703125" style="74" hidden="1" customWidth="1"/>
    <col min="30" max="30" width="0" style="74" hidden="1" customWidth="1"/>
    <col min="31" max="32" width="15.42578125" style="74" hidden="1" customWidth="1"/>
    <col min="33" max="33" width="0" style="74" hidden="1" customWidth="1"/>
    <col min="34" max="34" width="72.140625" style="74" hidden="1" customWidth="1"/>
    <col min="35" max="35" width="0" style="74" hidden="1" customWidth="1"/>
    <col min="36" max="36" width="14.7109375" style="74" hidden="1" customWidth="1"/>
    <col min="37" max="37" width="14" style="74" hidden="1" customWidth="1"/>
    <col min="38" max="38" width="0" style="74" hidden="1" customWidth="1"/>
    <col min="39" max="39" width="69.42578125" style="74" hidden="1" customWidth="1"/>
    <col min="40" max="40" width="0" style="74" hidden="1" customWidth="1"/>
    <col min="41" max="41" width="15.28515625" style="75" customWidth="1"/>
    <col min="42" max="42" width="12.140625" style="75" customWidth="1"/>
    <col min="43" max="43" width="13.28515625" style="75" customWidth="1"/>
    <col min="44" max="44" width="147.85546875" style="121" customWidth="1"/>
    <col min="45" max="16384" width="9.140625" style="74"/>
  </cols>
  <sheetData>
    <row r="1" spans="1:44" x14ac:dyDescent="0.25">
      <c r="I1" s="74"/>
    </row>
    <row r="2" spans="1:44" ht="39.75" customHeight="1" x14ac:dyDescent="0.25">
      <c r="B2" s="237" t="s">
        <v>16</v>
      </c>
      <c r="C2" s="238"/>
      <c r="D2" s="239"/>
      <c r="F2" s="232" t="s">
        <v>121</v>
      </c>
      <c r="G2" s="232"/>
      <c r="H2" s="232"/>
      <c r="I2" s="232"/>
      <c r="K2" s="234" t="s">
        <v>119</v>
      </c>
      <c r="L2" s="235"/>
      <c r="M2" s="235"/>
      <c r="N2" s="236"/>
      <c r="P2" s="233" t="s">
        <v>120</v>
      </c>
      <c r="Q2" s="233"/>
      <c r="R2" s="233"/>
      <c r="S2" s="233"/>
      <c r="U2" s="232" t="s">
        <v>122</v>
      </c>
      <c r="V2" s="232"/>
      <c r="W2" s="232"/>
      <c r="X2" s="232"/>
      <c r="Z2" s="232" t="s">
        <v>123</v>
      </c>
      <c r="AA2" s="232"/>
      <c r="AB2" s="232"/>
      <c r="AC2" s="232"/>
      <c r="AE2" s="232" t="s">
        <v>124</v>
      </c>
      <c r="AF2" s="232"/>
      <c r="AG2" s="232"/>
      <c r="AH2" s="232"/>
      <c r="AJ2" s="232" t="s">
        <v>125</v>
      </c>
      <c r="AK2" s="232"/>
      <c r="AL2" s="232"/>
      <c r="AM2" s="232"/>
      <c r="AO2" s="233" t="s">
        <v>1318</v>
      </c>
      <c r="AP2" s="233"/>
      <c r="AQ2" s="233"/>
      <c r="AR2" s="233"/>
    </row>
    <row r="3" spans="1:44" ht="69.75" customHeight="1" x14ac:dyDescent="0.25">
      <c r="B3" s="66" t="s">
        <v>0</v>
      </c>
      <c r="C3" s="66" t="s">
        <v>1</v>
      </c>
      <c r="D3" s="66" t="s">
        <v>2</v>
      </c>
      <c r="F3" s="67" t="s">
        <v>17</v>
      </c>
      <c r="G3" s="67" t="s">
        <v>18</v>
      </c>
      <c r="H3" s="67" t="s">
        <v>21</v>
      </c>
      <c r="I3" s="67" t="s">
        <v>19</v>
      </c>
      <c r="K3" s="70" t="s">
        <v>17</v>
      </c>
      <c r="L3" s="70" t="s">
        <v>18</v>
      </c>
      <c r="M3" s="70" t="s">
        <v>21</v>
      </c>
      <c r="N3" s="67" t="s">
        <v>19</v>
      </c>
      <c r="P3" s="67" t="s">
        <v>17</v>
      </c>
      <c r="Q3" s="67" t="s">
        <v>18</v>
      </c>
      <c r="R3" s="67" t="s">
        <v>21</v>
      </c>
      <c r="S3" s="67" t="s">
        <v>19</v>
      </c>
      <c r="U3" s="67" t="s">
        <v>17</v>
      </c>
      <c r="V3" s="67" t="s">
        <v>18</v>
      </c>
      <c r="W3" s="67" t="s">
        <v>21</v>
      </c>
      <c r="X3" s="67" t="s">
        <v>19</v>
      </c>
      <c r="Z3" s="67" t="s">
        <v>17</v>
      </c>
      <c r="AA3" s="67" t="s">
        <v>18</v>
      </c>
      <c r="AB3" s="67" t="s">
        <v>21</v>
      </c>
      <c r="AC3" s="67" t="s">
        <v>19</v>
      </c>
      <c r="AE3" s="67" t="s">
        <v>17</v>
      </c>
      <c r="AF3" s="67" t="s">
        <v>18</v>
      </c>
      <c r="AG3" s="67" t="s">
        <v>21</v>
      </c>
      <c r="AH3" s="67" t="s">
        <v>19</v>
      </c>
      <c r="AJ3" s="67" t="s">
        <v>17</v>
      </c>
      <c r="AK3" s="67" t="s">
        <v>18</v>
      </c>
      <c r="AL3" s="67" t="s">
        <v>21</v>
      </c>
      <c r="AM3" s="67" t="s">
        <v>19</v>
      </c>
      <c r="AO3" s="70" t="s">
        <v>17</v>
      </c>
      <c r="AP3" s="70" t="s">
        <v>18</v>
      </c>
      <c r="AQ3" s="70" t="s">
        <v>21</v>
      </c>
      <c r="AR3" s="67" t="s">
        <v>19</v>
      </c>
    </row>
    <row r="4" spans="1:44" ht="186.75" customHeight="1" x14ac:dyDescent="0.25">
      <c r="A4" s="77">
        <v>1</v>
      </c>
      <c r="B4" s="78" t="s">
        <v>3</v>
      </c>
      <c r="C4" s="78" t="s">
        <v>4</v>
      </c>
      <c r="D4" s="78" t="s">
        <v>127</v>
      </c>
      <c r="E4" s="77"/>
      <c r="F4" s="79"/>
      <c r="G4" s="80"/>
      <c r="H4" s="81">
        <f>F4*G4</f>
        <v>0</v>
      </c>
      <c r="I4" s="82"/>
      <c r="J4" s="77"/>
      <c r="K4" s="83">
        <v>1</v>
      </c>
      <c r="L4" s="84">
        <v>1</v>
      </c>
      <c r="M4" s="85">
        <f>K4*L4</f>
        <v>1</v>
      </c>
      <c r="N4" s="86"/>
      <c r="O4" s="77"/>
      <c r="P4" s="83">
        <v>1</v>
      </c>
      <c r="Q4" s="84">
        <v>0.8</v>
      </c>
      <c r="R4" s="85">
        <f>P4*Q4</f>
        <v>0.8</v>
      </c>
      <c r="S4" s="87" t="s">
        <v>1283</v>
      </c>
      <c r="T4" s="77"/>
      <c r="U4" s="79"/>
      <c r="V4" s="80"/>
      <c r="W4" s="81">
        <f>U4*V4</f>
        <v>0</v>
      </c>
      <c r="X4" s="82"/>
      <c r="Y4" s="77"/>
      <c r="Z4" s="79"/>
      <c r="AA4" s="80"/>
      <c r="AB4" s="81">
        <f>Z4*AA4</f>
        <v>0</v>
      </c>
      <c r="AC4" s="82"/>
      <c r="AD4" s="77"/>
      <c r="AE4" s="79"/>
      <c r="AF4" s="80"/>
      <c r="AG4" s="81">
        <f>AE4*AF4</f>
        <v>0</v>
      </c>
      <c r="AH4" s="82"/>
      <c r="AI4" s="77"/>
      <c r="AJ4" s="79"/>
      <c r="AK4" s="80"/>
      <c r="AL4" s="81">
        <f>AJ4*AK4</f>
        <v>0</v>
      </c>
      <c r="AM4" s="82"/>
      <c r="AN4" s="77"/>
      <c r="AO4" s="83">
        <v>1</v>
      </c>
      <c r="AP4" s="118">
        <v>0.4</v>
      </c>
      <c r="AQ4" s="85">
        <f>AO4*AP4</f>
        <v>0.4</v>
      </c>
      <c r="AR4" s="87" t="s">
        <v>1188</v>
      </c>
    </row>
    <row r="5" spans="1:44" ht="217.5" customHeight="1" x14ac:dyDescent="0.25">
      <c r="A5" s="77">
        <v>2</v>
      </c>
      <c r="B5" s="78" t="s">
        <v>3</v>
      </c>
      <c r="C5" s="78" t="s">
        <v>4</v>
      </c>
      <c r="D5" s="78" t="s">
        <v>33</v>
      </c>
      <c r="E5" s="77"/>
      <c r="F5" s="79"/>
      <c r="G5" s="80"/>
      <c r="H5" s="81">
        <f t="shared" ref="H5:H56" si="0">F5*G5</f>
        <v>0</v>
      </c>
      <c r="I5" s="82"/>
      <c r="J5" s="77"/>
      <c r="K5" s="126">
        <v>1</v>
      </c>
      <c r="L5" s="127">
        <v>1</v>
      </c>
      <c r="M5" s="85">
        <f t="shared" ref="M5:M56" si="1">K5*L5</f>
        <v>1</v>
      </c>
      <c r="N5" s="128"/>
      <c r="O5" s="77"/>
      <c r="P5" s="126">
        <v>1</v>
      </c>
      <c r="Q5" s="127">
        <v>0.75</v>
      </c>
      <c r="R5" s="85">
        <f t="shared" ref="R5:R56" si="2">P5*Q5</f>
        <v>0.75</v>
      </c>
      <c r="S5" s="144" t="s">
        <v>1284</v>
      </c>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79"/>
      <c r="AK5" s="80"/>
      <c r="AL5" s="81">
        <f t="shared" ref="AL5:AL56" si="6">AJ5*AK5</f>
        <v>0</v>
      </c>
      <c r="AM5" s="82"/>
      <c r="AN5" s="77"/>
      <c r="AO5" s="126">
        <v>1</v>
      </c>
      <c r="AP5" s="129">
        <v>0.1</v>
      </c>
      <c r="AQ5" s="85">
        <f t="shared" ref="AQ5:AQ56" si="7">AO5*AP5</f>
        <v>0.1</v>
      </c>
      <c r="AR5" s="144" t="s">
        <v>1230</v>
      </c>
    </row>
    <row r="6" spans="1:44" ht="343.5" customHeight="1" x14ac:dyDescent="0.25">
      <c r="A6" s="77">
        <v>3</v>
      </c>
      <c r="B6" s="78" t="s">
        <v>3</v>
      </c>
      <c r="C6" s="78" t="s">
        <v>4</v>
      </c>
      <c r="D6" s="78" t="s">
        <v>128</v>
      </c>
      <c r="E6" s="77"/>
      <c r="F6" s="79"/>
      <c r="G6" s="80"/>
      <c r="H6" s="81">
        <f t="shared" si="0"/>
        <v>0</v>
      </c>
      <c r="I6" s="82"/>
      <c r="J6" s="77"/>
      <c r="K6" s="83">
        <v>1</v>
      </c>
      <c r="L6" s="84">
        <v>1</v>
      </c>
      <c r="M6" s="85">
        <f t="shared" si="1"/>
        <v>1</v>
      </c>
      <c r="N6" s="86"/>
      <c r="O6" s="77"/>
      <c r="P6" s="83">
        <v>1</v>
      </c>
      <c r="Q6" s="84">
        <v>0.95</v>
      </c>
      <c r="R6" s="85">
        <f t="shared" si="2"/>
        <v>0.95</v>
      </c>
      <c r="S6" s="87" t="s">
        <v>1200</v>
      </c>
      <c r="T6" s="77"/>
      <c r="U6" s="79"/>
      <c r="V6" s="80"/>
      <c r="W6" s="81">
        <f t="shared" si="3"/>
        <v>0</v>
      </c>
      <c r="X6" s="82"/>
      <c r="Y6" s="77"/>
      <c r="Z6" s="79"/>
      <c r="AA6" s="80"/>
      <c r="AB6" s="81">
        <f t="shared" si="4"/>
        <v>0</v>
      </c>
      <c r="AC6" s="82"/>
      <c r="AD6" s="77"/>
      <c r="AE6" s="79"/>
      <c r="AF6" s="80"/>
      <c r="AG6" s="81">
        <f t="shared" si="5"/>
        <v>0</v>
      </c>
      <c r="AH6" s="82"/>
      <c r="AI6" s="77"/>
      <c r="AJ6" s="79"/>
      <c r="AK6" s="80"/>
      <c r="AL6" s="81">
        <f t="shared" si="6"/>
        <v>0</v>
      </c>
      <c r="AM6" s="82"/>
      <c r="AN6" s="77"/>
      <c r="AO6" s="83">
        <v>1</v>
      </c>
      <c r="AP6" s="118">
        <v>0.3</v>
      </c>
      <c r="AQ6" s="85">
        <f t="shared" si="7"/>
        <v>0.3</v>
      </c>
      <c r="AR6" s="102" t="s">
        <v>1596</v>
      </c>
    </row>
    <row r="7" spans="1:44" ht="204.75" x14ac:dyDescent="0.25">
      <c r="A7" s="77">
        <v>4</v>
      </c>
      <c r="B7" s="78" t="s">
        <v>3</v>
      </c>
      <c r="C7" s="78" t="s">
        <v>4</v>
      </c>
      <c r="D7" s="78" t="s">
        <v>34</v>
      </c>
      <c r="E7" s="77"/>
      <c r="F7" s="79"/>
      <c r="G7" s="80"/>
      <c r="H7" s="81">
        <f t="shared" si="0"/>
        <v>0</v>
      </c>
      <c r="I7" s="82"/>
      <c r="J7" s="77"/>
      <c r="K7" s="126">
        <v>1</v>
      </c>
      <c r="L7" s="127">
        <v>0.89500000000000002</v>
      </c>
      <c r="M7" s="85">
        <f t="shared" si="1"/>
        <v>0.89500000000000002</v>
      </c>
      <c r="N7" s="128" t="s">
        <v>1375</v>
      </c>
      <c r="O7" s="77"/>
      <c r="P7" s="126">
        <v>1</v>
      </c>
      <c r="Q7" s="127">
        <v>0.98</v>
      </c>
      <c r="R7" s="85">
        <f t="shared" si="2"/>
        <v>0.98</v>
      </c>
      <c r="S7" s="144" t="s">
        <v>1229</v>
      </c>
      <c r="T7" s="77"/>
      <c r="U7" s="79"/>
      <c r="V7" s="80"/>
      <c r="W7" s="81">
        <f t="shared" si="3"/>
        <v>0</v>
      </c>
      <c r="X7" s="82"/>
      <c r="Y7" s="77"/>
      <c r="Z7" s="79"/>
      <c r="AA7" s="80"/>
      <c r="AB7" s="81">
        <f t="shared" si="4"/>
        <v>0</v>
      </c>
      <c r="AC7" s="82"/>
      <c r="AD7" s="77"/>
      <c r="AE7" s="79"/>
      <c r="AF7" s="80"/>
      <c r="AG7" s="81">
        <f t="shared" si="5"/>
        <v>0</v>
      </c>
      <c r="AH7" s="82"/>
      <c r="AI7" s="77"/>
      <c r="AJ7" s="79"/>
      <c r="AK7" s="80"/>
      <c r="AL7" s="81">
        <f t="shared" si="6"/>
        <v>0</v>
      </c>
      <c r="AM7" s="82"/>
      <c r="AN7" s="77"/>
      <c r="AO7" s="126">
        <v>1</v>
      </c>
      <c r="AP7" s="129">
        <v>0.25</v>
      </c>
      <c r="AQ7" s="85">
        <f t="shared" si="7"/>
        <v>0.25</v>
      </c>
      <c r="AR7" s="144" t="s">
        <v>1609</v>
      </c>
    </row>
    <row r="8" spans="1:44" ht="168" customHeight="1" x14ac:dyDescent="0.25">
      <c r="A8" s="77">
        <v>5</v>
      </c>
      <c r="B8" s="78" t="s">
        <v>3</v>
      </c>
      <c r="C8" s="78" t="s">
        <v>4</v>
      </c>
      <c r="D8" s="78" t="s">
        <v>35</v>
      </c>
      <c r="E8" s="77"/>
      <c r="F8" s="79"/>
      <c r="G8" s="80"/>
      <c r="H8" s="81">
        <f t="shared" si="0"/>
        <v>0</v>
      </c>
      <c r="I8" s="82"/>
      <c r="J8" s="77"/>
      <c r="K8" s="83">
        <v>1</v>
      </c>
      <c r="L8" s="84">
        <v>0.7</v>
      </c>
      <c r="M8" s="85">
        <f t="shared" si="1"/>
        <v>0.7</v>
      </c>
      <c r="N8" s="86" t="s">
        <v>1180</v>
      </c>
      <c r="O8" s="77"/>
      <c r="P8" s="83">
        <v>1</v>
      </c>
      <c r="Q8" s="84">
        <v>0.8</v>
      </c>
      <c r="R8" s="85">
        <f t="shared" si="2"/>
        <v>0.8</v>
      </c>
      <c r="S8" s="87" t="s">
        <v>1287</v>
      </c>
      <c r="T8" s="77"/>
      <c r="U8" s="79"/>
      <c r="V8" s="80"/>
      <c r="W8" s="81">
        <f t="shared" si="3"/>
        <v>0</v>
      </c>
      <c r="X8" s="78"/>
      <c r="Y8" s="77"/>
      <c r="Z8" s="79"/>
      <c r="AA8" s="80"/>
      <c r="AB8" s="81">
        <f t="shared" si="4"/>
        <v>0</v>
      </c>
      <c r="AC8" s="78"/>
      <c r="AD8" s="77"/>
      <c r="AE8" s="79"/>
      <c r="AF8" s="80"/>
      <c r="AG8" s="81">
        <f t="shared" si="5"/>
        <v>0</v>
      </c>
      <c r="AH8" s="78"/>
      <c r="AI8" s="77"/>
      <c r="AJ8" s="79"/>
      <c r="AK8" s="80"/>
      <c r="AL8" s="81">
        <f t="shared" si="6"/>
        <v>0</v>
      </c>
      <c r="AM8" s="78"/>
      <c r="AN8" s="77"/>
      <c r="AO8" s="83">
        <v>1</v>
      </c>
      <c r="AP8" s="118">
        <v>0.3</v>
      </c>
      <c r="AQ8" s="85">
        <f t="shared" si="7"/>
        <v>0.3</v>
      </c>
      <c r="AR8" s="87" t="s">
        <v>1190</v>
      </c>
    </row>
    <row r="9" spans="1:44" ht="294" customHeight="1" x14ac:dyDescent="0.25">
      <c r="A9" s="77">
        <v>6</v>
      </c>
      <c r="B9" s="78" t="s">
        <v>3</v>
      </c>
      <c r="C9" s="78" t="s">
        <v>4</v>
      </c>
      <c r="D9" s="78" t="s">
        <v>129</v>
      </c>
      <c r="E9" s="77"/>
      <c r="F9" s="79"/>
      <c r="G9" s="80"/>
      <c r="H9" s="81">
        <f t="shared" si="0"/>
        <v>0</v>
      </c>
      <c r="I9" s="78"/>
      <c r="J9" s="77"/>
      <c r="K9" s="126">
        <v>1</v>
      </c>
      <c r="L9" s="127">
        <v>0.79</v>
      </c>
      <c r="M9" s="85">
        <f t="shared" si="1"/>
        <v>0.79</v>
      </c>
      <c r="N9" s="128" t="s">
        <v>1623</v>
      </c>
      <c r="O9" s="77"/>
      <c r="P9" s="126">
        <v>1</v>
      </c>
      <c r="Q9" s="127">
        <v>0.95</v>
      </c>
      <c r="R9" s="85">
        <f t="shared" si="2"/>
        <v>0.95</v>
      </c>
      <c r="S9" s="144" t="s">
        <v>1633</v>
      </c>
      <c r="T9" s="77"/>
      <c r="U9" s="79"/>
      <c r="V9" s="80"/>
      <c r="W9" s="81">
        <f t="shared" si="3"/>
        <v>0</v>
      </c>
      <c r="X9" s="78"/>
      <c r="Y9" s="77"/>
      <c r="Z9" s="79"/>
      <c r="AA9" s="80"/>
      <c r="AB9" s="81">
        <f t="shared" si="4"/>
        <v>0</v>
      </c>
      <c r="AC9" s="78"/>
      <c r="AD9" s="77"/>
      <c r="AE9" s="79"/>
      <c r="AF9" s="80"/>
      <c r="AG9" s="81">
        <f t="shared" si="5"/>
        <v>0</v>
      </c>
      <c r="AH9" s="78"/>
      <c r="AI9" s="77"/>
      <c r="AJ9" s="79"/>
      <c r="AK9" s="80"/>
      <c r="AL9" s="81">
        <f t="shared" si="6"/>
        <v>0</v>
      </c>
      <c r="AM9" s="78"/>
      <c r="AN9" s="77"/>
      <c r="AO9" s="126">
        <v>1</v>
      </c>
      <c r="AP9" s="129">
        <v>0.2</v>
      </c>
      <c r="AQ9" s="85">
        <f t="shared" si="7"/>
        <v>0.2</v>
      </c>
      <c r="AR9" s="144" t="s">
        <v>1613</v>
      </c>
    </row>
    <row r="10" spans="1:44" ht="147.75" customHeight="1" x14ac:dyDescent="0.25">
      <c r="A10" s="77">
        <v>7</v>
      </c>
      <c r="B10" s="78" t="s">
        <v>3</v>
      </c>
      <c r="C10" s="78" t="s">
        <v>4</v>
      </c>
      <c r="D10" s="78" t="s">
        <v>36</v>
      </c>
      <c r="E10" s="77"/>
      <c r="F10" s="79"/>
      <c r="G10" s="80"/>
      <c r="H10" s="81">
        <f t="shared" si="0"/>
        <v>0</v>
      </c>
      <c r="I10" s="82"/>
      <c r="J10" s="77"/>
      <c r="K10" s="83">
        <v>1</v>
      </c>
      <c r="L10" s="84">
        <v>0.75</v>
      </c>
      <c r="M10" s="85">
        <f t="shared" si="1"/>
        <v>0.75</v>
      </c>
      <c r="N10" s="86" t="s">
        <v>1181</v>
      </c>
      <c r="O10" s="77"/>
      <c r="P10" s="83">
        <v>1</v>
      </c>
      <c r="Q10" s="84">
        <v>0.7</v>
      </c>
      <c r="R10" s="85">
        <f t="shared" si="2"/>
        <v>0.7</v>
      </c>
      <c r="S10" s="87" t="s">
        <v>1184</v>
      </c>
      <c r="T10" s="77"/>
      <c r="U10" s="79"/>
      <c r="V10" s="80"/>
      <c r="W10" s="81">
        <f t="shared" si="3"/>
        <v>0</v>
      </c>
      <c r="X10" s="82"/>
      <c r="Y10" s="77"/>
      <c r="Z10" s="79"/>
      <c r="AA10" s="80"/>
      <c r="AB10" s="81">
        <f t="shared" si="4"/>
        <v>0</v>
      </c>
      <c r="AC10" s="82"/>
      <c r="AD10" s="77"/>
      <c r="AE10" s="79"/>
      <c r="AF10" s="80"/>
      <c r="AG10" s="81">
        <f t="shared" si="5"/>
        <v>0</v>
      </c>
      <c r="AH10" s="82"/>
      <c r="AI10" s="77"/>
      <c r="AJ10" s="79"/>
      <c r="AK10" s="80"/>
      <c r="AL10" s="81">
        <f t="shared" si="6"/>
        <v>0</v>
      </c>
      <c r="AM10" s="82"/>
      <c r="AN10" s="77"/>
      <c r="AO10" s="83">
        <v>1</v>
      </c>
      <c r="AP10" s="118">
        <v>0.2</v>
      </c>
      <c r="AQ10" s="85">
        <f t="shared" si="7"/>
        <v>0.2</v>
      </c>
      <c r="AR10" s="87" t="s">
        <v>1191</v>
      </c>
    </row>
    <row r="11" spans="1:44" ht="121.5" customHeight="1" x14ac:dyDescent="0.25">
      <c r="A11" s="77">
        <v>8</v>
      </c>
      <c r="B11" s="78" t="s">
        <v>3</v>
      </c>
      <c r="C11" s="78" t="s">
        <v>4</v>
      </c>
      <c r="D11" s="78" t="s">
        <v>64</v>
      </c>
      <c r="E11" s="77"/>
      <c r="F11" s="79"/>
      <c r="G11" s="80"/>
      <c r="H11" s="81">
        <f t="shared" si="0"/>
        <v>0</v>
      </c>
      <c r="I11" s="78"/>
      <c r="J11" s="77"/>
      <c r="K11" s="126">
        <v>1</v>
      </c>
      <c r="L11" s="127">
        <v>1</v>
      </c>
      <c r="M11" s="85">
        <f t="shared" si="1"/>
        <v>1</v>
      </c>
      <c r="N11" s="128"/>
      <c r="O11" s="77"/>
      <c r="P11" s="126">
        <v>1</v>
      </c>
      <c r="Q11" s="127">
        <v>0.9</v>
      </c>
      <c r="R11" s="85">
        <f t="shared" si="2"/>
        <v>0.9</v>
      </c>
      <c r="S11" s="144" t="s">
        <v>1185</v>
      </c>
      <c r="T11" s="77"/>
      <c r="U11" s="79"/>
      <c r="V11" s="80"/>
      <c r="W11" s="81">
        <f t="shared" si="3"/>
        <v>0</v>
      </c>
      <c r="X11" s="82"/>
      <c r="Y11" s="77"/>
      <c r="Z11" s="79"/>
      <c r="AA11" s="80"/>
      <c r="AB11" s="81">
        <f t="shared" si="4"/>
        <v>0</v>
      </c>
      <c r="AC11" s="82"/>
      <c r="AD11" s="77"/>
      <c r="AE11" s="79"/>
      <c r="AF11" s="80"/>
      <c r="AG11" s="81">
        <f t="shared" si="5"/>
        <v>0</v>
      </c>
      <c r="AH11" s="82"/>
      <c r="AI11" s="77"/>
      <c r="AJ11" s="79"/>
      <c r="AK11" s="80"/>
      <c r="AL11" s="81">
        <f t="shared" si="6"/>
        <v>0</v>
      </c>
      <c r="AM11" s="82"/>
      <c r="AN11" s="77"/>
      <c r="AO11" s="126">
        <v>1</v>
      </c>
      <c r="AP11" s="129">
        <v>0.15</v>
      </c>
      <c r="AQ11" s="85">
        <f t="shared" si="7"/>
        <v>0.15</v>
      </c>
      <c r="AR11" s="144" t="s">
        <v>1192</v>
      </c>
    </row>
    <row r="12" spans="1:44" ht="84" customHeight="1" x14ac:dyDescent="0.25">
      <c r="A12" s="77">
        <v>9</v>
      </c>
      <c r="B12" s="78" t="s">
        <v>3</v>
      </c>
      <c r="C12" s="78" t="s">
        <v>5</v>
      </c>
      <c r="D12" s="78" t="s">
        <v>37</v>
      </c>
      <c r="E12" s="77"/>
      <c r="F12" s="79"/>
      <c r="G12" s="80"/>
      <c r="H12" s="81">
        <f t="shared" si="0"/>
        <v>0</v>
      </c>
      <c r="I12" s="82"/>
      <c r="J12" s="77"/>
      <c r="K12" s="83">
        <v>1</v>
      </c>
      <c r="L12" s="99">
        <v>0.6</v>
      </c>
      <c r="M12" s="85">
        <f t="shared" si="1"/>
        <v>0.6</v>
      </c>
      <c r="N12" s="86" t="s">
        <v>1198</v>
      </c>
      <c r="O12" s="77"/>
      <c r="P12" s="83">
        <v>1</v>
      </c>
      <c r="Q12" s="84">
        <v>1</v>
      </c>
      <c r="R12" s="85">
        <f t="shared" si="2"/>
        <v>1</v>
      </c>
      <c r="S12" s="87"/>
      <c r="T12" s="77"/>
      <c r="U12" s="79"/>
      <c r="V12" s="80"/>
      <c r="W12" s="81">
        <f t="shared" si="3"/>
        <v>0</v>
      </c>
      <c r="X12" s="82"/>
      <c r="Y12" s="77"/>
      <c r="Z12" s="79"/>
      <c r="AA12" s="80"/>
      <c r="AB12" s="81">
        <f t="shared" si="4"/>
        <v>0</v>
      </c>
      <c r="AC12" s="82"/>
      <c r="AD12" s="77"/>
      <c r="AE12" s="79"/>
      <c r="AF12" s="80"/>
      <c r="AG12" s="81">
        <f t="shared" si="5"/>
        <v>0</v>
      </c>
      <c r="AH12" s="82"/>
      <c r="AI12" s="77"/>
      <c r="AJ12" s="79"/>
      <c r="AK12" s="80"/>
      <c r="AL12" s="81">
        <f t="shared" si="6"/>
        <v>0</v>
      </c>
      <c r="AM12" s="82"/>
      <c r="AN12" s="77"/>
      <c r="AO12" s="83">
        <v>1</v>
      </c>
      <c r="AP12" s="118">
        <v>0.3</v>
      </c>
      <c r="AQ12" s="85">
        <f t="shared" si="7"/>
        <v>0.3</v>
      </c>
      <c r="AR12" s="87" t="s">
        <v>1227</v>
      </c>
    </row>
    <row r="13" spans="1:44" ht="120" customHeight="1" x14ac:dyDescent="0.25">
      <c r="A13" s="77">
        <v>10</v>
      </c>
      <c r="B13" s="78" t="s">
        <v>3</v>
      </c>
      <c r="C13" s="78" t="s">
        <v>5</v>
      </c>
      <c r="D13" s="78" t="s">
        <v>38</v>
      </c>
      <c r="E13" s="77"/>
      <c r="F13" s="79"/>
      <c r="G13" s="80"/>
      <c r="H13" s="81">
        <f t="shared" si="0"/>
        <v>0</v>
      </c>
      <c r="I13" s="82"/>
      <c r="J13" s="77"/>
      <c r="K13" s="126">
        <v>1</v>
      </c>
      <c r="L13" s="127">
        <v>0.6</v>
      </c>
      <c r="M13" s="85">
        <f t="shared" si="1"/>
        <v>0.6</v>
      </c>
      <c r="N13" s="128" t="s">
        <v>1198</v>
      </c>
      <c r="O13" s="77"/>
      <c r="P13" s="126">
        <v>1</v>
      </c>
      <c r="Q13" s="127">
        <v>1</v>
      </c>
      <c r="R13" s="85">
        <f t="shared" si="2"/>
        <v>1</v>
      </c>
      <c r="S13" s="144"/>
      <c r="T13" s="77"/>
      <c r="U13" s="79"/>
      <c r="V13" s="80"/>
      <c r="W13" s="81">
        <f t="shared" si="3"/>
        <v>0</v>
      </c>
      <c r="X13" s="82"/>
      <c r="Y13" s="77"/>
      <c r="Z13" s="79"/>
      <c r="AA13" s="80"/>
      <c r="AB13" s="81">
        <f t="shared" si="4"/>
        <v>0</v>
      </c>
      <c r="AC13" s="82"/>
      <c r="AD13" s="77"/>
      <c r="AE13" s="79"/>
      <c r="AF13" s="80"/>
      <c r="AG13" s="81">
        <f t="shared" si="5"/>
        <v>0</v>
      </c>
      <c r="AH13" s="82"/>
      <c r="AI13" s="77"/>
      <c r="AJ13" s="79"/>
      <c r="AK13" s="80"/>
      <c r="AL13" s="81">
        <f t="shared" si="6"/>
        <v>0</v>
      </c>
      <c r="AM13" s="82"/>
      <c r="AN13" s="77"/>
      <c r="AO13" s="126">
        <v>1</v>
      </c>
      <c r="AP13" s="129">
        <v>0.05</v>
      </c>
      <c r="AQ13" s="85">
        <f t="shared" si="7"/>
        <v>0.05</v>
      </c>
      <c r="AR13" s="144" t="s">
        <v>1228</v>
      </c>
    </row>
    <row r="14" spans="1:44" ht="94.5" customHeight="1" x14ac:dyDescent="0.25">
      <c r="A14" s="77">
        <v>11</v>
      </c>
      <c r="B14" s="78" t="s">
        <v>3</v>
      </c>
      <c r="C14" s="78" t="s">
        <v>31</v>
      </c>
      <c r="D14" s="78" t="s">
        <v>39</v>
      </c>
      <c r="E14" s="77"/>
      <c r="F14" s="79"/>
      <c r="G14" s="80"/>
      <c r="H14" s="81">
        <f t="shared" si="0"/>
        <v>0</v>
      </c>
      <c r="I14" s="82"/>
      <c r="J14" s="77"/>
      <c r="K14" s="83">
        <v>1</v>
      </c>
      <c r="L14" s="84">
        <v>0.85</v>
      </c>
      <c r="M14" s="85">
        <f t="shared" si="1"/>
        <v>0.85</v>
      </c>
      <c r="N14" s="86" t="s">
        <v>1199</v>
      </c>
      <c r="O14" s="77"/>
      <c r="P14" s="83">
        <v>1</v>
      </c>
      <c r="Q14" s="84">
        <v>1</v>
      </c>
      <c r="R14" s="85">
        <f t="shared" si="2"/>
        <v>1</v>
      </c>
      <c r="S14" s="87"/>
      <c r="T14" s="77"/>
      <c r="U14" s="79"/>
      <c r="V14" s="80"/>
      <c r="W14" s="81">
        <f t="shared" si="3"/>
        <v>0</v>
      </c>
      <c r="X14" s="82"/>
      <c r="Y14" s="77"/>
      <c r="Z14" s="79"/>
      <c r="AA14" s="80"/>
      <c r="AB14" s="81">
        <f t="shared" si="4"/>
        <v>0</v>
      </c>
      <c r="AC14" s="82"/>
      <c r="AD14" s="77"/>
      <c r="AE14" s="79"/>
      <c r="AF14" s="80"/>
      <c r="AG14" s="81">
        <f t="shared" si="5"/>
        <v>0</v>
      </c>
      <c r="AH14" s="82"/>
      <c r="AI14" s="77"/>
      <c r="AJ14" s="79"/>
      <c r="AK14" s="80"/>
      <c r="AL14" s="81">
        <f t="shared" si="6"/>
        <v>0</v>
      </c>
      <c r="AM14" s="82"/>
      <c r="AN14" s="77"/>
      <c r="AO14" s="83">
        <v>1</v>
      </c>
      <c r="AP14" s="118">
        <v>0.15</v>
      </c>
      <c r="AQ14" s="85">
        <f t="shared" si="7"/>
        <v>0.15</v>
      </c>
      <c r="AR14" s="87" t="s">
        <v>1195</v>
      </c>
    </row>
    <row r="15" spans="1:44" ht="86.25" customHeight="1" x14ac:dyDescent="0.25">
      <c r="A15" s="77">
        <v>12</v>
      </c>
      <c r="B15" s="78" t="s">
        <v>3</v>
      </c>
      <c r="C15" s="78" t="s">
        <v>31</v>
      </c>
      <c r="D15" s="78" t="s">
        <v>40</v>
      </c>
      <c r="E15" s="77"/>
      <c r="F15" s="79"/>
      <c r="G15" s="80"/>
      <c r="H15" s="81">
        <f t="shared" si="0"/>
        <v>0</v>
      </c>
      <c r="I15" s="82"/>
      <c r="J15" s="77"/>
      <c r="K15" s="126">
        <v>1</v>
      </c>
      <c r="L15" s="127">
        <v>1</v>
      </c>
      <c r="M15" s="85">
        <f t="shared" si="1"/>
        <v>1</v>
      </c>
      <c r="N15" s="128"/>
      <c r="O15" s="77"/>
      <c r="P15" s="126">
        <v>1</v>
      </c>
      <c r="Q15" s="127">
        <v>0.95</v>
      </c>
      <c r="R15" s="85">
        <f t="shared" si="2"/>
        <v>0.95</v>
      </c>
      <c r="S15" s="144" t="s">
        <v>1187</v>
      </c>
      <c r="T15" s="77"/>
      <c r="U15" s="79"/>
      <c r="V15" s="80"/>
      <c r="W15" s="81">
        <f t="shared" si="3"/>
        <v>0</v>
      </c>
      <c r="X15" s="82"/>
      <c r="Y15" s="77"/>
      <c r="Z15" s="79"/>
      <c r="AA15" s="80"/>
      <c r="AB15" s="81">
        <f t="shared" si="4"/>
        <v>0</v>
      </c>
      <c r="AC15" s="82"/>
      <c r="AD15" s="77"/>
      <c r="AE15" s="79"/>
      <c r="AF15" s="80"/>
      <c r="AG15" s="81">
        <f t="shared" si="5"/>
        <v>0</v>
      </c>
      <c r="AH15" s="82"/>
      <c r="AI15" s="77"/>
      <c r="AJ15" s="79"/>
      <c r="AK15" s="80"/>
      <c r="AL15" s="81">
        <f t="shared" si="6"/>
        <v>0</v>
      </c>
      <c r="AM15" s="82"/>
      <c r="AN15" s="77"/>
      <c r="AO15" s="126">
        <v>1</v>
      </c>
      <c r="AP15" s="129">
        <v>0.5</v>
      </c>
      <c r="AQ15" s="85">
        <f t="shared" si="7"/>
        <v>0.5</v>
      </c>
      <c r="AR15" s="144" t="s">
        <v>1196</v>
      </c>
    </row>
    <row r="16" spans="1:44" ht="173.25" x14ac:dyDescent="0.25">
      <c r="A16" s="77">
        <v>13</v>
      </c>
      <c r="B16" s="78" t="s">
        <v>6</v>
      </c>
      <c r="C16" s="78" t="s">
        <v>7</v>
      </c>
      <c r="D16" s="78" t="s">
        <v>41</v>
      </c>
      <c r="E16" s="77"/>
      <c r="F16" s="79"/>
      <c r="G16" s="80"/>
      <c r="H16" s="81">
        <f t="shared" si="0"/>
        <v>0</v>
      </c>
      <c r="I16" s="82"/>
      <c r="J16" s="77"/>
      <c r="K16" s="100">
        <v>1</v>
      </c>
      <c r="L16" s="101">
        <v>1</v>
      </c>
      <c r="M16" s="85">
        <f t="shared" si="1"/>
        <v>1</v>
      </c>
      <c r="N16" s="102" t="s">
        <v>440</v>
      </c>
      <c r="O16" s="77"/>
      <c r="P16" s="100">
        <v>1</v>
      </c>
      <c r="Q16" s="101">
        <v>0.96</v>
      </c>
      <c r="R16" s="85">
        <f t="shared" si="2"/>
        <v>0.96</v>
      </c>
      <c r="S16" s="102" t="s">
        <v>454</v>
      </c>
      <c r="T16" s="77"/>
      <c r="U16" s="79"/>
      <c r="V16" s="80"/>
      <c r="W16" s="81">
        <f t="shared" si="3"/>
        <v>0</v>
      </c>
      <c r="X16" s="82"/>
      <c r="Y16" s="77"/>
      <c r="Z16" s="79"/>
      <c r="AA16" s="80"/>
      <c r="AB16" s="81">
        <f t="shared" si="4"/>
        <v>0</v>
      </c>
      <c r="AC16" s="82"/>
      <c r="AD16" s="77"/>
      <c r="AE16" s="79"/>
      <c r="AF16" s="80"/>
      <c r="AG16" s="81">
        <f t="shared" si="5"/>
        <v>0</v>
      </c>
      <c r="AH16" s="82"/>
      <c r="AI16" s="77"/>
      <c r="AJ16" s="79"/>
      <c r="AK16" s="80"/>
      <c r="AL16" s="81">
        <f t="shared" si="6"/>
        <v>0</v>
      </c>
      <c r="AM16" s="82"/>
      <c r="AN16" s="77"/>
      <c r="AO16" s="100">
        <v>1</v>
      </c>
      <c r="AP16" s="101">
        <v>0.92</v>
      </c>
      <c r="AQ16" s="85">
        <f t="shared" si="7"/>
        <v>0.92</v>
      </c>
      <c r="AR16" s="102" t="s">
        <v>467</v>
      </c>
    </row>
    <row r="17" spans="1:44" ht="216" customHeight="1" x14ac:dyDescent="0.25">
      <c r="A17" s="77">
        <v>14</v>
      </c>
      <c r="B17" s="78" t="s">
        <v>6</v>
      </c>
      <c r="C17" s="78" t="s">
        <v>7</v>
      </c>
      <c r="D17" s="78" t="s">
        <v>130</v>
      </c>
      <c r="E17" s="77"/>
      <c r="F17" s="79"/>
      <c r="G17" s="80"/>
      <c r="H17" s="81">
        <f t="shared" si="0"/>
        <v>0</v>
      </c>
      <c r="I17" s="82"/>
      <c r="J17" s="77"/>
      <c r="K17" s="100">
        <v>1</v>
      </c>
      <c r="L17" s="101">
        <v>1</v>
      </c>
      <c r="M17" s="85">
        <f t="shared" si="1"/>
        <v>1</v>
      </c>
      <c r="N17" s="102" t="s">
        <v>441</v>
      </c>
      <c r="O17" s="77"/>
      <c r="P17" s="100">
        <v>1</v>
      </c>
      <c r="Q17" s="101">
        <v>0.9</v>
      </c>
      <c r="R17" s="85">
        <f t="shared" si="2"/>
        <v>0.9</v>
      </c>
      <c r="S17" s="102" t="s">
        <v>455</v>
      </c>
      <c r="T17" s="77"/>
      <c r="U17" s="79"/>
      <c r="V17" s="80"/>
      <c r="W17" s="81">
        <f t="shared" si="3"/>
        <v>0</v>
      </c>
      <c r="X17" s="82"/>
      <c r="Y17" s="77"/>
      <c r="Z17" s="79"/>
      <c r="AA17" s="80"/>
      <c r="AB17" s="81">
        <f t="shared" si="4"/>
        <v>0</v>
      </c>
      <c r="AC17" s="82"/>
      <c r="AD17" s="77"/>
      <c r="AE17" s="79"/>
      <c r="AF17" s="80"/>
      <c r="AG17" s="81">
        <f t="shared" si="5"/>
        <v>0</v>
      </c>
      <c r="AH17" s="82"/>
      <c r="AI17" s="77"/>
      <c r="AJ17" s="79"/>
      <c r="AK17" s="80"/>
      <c r="AL17" s="81">
        <f t="shared" si="6"/>
        <v>0</v>
      </c>
      <c r="AM17" s="82"/>
      <c r="AN17" s="77"/>
      <c r="AO17" s="100">
        <v>1</v>
      </c>
      <c r="AP17" s="101">
        <v>0.6</v>
      </c>
      <c r="AQ17" s="85">
        <f t="shared" si="7"/>
        <v>0.6</v>
      </c>
      <c r="AR17" s="102" t="s">
        <v>468</v>
      </c>
    </row>
    <row r="18" spans="1:44" ht="123.75" customHeight="1" x14ac:dyDescent="0.25">
      <c r="A18" s="77">
        <v>15</v>
      </c>
      <c r="B18" s="78" t="s">
        <v>6</v>
      </c>
      <c r="C18" s="78" t="s">
        <v>7</v>
      </c>
      <c r="D18" s="78" t="s">
        <v>131</v>
      </c>
      <c r="E18" s="77"/>
      <c r="F18" s="79"/>
      <c r="G18" s="80"/>
      <c r="H18" s="81">
        <f t="shared" si="0"/>
        <v>0</v>
      </c>
      <c r="I18" s="82"/>
      <c r="J18" s="77"/>
      <c r="K18" s="100">
        <v>1</v>
      </c>
      <c r="L18" s="101">
        <v>1</v>
      </c>
      <c r="M18" s="85">
        <f t="shared" si="1"/>
        <v>1</v>
      </c>
      <c r="N18" s="78" t="s">
        <v>442</v>
      </c>
      <c r="O18" s="77"/>
      <c r="P18" s="100">
        <v>1</v>
      </c>
      <c r="Q18" s="101">
        <v>1</v>
      </c>
      <c r="R18" s="85">
        <f t="shared" si="2"/>
        <v>1</v>
      </c>
      <c r="S18" s="102" t="s">
        <v>456</v>
      </c>
      <c r="T18" s="77"/>
      <c r="U18" s="79"/>
      <c r="V18" s="80"/>
      <c r="W18" s="81">
        <f t="shared" si="3"/>
        <v>0</v>
      </c>
      <c r="X18" s="82"/>
      <c r="Y18" s="77"/>
      <c r="Z18" s="79"/>
      <c r="AA18" s="80"/>
      <c r="AB18" s="81">
        <f t="shared" si="4"/>
        <v>0</v>
      </c>
      <c r="AC18" s="82"/>
      <c r="AD18" s="77"/>
      <c r="AE18" s="79"/>
      <c r="AF18" s="80"/>
      <c r="AG18" s="81">
        <f t="shared" si="5"/>
        <v>0</v>
      </c>
      <c r="AH18" s="82"/>
      <c r="AI18" s="77"/>
      <c r="AJ18" s="79"/>
      <c r="AK18" s="80"/>
      <c r="AL18" s="81">
        <f t="shared" si="6"/>
        <v>0</v>
      </c>
      <c r="AM18" s="82"/>
      <c r="AN18" s="77"/>
      <c r="AO18" s="100">
        <v>1</v>
      </c>
      <c r="AP18" s="101">
        <v>0.95</v>
      </c>
      <c r="AQ18" s="85">
        <f t="shared" si="7"/>
        <v>0.95</v>
      </c>
      <c r="AR18" s="102" t="s">
        <v>469</v>
      </c>
    </row>
    <row r="19" spans="1:44" ht="120" customHeight="1" x14ac:dyDescent="0.25">
      <c r="A19" s="77">
        <v>16</v>
      </c>
      <c r="B19" s="78" t="s">
        <v>6</v>
      </c>
      <c r="C19" s="78" t="s">
        <v>7</v>
      </c>
      <c r="D19" s="78" t="s">
        <v>42</v>
      </c>
      <c r="E19" s="77"/>
      <c r="F19" s="79"/>
      <c r="G19" s="80"/>
      <c r="H19" s="81">
        <f t="shared" si="0"/>
        <v>0</v>
      </c>
      <c r="I19" s="82"/>
      <c r="J19" s="77"/>
      <c r="K19" s="100">
        <v>1</v>
      </c>
      <c r="L19" s="101">
        <v>1</v>
      </c>
      <c r="M19" s="85">
        <f t="shared" si="1"/>
        <v>1</v>
      </c>
      <c r="N19" s="78" t="s">
        <v>443</v>
      </c>
      <c r="O19" s="77"/>
      <c r="P19" s="100">
        <v>1</v>
      </c>
      <c r="Q19" s="101">
        <v>1</v>
      </c>
      <c r="R19" s="85">
        <f t="shared" si="2"/>
        <v>1</v>
      </c>
      <c r="S19" s="102" t="s">
        <v>457</v>
      </c>
      <c r="T19" s="77"/>
      <c r="U19" s="79"/>
      <c r="V19" s="80"/>
      <c r="W19" s="81">
        <f t="shared" si="3"/>
        <v>0</v>
      </c>
      <c r="X19" s="82"/>
      <c r="Y19" s="77"/>
      <c r="Z19" s="79"/>
      <c r="AA19" s="80"/>
      <c r="AB19" s="81">
        <f t="shared" si="4"/>
        <v>0</v>
      </c>
      <c r="AC19" s="82"/>
      <c r="AD19" s="77"/>
      <c r="AE19" s="79"/>
      <c r="AF19" s="80"/>
      <c r="AG19" s="81">
        <f t="shared" si="5"/>
        <v>0</v>
      </c>
      <c r="AH19" s="82"/>
      <c r="AI19" s="77"/>
      <c r="AJ19" s="79"/>
      <c r="AK19" s="80"/>
      <c r="AL19" s="81">
        <f t="shared" si="6"/>
        <v>0</v>
      </c>
      <c r="AM19" s="82"/>
      <c r="AN19" s="77"/>
      <c r="AO19" s="100">
        <v>1</v>
      </c>
      <c r="AP19" s="101">
        <v>0.95</v>
      </c>
      <c r="AQ19" s="85">
        <f t="shared" si="7"/>
        <v>0.95</v>
      </c>
      <c r="AR19" s="102" t="s">
        <v>239</v>
      </c>
    </row>
    <row r="20" spans="1:44" ht="212.25" customHeight="1" x14ac:dyDescent="0.25">
      <c r="A20" s="77">
        <v>17</v>
      </c>
      <c r="B20" s="78" t="s">
        <v>6</v>
      </c>
      <c r="C20" s="78" t="s">
        <v>7</v>
      </c>
      <c r="D20" s="78" t="s">
        <v>43</v>
      </c>
      <c r="E20" s="77"/>
      <c r="F20" s="79"/>
      <c r="G20" s="80"/>
      <c r="H20" s="81">
        <f t="shared" si="0"/>
        <v>0</v>
      </c>
      <c r="I20" s="82"/>
      <c r="J20" s="77"/>
      <c r="K20" s="100">
        <v>1</v>
      </c>
      <c r="L20" s="101">
        <v>0.7</v>
      </c>
      <c r="M20" s="85">
        <f t="shared" si="1"/>
        <v>0.7</v>
      </c>
      <c r="N20" s="102" t="s">
        <v>444</v>
      </c>
      <c r="O20" s="77"/>
      <c r="P20" s="100">
        <v>1</v>
      </c>
      <c r="Q20" s="101">
        <v>0.9</v>
      </c>
      <c r="R20" s="85">
        <f t="shared" si="2"/>
        <v>0.9</v>
      </c>
      <c r="S20" s="102" t="s">
        <v>371</v>
      </c>
      <c r="T20" s="77"/>
      <c r="U20" s="79"/>
      <c r="V20" s="80"/>
      <c r="W20" s="81">
        <f t="shared" si="3"/>
        <v>0</v>
      </c>
      <c r="X20" s="82"/>
      <c r="Y20" s="77"/>
      <c r="Z20" s="79"/>
      <c r="AA20" s="80"/>
      <c r="AB20" s="81">
        <f t="shared" si="4"/>
        <v>0</v>
      </c>
      <c r="AC20" s="82"/>
      <c r="AD20" s="77"/>
      <c r="AE20" s="79"/>
      <c r="AF20" s="80"/>
      <c r="AG20" s="81">
        <f t="shared" si="5"/>
        <v>0</v>
      </c>
      <c r="AH20" s="82"/>
      <c r="AI20" s="77"/>
      <c r="AJ20" s="79"/>
      <c r="AK20" s="80"/>
      <c r="AL20" s="81">
        <f t="shared" si="6"/>
        <v>0</v>
      </c>
      <c r="AM20" s="82"/>
      <c r="AN20" s="77"/>
      <c r="AO20" s="100">
        <v>1</v>
      </c>
      <c r="AP20" s="101">
        <v>0.6</v>
      </c>
      <c r="AQ20" s="85">
        <f>AO20*AP20</f>
        <v>0.6</v>
      </c>
      <c r="AR20" s="102" t="s">
        <v>470</v>
      </c>
    </row>
    <row r="21" spans="1:44" ht="110.25" x14ac:dyDescent="0.25">
      <c r="A21" s="77">
        <v>18</v>
      </c>
      <c r="B21" s="78" t="s">
        <v>6</v>
      </c>
      <c r="C21" s="78" t="s">
        <v>7</v>
      </c>
      <c r="D21" s="78" t="s">
        <v>44</v>
      </c>
      <c r="E21" s="77"/>
      <c r="F21" s="79"/>
      <c r="G21" s="80"/>
      <c r="H21" s="81">
        <f t="shared" si="0"/>
        <v>0</v>
      </c>
      <c r="I21" s="82"/>
      <c r="J21" s="77"/>
      <c r="K21" s="100">
        <v>1</v>
      </c>
      <c r="L21" s="101">
        <v>0.75</v>
      </c>
      <c r="M21" s="85">
        <f t="shared" si="1"/>
        <v>0.75</v>
      </c>
      <c r="N21" s="102" t="s">
        <v>445</v>
      </c>
      <c r="O21" s="77"/>
      <c r="P21" s="100">
        <v>1</v>
      </c>
      <c r="Q21" s="101">
        <v>0.75</v>
      </c>
      <c r="R21" s="85">
        <f t="shared" si="2"/>
        <v>0.75</v>
      </c>
      <c r="S21" s="102" t="s">
        <v>1369</v>
      </c>
      <c r="T21" s="77"/>
      <c r="U21" s="79"/>
      <c r="V21" s="80"/>
      <c r="W21" s="81">
        <f t="shared" si="3"/>
        <v>0</v>
      </c>
      <c r="X21" s="82"/>
      <c r="Y21" s="77"/>
      <c r="Z21" s="79"/>
      <c r="AA21" s="80"/>
      <c r="AB21" s="81">
        <f t="shared" si="4"/>
        <v>0</v>
      </c>
      <c r="AC21" s="82"/>
      <c r="AD21" s="77"/>
      <c r="AE21" s="79"/>
      <c r="AF21" s="80"/>
      <c r="AG21" s="81">
        <f t="shared" si="5"/>
        <v>0</v>
      </c>
      <c r="AH21" s="82"/>
      <c r="AI21" s="77"/>
      <c r="AJ21" s="79"/>
      <c r="AK21" s="80"/>
      <c r="AL21" s="81">
        <f t="shared" si="6"/>
        <v>0</v>
      </c>
      <c r="AM21" s="82"/>
      <c r="AN21" s="77"/>
      <c r="AO21" s="100">
        <v>1</v>
      </c>
      <c r="AP21" s="101">
        <v>0.72</v>
      </c>
      <c r="AQ21" s="85">
        <f t="shared" ref="AQ21:AQ23" si="8">AO21*AP21</f>
        <v>0.72</v>
      </c>
      <c r="AR21" s="102" t="s">
        <v>471</v>
      </c>
    </row>
    <row r="22" spans="1:44" ht="110.25" x14ac:dyDescent="0.25">
      <c r="A22" s="77">
        <v>19</v>
      </c>
      <c r="B22" s="78" t="s">
        <v>6</v>
      </c>
      <c r="C22" s="78" t="s">
        <v>7</v>
      </c>
      <c r="D22" s="78" t="s">
        <v>45</v>
      </c>
      <c r="E22" s="77"/>
      <c r="F22" s="79"/>
      <c r="G22" s="80"/>
      <c r="H22" s="81">
        <f t="shared" si="0"/>
        <v>0</v>
      </c>
      <c r="I22" s="82"/>
      <c r="J22" s="77"/>
      <c r="K22" s="100">
        <v>1</v>
      </c>
      <c r="L22" s="101">
        <v>0.55000000000000004</v>
      </c>
      <c r="M22" s="85">
        <f t="shared" si="1"/>
        <v>0.55000000000000004</v>
      </c>
      <c r="N22" s="102" t="s">
        <v>446</v>
      </c>
      <c r="O22" s="77"/>
      <c r="P22" s="100">
        <v>1</v>
      </c>
      <c r="Q22" s="101">
        <v>0.6</v>
      </c>
      <c r="R22" s="85">
        <f t="shared" si="2"/>
        <v>0.6</v>
      </c>
      <c r="S22" s="102" t="s">
        <v>1370</v>
      </c>
      <c r="T22" s="77"/>
      <c r="U22" s="79"/>
      <c r="V22" s="80"/>
      <c r="W22" s="81">
        <f t="shared" si="3"/>
        <v>0</v>
      </c>
      <c r="X22" s="82"/>
      <c r="Y22" s="77"/>
      <c r="Z22" s="79"/>
      <c r="AA22" s="80"/>
      <c r="AB22" s="81">
        <f t="shared" si="4"/>
        <v>0</v>
      </c>
      <c r="AC22" s="82"/>
      <c r="AD22" s="77"/>
      <c r="AE22" s="79"/>
      <c r="AF22" s="80"/>
      <c r="AG22" s="81">
        <f t="shared" si="5"/>
        <v>0</v>
      </c>
      <c r="AH22" s="82"/>
      <c r="AI22" s="77"/>
      <c r="AJ22" s="79"/>
      <c r="AK22" s="80"/>
      <c r="AL22" s="81">
        <f t="shared" si="6"/>
        <v>0</v>
      </c>
      <c r="AM22" s="82"/>
      <c r="AN22" s="77"/>
      <c r="AO22" s="100">
        <v>1</v>
      </c>
      <c r="AP22" s="101">
        <v>0.35</v>
      </c>
      <c r="AQ22" s="85">
        <f t="shared" si="8"/>
        <v>0.35</v>
      </c>
      <c r="AR22" s="102" t="s">
        <v>514</v>
      </c>
    </row>
    <row r="23" spans="1:44" ht="87" customHeight="1" x14ac:dyDescent="0.25">
      <c r="A23" s="77">
        <v>20</v>
      </c>
      <c r="B23" s="78" t="s">
        <v>6</v>
      </c>
      <c r="C23" s="78" t="s">
        <v>7</v>
      </c>
      <c r="D23" s="78" t="s">
        <v>46</v>
      </c>
      <c r="E23" s="77"/>
      <c r="F23" s="79"/>
      <c r="G23" s="80"/>
      <c r="H23" s="81">
        <f t="shared" si="0"/>
        <v>0</v>
      </c>
      <c r="I23" s="82"/>
      <c r="J23" s="77"/>
      <c r="K23" s="100">
        <v>1</v>
      </c>
      <c r="L23" s="101">
        <v>0.85</v>
      </c>
      <c r="M23" s="85">
        <f t="shared" si="1"/>
        <v>0.85</v>
      </c>
      <c r="N23" s="102" t="s">
        <v>447</v>
      </c>
      <c r="O23" s="77"/>
      <c r="P23" s="100">
        <v>1</v>
      </c>
      <c r="Q23" s="101">
        <v>0.9</v>
      </c>
      <c r="R23" s="85">
        <f t="shared" si="2"/>
        <v>0.9</v>
      </c>
      <c r="S23" s="102" t="s">
        <v>458</v>
      </c>
      <c r="T23" s="77"/>
      <c r="U23" s="79"/>
      <c r="V23" s="80"/>
      <c r="W23" s="81">
        <f t="shared" si="3"/>
        <v>0</v>
      </c>
      <c r="X23" s="82"/>
      <c r="Y23" s="77"/>
      <c r="Z23" s="79"/>
      <c r="AA23" s="80"/>
      <c r="AB23" s="81">
        <f t="shared" si="4"/>
        <v>0</v>
      </c>
      <c r="AC23" s="82"/>
      <c r="AD23" s="77"/>
      <c r="AE23" s="79"/>
      <c r="AF23" s="80"/>
      <c r="AG23" s="81">
        <f t="shared" si="5"/>
        <v>0</v>
      </c>
      <c r="AH23" s="82"/>
      <c r="AI23" s="77"/>
      <c r="AJ23" s="79"/>
      <c r="AK23" s="80"/>
      <c r="AL23" s="81">
        <f t="shared" si="6"/>
        <v>0</v>
      </c>
      <c r="AM23" s="82"/>
      <c r="AN23" s="77"/>
      <c r="AO23" s="100">
        <v>1</v>
      </c>
      <c r="AP23" s="101">
        <v>0.5</v>
      </c>
      <c r="AQ23" s="85">
        <f t="shared" si="8"/>
        <v>0.5</v>
      </c>
      <c r="AR23" s="102" t="s">
        <v>472</v>
      </c>
    </row>
    <row r="24" spans="1:44" ht="110.25" customHeight="1" x14ac:dyDescent="0.25">
      <c r="A24" s="77">
        <v>21</v>
      </c>
      <c r="B24" s="78" t="s">
        <v>6</v>
      </c>
      <c r="C24" s="78" t="s">
        <v>7</v>
      </c>
      <c r="D24" s="78" t="s">
        <v>47</v>
      </c>
      <c r="E24" s="77"/>
      <c r="F24" s="79"/>
      <c r="G24" s="80"/>
      <c r="H24" s="81">
        <f t="shared" si="0"/>
        <v>0</v>
      </c>
      <c r="I24" s="82"/>
      <c r="J24" s="77" t="s">
        <v>30</v>
      </c>
      <c r="K24" s="100">
        <v>1</v>
      </c>
      <c r="L24" s="101">
        <v>0.98</v>
      </c>
      <c r="M24" s="85">
        <f t="shared" si="1"/>
        <v>0.98</v>
      </c>
      <c r="N24" s="102" t="s">
        <v>358</v>
      </c>
      <c r="O24" s="77"/>
      <c r="P24" s="100">
        <v>1</v>
      </c>
      <c r="Q24" s="101">
        <v>0.9</v>
      </c>
      <c r="R24" s="85">
        <f t="shared" si="2"/>
        <v>0.9</v>
      </c>
      <c r="S24" s="102" t="s">
        <v>224</v>
      </c>
      <c r="T24" s="77"/>
      <c r="U24" s="79"/>
      <c r="V24" s="80"/>
      <c r="W24" s="81">
        <f t="shared" si="3"/>
        <v>0</v>
      </c>
      <c r="X24" s="82"/>
      <c r="Y24" s="77"/>
      <c r="Z24" s="79"/>
      <c r="AA24" s="80"/>
      <c r="AB24" s="81">
        <f t="shared" si="4"/>
        <v>0</v>
      </c>
      <c r="AC24" s="82"/>
      <c r="AD24" s="77"/>
      <c r="AE24" s="79"/>
      <c r="AF24" s="80"/>
      <c r="AG24" s="81">
        <f t="shared" si="5"/>
        <v>0</v>
      </c>
      <c r="AH24" s="82"/>
      <c r="AI24" s="77"/>
      <c r="AJ24" s="79"/>
      <c r="AK24" s="80"/>
      <c r="AL24" s="81">
        <f t="shared" si="6"/>
        <v>0</v>
      </c>
      <c r="AM24" s="82"/>
      <c r="AN24" s="77"/>
      <c r="AO24" s="100">
        <v>1</v>
      </c>
      <c r="AP24" s="101">
        <v>0.95</v>
      </c>
      <c r="AQ24" s="85">
        <f t="shared" si="7"/>
        <v>0.95</v>
      </c>
      <c r="AR24" s="102" t="s">
        <v>185</v>
      </c>
    </row>
    <row r="25" spans="1:44" s="73" customFormat="1" ht="157.5" customHeight="1" x14ac:dyDescent="0.25">
      <c r="A25" s="77">
        <v>22</v>
      </c>
      <c r="B25" s="78" t="s">
        <v>6</v>
      </c>
      <c r="C25" s="78" t="s">
        <v>8</v>
      </c>
      <c r="D25" s="78" t="s">
        <v>48</v>
      </c>
      <c r="E25" s="77"/>
      <c r="F25" s="79"/>
      <c r="G25" s="80"/>
      <c r="H25" s="81">
        <f t="shared" si="0"/>
        <v>0</v>
      </c>
      <c r="I25" s="82"/>
      <c r="J25" s="77"/>
      <c r="K25" s="100">
        <v>1</v>
      </c>
      <c r="L25" s="101">
        <v>1</v>
      </c>
      <c r="M25" s="85">
        <f t="shared" si="1"/>
        <v>1</v>
      </c>
      <c r="N25" s="102" t="s">
        <v>448</v>
      </c>
      <c r="O25" s="77"/>
      <c r="P25" s="100">
        <v>1</v>
      </c>
      <c r="Q25" s="101">
        <v>0.9</v>
      </c>
      <c r="R25" s="85">
        <f t="shared" si="2"/>
        <v>0.9</v>
      </c>
      <c r="S25" s="102" t="s">
        <v>459</v>
      </c>
      <c r="T25" s="77"/>
      <c r="U25" s="79"/>
      <c r="V25" s="80"/>
      <c r="W25" s="81">
        <f t="shared" si="3"/>
        <v>0</v>
      </c>
      <c r="X25" s="82"/>
      <c r="Y25" s="77"/>
      <c r="Z25" s="79"/>
      <c r="AA25" s="80"/>
      <c r="AB25" s="81">
        <f t="shared" si="4"/>
        <v>0</v>
      </c>
      <c r="AC25" s="82"/>
      <c r="AD25" s="77"/>
      <c r="AE25" s="79"/>
      <c r="AF25" s="80"/>
      <c r="AG25" s="81">
        <f t="shared" si="5"/>
        <v>0</v>
      </c>
      <c r="AH25" s="82"/>
      <c r="AI25" s="77"/>
      <c r="AJ25" s="79"/>
      <c r="AK25" s="80"/>
      <c r="AL25" s="81">
        <f t="shared" si="6"/>
        <v>0</v>
      </c>
      <c r="AM25" s="82"/>
      <c r="AN25" s="77"/>
      <c r="AO25" s="100">
        <v>1</v>
      </c>
      <c r="AP25" s="101">
        <v>0.5</v>
      </c>
      <c r="AQ25" s="85">
        <f t="shared" si="7"/>
        <v>0.5</v>
      </c>
      <c r="AR25" s="102" t="s">
        <v>473</v>
      </c>
    </row>
    <row r="26" spans="1:44" ht="94.5" x14ac:dyDescent="0.25">
      <c r="A26" s="77">
        <v>23</v>
      </c>
      <c r="B26" s="78" t="s">
        <v>6</v>
      </c>
      <c r="C26" s="78" t="s">
        <v>8</v>
      </c>
      <c r="D26" s="78" t="s">
        <v>49</v>
      </c>
      <c r="E26" s="77"/>
      <c r="F26" s="79"/>
      <c r="G26" s="80"/>
      <c r="H26" s="81">
        <f t="shared" si="0"/>
        <v>0</v>
      </c>
      <c r="I26" s="82"/>
      <c r="J26" s="77"/>
      <c r="K26" s="100">
        <v>1</v>
      </c>
      <c r="L26" s="101">
        <v>1</v>
      </c>
      <c r="M26" s="85">
        <f t="shared" si="1"/>
        <v>1</v>
      </c>
      <c r="N26" s="102" t="s">
        <v>449</v>
      </c>
      <c r="O26" s="77"/>
      <c r="P26" s="100">
        <v>1</v>
      </c>
      <c r="Q26" s="101">
        <v>1</v>
      </c>
      <c r="R26" s="85">
        <f t="shared" si="2"/>
        <v>1</v>
      </c>
      <c r="S26" s="102" t="s">
        <v>460</v>
      </c>
      <c r="T26" s="77"/>
      <c r="U26" s="79"/>
      <c r="V26" s="80"/>
      <c r="W26" s="81">
        <f t="shared" si="3"/>
        <v>0</v>
      </c>
      <c r="X26" s="82"/>
      <c r="Y26" s="77"/>
      <c r="Z26" s="79"/>
      <c r="AA26" s="80"/>
      <c r="AB26" s="81">
        <f t="shared" si="4"/>
        <v>0</v>
      </c>
      <c r="AC26" s="82"/>
      <c r="AD26" s="77"/>
      <c r="AE26" s="79"/>
      <c r="AF26" s="80"/>
      <c r="AG26" s="81">
        <f t="shared" si="5"/>
        <v>0</v>
      </c>
      <c r="AH26" s="82"/>
      <c r="AI26" s="77"/>
      <c r="AJ26" s="79"/>
      <c r="AK26" s="80"/>
      <c r="AL26" s="81">
        <f t="shared" si="6"/>
        <v>0</v>
      </c>
      <c r="AM26" s="82"/>
      <c r="AN26" s="77"/>
      <c r="AO26" s="100">
        <v>1</v>
      </c>
      <c r="AP26" s="101">
        <v>0.6</v>
      </c>
      <c r="AQ26" s="85">
        <f t="shared" si="7"/>
        <v>0.6</v>
      </c>
      <c r="AR26" s="102" t="s">
        <v>433</v>
      </c>
    </row>
    <row r="27" spans="1:44" ht="126" x14ac:dyDescent="0.25">
      <c r="A27" s="77">
        <v>24</v>
      </c>
      <c r="B27" s="78" t="s">
        <v>6</v>
      </c>
      <c r="C27" s="78" t="s">
        <v>8</v>
      </c>
      <c r="D27" s="78" t="s">
        <v>50</v>
      </c>
      <c r="E27" s="77"/>
      <c r="F27" s="79"/>
      <c r="G27" s="80"/>
      <c r="H27" s="81">
        <f t="shared" si="0"/>
        <v>0</v>
      </c>
      <c r="I27" s="82"/>
      <c r="J27" s="77"/>
      <c r="K27" s="100">
        <v>1</v>
      </c>
      <c r="L27" s="101">
        <v>0.99</v>
      </c>
      <c r="M27" s="85">
        <f t="shared" si="1"/>
        <v>0.99</v>
      </c>
      <c r="N27" s="102" t="s">
        <v>361</v>
      </c>
      <c r="O27" s="77"/>
      <c r="P27" s="100">
        <v>1</v>
      </c>
      <c r="Q27" s="101">
        <v>1</v>
      </c>
      <c r="R27" s="85">
        <f t="shared" si="2"/>
        <v>1</v>
      </c>
      <c r="S27" s="102" t="s">
        <v>461</v>
      </c>
      <c r="T27" s="77"/>
      <c r="U27" s="79"/>
      <c r="V27" s="80"/>
      <c r="W27" s="81">
        <f t="shared" si="3"/>
        <v>0</v>
      </c>
      <c r="X27" s="82"/>
      <c r="Y27" s="77"/>
      <c r="Z27" s="79"/>
      <c r="AA27" s="80"/>
      <c r="AB27" s="81">
        <f t="shared" si="4"/>
        <v>0</v>
      </c>
      <c r="AC27" s="82"/>
      <c r="AD27" s="77"/>
      <c r="AE27" s="79"/>
      <c r="AF27" s="80"/>
      <c r="AG27" s="81">
        <f t="shared" si="5"/>
        <v>0</v>
      </c>
      <c r="AH27" s="82"/>
      <c r="AI27" s="77"/>
      <c r="AJ27" s="79"/>
      <c r="AK27" s="80"/>
      <c r="AL27" s="81">
        <f t="shared" si="6"/>
        <v>0</v>
      </c>
      <c r="AM27" s="82"/>
      <c r="AN27" s="77"/>
      <c r="AO27" s="100">
        <v>1</v>
      </c>
      <c r="AP27" s="101">
        <v>0.7</v>
      </c>
      <c r="AQ27" s="85">
        <f t="shared" si="7"/>
        <v>0.7</v>
      </c>
      <c r="AR27" s="102" t="s">
        <v>474</v>
      </c>
    </row>
    <row r="28" spans="1:44" ht="299.25" x14ac:dyDescent="0.25">
      <c r="A28" s="77">
        <v>25</v>
      </c>
      <c r="B28" s="78" t="s">
        <v>6</v>
      </c>
      <c r="C28" s="78" t="s">
        <v>8</v>
      </c>
      <c r="D28" s="78" t="s">
        <v>51</v>
      </c>
      <c r="E28" s="77"/>
      <c r="F28" s="79"/>
      <c r="G28" s="80"/>
      <c r="H28" s="81">
        <f t="shared" si="0"/>
        <v>0</v>
      </c>
      <c r="I28" s="82"/>
      <c r="J28" s="77"/>
      <c r="K28" s="100">
        <v>1</v>
      </c>
      <c r="L28" s="101">
        <v>0.85</v>
      </c>
      <c r="M28" s="85">
        <f t="shared" si="1"/>
        <v>0.85</v>
      </c>
      <c r="N28" s="102" t="s">
        <v>450</v>
      </c>
      <c r="O28" s="77"/>
      <c r="P28" s="100">
        <v>1</v>
      </c>
      <c r="Q28" s="101">
        <v>0.65</v>
      </c>
      <c r="R28" s="85">
        <f t="shared" si="2"/>
        <v>0.65</v>
      </c>
      <c r="S28" s="102" t="s">
        <v>462</v>
      </c>
      <c r="T28" s="77"/>
      <c r="U28" s="79"/>
      <c r="V28" s="80"/>
      <c r="W28" s="81">
        <f t="shared" si="3"/>
        <v>0</v>
      </c>
      <c r="X28" s="82"/>
      <c r="Y28" s="77"/>
      <c r="Z28" s="79"/>
      <c r="AA28" s="80"/>
      <c r="AB28" s="81">
        <f t="shared" si="4"/>
        <v>0</v>
      </c>
      <c r="AC28" s="82"/>
      <c r="AD28" s="77"/>
      <c r="AE28" s="79"/>
      <c r="AF28" s="80"/>
      <c r="AG28" s="81">
        <f t="shared" si="5"/>
        <v>0</v>
      </c>
      <c r="AH28" s="82"/>
      <c r="AI28" s="77"/>
      <c r="AJ28" s="79"/>
      <c r="AK28" s="80"/>
      <c r="AL28" s="81">
        <f t="shared" si="6"/>
        <v>0</v>
      </c>
      <c r="AM28" s="82"/>
      <c r="AN28" s="77"/>
      <c r="AO28" s="100">
        <v>1</v>
      </c>
      <c r="AP28" s="101">
        <v>0.65</v>
      </c>
      <c r="AQ28" s="85">
        <f t="shared" si="7"/>
        <v>0.65</v>
      </c>
      <c r="AR28" s="102" t="s">
        <v>475</v>
      </c>
    </row>
    <row r="29" spans="1:44" ht="110.25" x14ac:dyDescent="0.25">
      <c r="A29" s="77">
        <v>26</v>
      </c>
      <c r="B29" s="78" t="s">
        <v>6</v>
      </c>
      <c r="C29" s="78" t="s">
        <v>8</v>
      </c>
      <c r="D29" s="78" t="s">
        <v>52</v>
      </c>
      <c r="E29" s="77"/>
      <c r="F29" s="79"/>
      <c r="G29" s="80"/>
      <c r="H29" s="81">
        <f t="shared" si="0"/>
        <v>0</v>
      </c>
      <c r="I29" s="82"/>
      <c r="J29" s="77"/>
      <c r="K29" s="100">
        <v>1</v>
      </c>
      <c r="L29" s="101">
        <v>1</v>
      </c>
      <c r="M29" s="85">
        <f t="shared" si="1"/>
        <v>1</v>
      </c>
      <c r="N29" s="102" t="s">
        <v>147</v>
      </c>
      <c r="O29" s="77"/>
      <c r="P29" s="100">
        <v>1</v>
      </c>
      <c r="Q29" s="101">
        <v>0.7</v>
      </c>
      <c r="R29" s="85">
        <f t="shared" si="2"/>
        <v>0.7</v>
      </c>
      <c r="S29" s="102" t="s">
        <v>463</v>
      </c>
      <c r="T29" s="77"/>
      <c r="U29" s="79"/>
      <c r="V29" s="80"/>
      <c r="W29" s="81">
        <f t="shared" si="3"/>
        <v>0</v>
      </c>
      <c r="X29" s="78"/>
      <c r="Y29" s="77"/>
      <c r="Z29" s="79"/>
      <c r="AA29" s="80"/>
      <c r="AB29" s="81">
        <f t="shared" si="4"/>
        <v>0</v>
      </c>
      <c r="AC29" s="78"/>
      <c r="AD29" s="77"/>
      <c r="AE29" s="79"/>
      <c r="AF29" s="80"/>
      <c r="AG29" s="81">
        <f t="shared" si="5"/>
        <v>0</v>
      </c>
      <c r="AH29" s="78"/>
      <c r="AI29" s="77"/>
      <c r="AJ29" s="79"/>
      <c r="AK29" s="80"/>
      <c r="AL29" s="81">
        <f t="shared" si="6"/>
        <v>0</v>
      </c>
      <c r="AM29" s="78"/>
      <c r="AN29" s="77"/>
      <c r="AO29" s="100">
        <v>1</v>
      </c>
      <c r="AP29" s="101">
        <v>0.8</v>
      </c>
      <c r="AQ29" s="85">
        <f t="shared" si="7"/>
        <v>0.8</v>
      </c>
      <c r="AR29" s="102" t="s">
        <v>476</v>
      </c>
    </row>
    <row r="30" spans="1:44" ht="236.25" x14ac:dyDescent="0.25">
      <c r="A30" s="77">
        <v>27</v>
      </c>
      <c r="B30" s="78" t="s">
        <v>6</v>
      </c>
      <c r="C30" s="78" t="s">
        <v>8</v>
      </c>
      <c r="D30" s="78" t="s">
        <v>53</v>
      </c>
      <c r="E30" s="77"/>
      <c r="F30" s="79"/>
      <c r="G30" s="80"/>
      <c r="H30" s="81">
        <f t="shared" si="0"/>
        <v>0</v>
      </c>
      <c r="I30" s="82"/>
      <c r="J30" s="77"/>
      <c r="K30" s="100">
        <v>1</v>
      </c>
      <c r="L30" s="107">
        <v>1</v>
      </c>
      <c r="M30" s="85">
        <f t="shared" si="1"/>
        <v>1</v>
      </c>
      <c r="N30" s="102"/>
      <c r="O30" s="77"/>
      <c r="P30" s="100">
        <v>1</v>
      </c>
      <c r="Q30" s="101">
        <v>0.6</v>
      </c>
      <c r="R30" s="85">
        <f t="shared" si="2"/>
        <v>0.6</v>
      </c>
      <c r="S30" s="102" t="s">
        <v>464</v>
      </c>
      <c r="T30" s="77"/>
      <c r="U30" s="79"/>
      <c r="V30" s="80"/>
      <c r="W30" s="81">
        <f t="shared" si="3"/>
        <v>0</v>
      </c>
      <c r="X30" s="82"/>
      <c r="Y30" s="77"/>
      <c r="Z30" s="79"/>
      <c r="AA30" s="80"/>
      <c r="AB30" s="81">
        <f t="shared" si="4"/>
        <v>0</v>
      </c>
      <c r="AC30" s="82"/>
      <c r="AD30" s="77"/>
      <c r="AE30" s="79"/>
      <c r="AF30" s="80"/>
      <c r="AG30" s="81">
        <f t="shared" si="5"/>
        <v>0</v>
      </c>
      <c r="AH30" s="82"/>
      <c r="AI30" s="77"/>
      <c r="AJ30" s="79"/>
      <c r="AK30" s="80"/>
      <c r="AL30" s="81">
        <f t="shared" si="6"/>
        <v>0</v>
      </c>
      <c r="AM30" s="82"/>
      <c r="AN30" s="77"/>
      <c r="AO30" s="100">
        <v>1</v>
      </c>
      <c r="AP30" s="101">
        <v>1</v>
      </c>
      <c r="AQ30" s="85">
        <f t="shared" si="7"/>
        <v>1</v>
      </c>
      <c r="AR30" s="102"/>
    </row>
    <row r="31" spans="1:44" ht="94.5" x14ac:dyDescent="0.25">
      <c r="A31" s="77">
        <v>28</v>
      </c>
      <c r="B31" s="78" t="s">
        <v>6</v>
      </c>
      <c r="C31" s="78" t="s">
        <v>8</v>
      </c>
      <c r="D31" s="78" t="s">
        <v>54</v>
      </c>
      <c r="E31" s="77"/>
      <c r="F31" s="79"/>
      <c r="G31" s="80"/>
      <c r="H31" s="81">
        <f t="shared" si="0"/>
        <v>0</v>
      </c>
      <c r="I31" s="82"/>
      <c r="J31" s="77"/>
      <c r="K31" s="100">
        <v>1</v>
      </c>
      <c r="L31" s="101">
        <v>1</v>
      </c>
      <c r="M31" s="85">
        <f t="shared" si="1"/>
        <v>1</v>
      </c>
      <c r="N31" s="102" t="s">
        <v>211</v>
      </c>
      <c r="O31" s="77"/>
      <c r="P31" s="100">
        <v>1</v>
      </c>
      <c r="Q31" s="101">
        <v>1</v>
      </c>
      <c r="R31" s="85">
        <f t="shared" si="2"/>
        <v>1</v>
      </c>
      <c r="S31" s="102" t="s">
        <v>229</v>
      </c>
      <c r="T31" s="77"/>
      <c r="U31" s="79"/>
      <c r="V31" s="80"/>
      <c r="W31" s="81">
        <f t="shared" si="3"/>
        <v>0</v>
      </c>
      <c r="X31" s="82"/>
      <c r="Y31" s="77"/>
      <c r="Z31" s="79"/>
      <c r="AA31" s="80"/>
      <c r="AB31" s="81">
        <f t="shared" si="4"/>
        <v>0</v>
      </c>
      <c r="AC31" s="82"/>
      <c r="AD31" s="77"/>
      <c r="AE31" s="79"/>
      <c r="AF31" s="80"/>
      <c r="AG31" s="81">
        <f t="shared" si="5"/>
        <v>0</v>
      </c>
      <c r="AH31" s="82"/>
      <c r="AI31" s="77"/>
      <c r="AJ31" s="79"/>
      <c r="AK31" s="80"/>
      <c r="AL31" s="81">
        <f t="shared" si="6"/>
        <v>0</v>
      </c>
      <c r="AM31" s="82"/>
      <c r="AN31" s="77"/>
      <c r="AO31" s="100">
        <v>1</v>
      </c>
      <c r="AP31" s="101">
        <v>1</v>
      </c>
      <c r="AQ31" s="85">
        <f t="shared" si="7"/>
        <v>1</v>
      </c>
      <c r="AR31" s="102" t="s">
        <v>477</v>
      </c>
    </row>
    <row r="32" spans="1:44" ht="94.5" x14ac:dyDescent="0.25">
      <c r="A32" s="77">
        <v>29</v>
      </c>
      <c r="B32" s="78" t="s">
        <v>6</v>
      </c>
      <c r="C32" s="78" t="s">
        <v>8</v>
      </c>
      <c r="D32" s="78" t="s">
        <v>55</v>
      </c>
      <c r="E32" s="77"/>
      <c r="F32" s="79"/>
      <c r="G32" s="80"/>
      <c r="H32" s="81">
        <f t="shared" si="0"/>
        <v>0</v>
      </c>
      <c r="I32" s="82"/>
      <c r="J32" s="77"/>
      <c r="K32" s="100">
        <v>1</v>
      </c>
      <c r="L32" s="101">
        <v>1</v>
      </c>
      <c r="M32" s="85">
        <f t="shared" si="1"/>
        <v>1</v>
      </c>
      <c r="N32" s="102" t="s">
        <v>406</v>
      </c>
      <c r="O32" s="77"/>
      <c r="P32" s="100">
        <v>1</v>
      </c>
      <c r="Q32" s="101">
        <v>1</v>
      </c>
      <c r="R32" s="85">
        <f t="shared" si="2"/>
        <v>1</v>
      </c>
      <c r="S32" s="102" t="s">
        <v>423</v>
      </c>
      <c r="T32" s="77"/>
      <c r="U32" s="79"/>
      <c r="V32" s="80"/>
      <c r="W32" s="81">
        <f t="shared" si="3"/>
        <v>0</v>
      </c>
      <c r="X32" s="82"/>
      <c r="Y32" s="77"/>
      <c r="Z32" s="79"/>
      <c r="AA32" s="80"/>
      <c r="AB32" s="81">
        <f t="shared" si="4"/>
        <v>0</v>
      </c>
      <c r="AC32" s="82"/>
      <c r="AD32" s="77"/>
      <c r="AE32" s="79"/>
      <c r="AF32" s="80"/>
      <c r="AG32" s="81">
        <f t="shared" si="5"/>
        <v>0</v>
      </c>
      <c r="AH32" s="82"/>
      <c r="AI32" s="77"/>
      <c r="AJ32" s="79"/>
      <c r="AK32" s="80"/>
      <c r="AL32" s="81">
        <f t="shared" si="6"/>
        <v>0</v>
      </c>
      <c r="AM32" s="82"/>
      <c r="AN32" s="77"/>
      <c r="AO32" s="100">
        <v>1</v>
      </c>
      <c r="AP32" s="101">
        <v>1</v>
      </c>
      <c r="AQ32" s="85">
        <f t="shared" si="7"/>
        <v>1</v>
      </c>
      <c r="AR32" s="102" t="s">
        <v>478</v>
      </c>
    </row>
    <row r="33" spans="1:44" ht="119.25" customHeight="1" x14ac:dyDescent="0.25">
      <c r="A33" s="77">
        <v>30</v>
      </c>
      <c r="B33" s="78" t="s">
        <v>6</v>
      </c>
      <c r="C33" s="78" t="s">
        <v>8</v>
      </c>
      <c r="D33" s="78" t="s">
        <v>56</v>
      </c>
      <c r="E33" s="77"/>
      <c r="F33" s="79"/>
      <c r="G33" s="80"/>
      <c r="H33" s="81">
        <f t="shared" si="0"/>
        <v>0</v>
      </c>
      <c r="I33" s="82"/>
      <c r="J33" s="77"/>
      <c r="K33" s="100">
        <v>1</v>
      </c>
      <c r="L33" s="101">
        <v>1</v>
      </c>
      <c r="M33" s="85">
        <f t="shared" si="1"/>
        <v>1</v>
      </c>
      <c r="N33" s="102" t="s">
        <v>451</v>
      </c>
      <c r="O33" s="77"/>
      <c r="P33" s="100">
        <v>1</v>
      </c>
      <c r="Q33" s="101">
        <v>0.5</v>
      </c>
      <c r="R33" s="85">
        <f t="shared" si="2"/>
        <v>0.5</v>
      </c>
      <c r="S33" s="102" t="s">
        <v>465</v>
      </c>
      <c r="T33" s="77"/>
      <c r="U33" s="79"/>
      <c r="V33" s="80"/>
      <c r="W33" s="81">
        <f t="shared" si="3"/>
        <v>0</v>
      </c>
      <c r="X33" s="82"/>
      <c r="Y33" s="77"/>
      <c r="Z33" s="79"/>
      <c r="AA33" s="80"/>
      <c r="AB33" s="81">
        <f t="shared" si="4"/>
        <v>0</v>
      </c>
      <c r="AC33" s="82"/>
      <c r="AD33" s="77"/>
      <c r="AE33" s="79"/>
      <c r="AF33" s="80"/>
      <c r="AG33" s="81">
        <f t="shared" si="5"/>
        <v>0</v>
      </c>
      <c r="AH33" s="82"/>
      <c r="AI33" s="77"/>
      <c r="AJ33" s="79"/>
      <c r="AK33" s="80"/>
      <c r="AL33" s="81">
        <f t="shared" si="6"/>
        <v>0</v>
      </c>
      <c r="AM33" s="82"/>
      <c r="AN33" s="77"/>
      <c r="AO33" s="100">
        <v>1</v>
      </c>
      <c r="AP33" s="101">
        <v>0.5</v>
      </c>
      <c r="AQ33" s="85">
        <f t="shared" si="7"/>
        <v>0.5</v>
      </c>
      <c r="AR33" s="102" t="s">
        <v>193</v>
      </c>
    </row>
    <row r="34" spans="1:44" ht="234" customHeight="1" x14ac:dyDescent="0.25">
      <c r="A34" s="77">
        <v>31</v>
      </c>
      <c r="B34" s="78" t="s">
        <v>6</v>
      </c>
      <c r="C34" s="78" t="s">
        <v>9</v>
      </c>
      <c r="D34" s="102" t="s">
        <v>57</v>
      </c>
      <c r="E34" s="77"/>
      <c r="F34" s="79"/>
      <c r="G34" s="80"/>
      <c r="H34" s="81">
        <f t="shared" si="0"/>
        <v>0</v>
      </c>
      <c r="I34" s="82"/>
      <c r="J34" s="77"/>
      <c r="K34" s="100">
        <v>1</v>
      </c>
      <c r="L34" s="101">
        <v>0.62</v>
      </c>
      <c r="M34" s="85">
        <f t="shared" si="1"/>
        <v>0.62</v>
      </c>
      <c r="N34" s="102" t="s">
        <v>1582</v>
      </c>
      <c r="O34" s="77"/>
      <c r="P34" s="100">
        <v>1</v>
      </c>
      <c r="Q34" s="101">
        <v>0.3</v>
      </c>
      <c r="R34" s="85">
        <f t="shared" si="2"/>
        <v>0.3</v>
      </c>
      <c r="S34" s="102" t="s">
        <v>173</v>
      </c>
      <c r="T34" s="77"/>
      <c r="U34" s="79"/>
      <c r="V34" s="80"/>
      <c r="W34" s="81">
        <f t="shared" si="3"/>
        <v>0</v>
      </c>
      <c r="X34" s="82"/>
      <c r="Y34" s="77"/>
      <c r="Z34" s="79"/>
      <c r="AA34" s="80"/>
      <c r="AB34" s="81">
        <f t="shared" si="4"/>
        <v>0</v>
      </c>
      <c r="AC34" s="82"/>
      <c r="AD34" s="77"/>
      <c r="AE34" s="79"/>
      <c r="AF34" s="80"/>
      <c r="AG34" s="81">
        <f t="shared" si="5"/>
        <v>0</v>
      </c>
      <c r="AH34" s="82"/>
      <c r="AI34" s="77"/>
      <c r="AJ34" s="79"/>
      <c r="AK34" s="80"/>
      <c r="AL34" s="81">
        <f t="shared" si="6"/>
        <v>0</v>
      </c>
      <c r="AM34" s="82"/>
      <c r="AN34" s="77"/>
      <c r="AO34" s="100">
        <v>1</v>
      </c>
      <c r="AP34" s="101">
        <v>0.5</v>
      </c>
      <c r="AQ34" s="85">
        <f t="shared" si="7"/>
        <v>0.5</v>
      </c>
      <c r="AR34" s="102" t="s">
        <v>194</v>
      </c>
    </row>
    <row r="35" spans="1:44" ht="119.25" customHeight="1" x14ac:dyDescent="0.25">
      <c r="A35" s="77">
        <v>32</v>
      </c>
      <c r="B35" s="78" t="s">
        <v>6</v>
      </c>
      <c r="C35" s="78" t="s">
        <v>9</v>
      </c>
      <c r="D35" s="102" t="s">
        <v>58</v>
      </c>
      <c r="E35" s="77"/>
      <c r="F35" s="79"/>
      <c r="G35" s="80"/>
      <c r="H35" s="81">
        <f t="shared" si="0"/>
        <v>0</v>
      </c>
      <c r="I35" s="78"/>
      <c r="J35" s="77"/>
      <c r="K35" s="100">
        <v>1</v>
      </c>
      <c r="L35" s="101">
        <v>0.9</v>
      </c>
      <c r="M35" s="85">
        <f t="shared" si="1"/>
        <v>0.9</v>
      </c>
      <c r="N35" s="102" t="s">
        <v>152</v>
      </c>
      <c r="O35" s="77"/>
      <c r="P35" s="100">
        <v>1</v>
      </c>
      <c r="Q35" s="101">
        <v>0.7</v>
      </c>
      <c r="R35" s="85">
        <f t="shared" si="2"/>
        <v>0.7</v>
      </c>
      <c r="S35" s="102" t="s">
        <v>332</v>
      </c>
      <c r="T35" s="77"/>
      <c r="U35" s="79"/>
      <c r="V35" s="80"/>
      <c r="W35" s="81">
        <f t="shared" si="3"/>
        <v>0</v>
      </c>
      <c r="X35" s="82"/>
      <c r="Y35" s="77"/>
      <c r="Z35" s="79"/>
      <c r="AA35" s="80"/>
      <c r="AB35" s="81">
        <f t="shared" si="4"/>
        <v>0</v>
      </c>
      <c r="AC35" s="82"/>
      <c r="AD35" s="77"/>
      <c r="AE35" s="79"/>
      <c r="AF35" s="80"/>
      <c r="AG35" s="81">
        <f t="shared" si="5"/>
        <v>0</v>
      </c>
      <c r="AH35" s="82"/>
      <c r="AI35" s="77"/>
      <c r="AJ35" s="79"/>
      <c r="AK35" s="80"/>
      <c r="AL35" s="81">
        <f t="shared" si="6"/>
        <v>0</v>
      </c>
      <c r="AM35" s="82"/>
      <c r="AN35" s="77"/>
      <c r="AO35" s="100">
        <v>1</v>
      </c>
      <c r="AP35" s="101">
        <v>0.5</v>
      </c>
      <c r="AQ35" s="85">
        <f t="shared" si="7"/>
        <v>0.5</v>
      </c>
      <c r="AR35" s="102" t="s">
        <v>348</v>
      </c>
    </row>
    <row r="36" spans="1:44" ht="202.5" customHeight="1" x14ac:dyDescent="0.25">
      <c r="A36" s="77">
        <v>33</v>
      </c>
      <c r="B36" s="78" t="s">
        <v>6</v>
      </c>
      <c r="C36" s="78" t="s">
        <v>9</v>
      </c>
      <c r="D36" s="78" t="s">
        <v>59</v>
      </c>
      <c r="E36" s="77"/>
      <c r="F36" s="79"/>
      <c r="G36" s="80"/>
      <c r="H36" s="81">
        <f t="shared" si="0"/>
        <v>0</v>
      </c>
      <c r="I36" s="82"/>
      <c r="J36" s="77"/>
      <c r="K36" s="100">
        <v>1</v>
      </c>
      <c r="L36" s="101">
        <v>1</v>
      </c>
      <c r="M36" s="85">
        <f t="shared" si="1"/>
        <v>1</v>
      </c>
      <c r="N36" s="102"/>
      <c r="O36" s="77"/>
      <c r="P36" s="100">
        <v>1</v>
      </c>
      <c r="Q36" s="101">
        <v>0.5</v>
      </c>
      <c r="R36" s="85">
        <f t="shared" si="2"/>
        <v>0.5</v>
      </c>
      <c r="S36" s="102" t="s">
        <v>384</v>
      </c>
      <c r="T36" s="77"/>
      <c r="U36" s="79"/>
      <c r="V36" s="80"/>
      <c r="W36" s="81">
        <f t="shared" si="3"/>
        <v>0</v>
      </c>
      <c r="X36" s="82"/>
      <c r="Y36" s="77"/>
      <c r="Z36" s="79"/>
      <c r="AA36" s="80"/>
      <c r="AB36" s="81">
        <f t="shared" si="4"/>
        <v>0</v>
      </c>
      <c r="AC36" s="82"/>
      <c r="AD36" s="77"/>
      <c r="AE36" s="79"/>
      <c r="AF36" s="80"/>
      <c r="AG36" s="81">
        <f t="shared" si="5"/>
        <v>0</v>
      </c>
      <c r="AH36" s="82"/>
      <c r="AI36" s="77"/>
      <c r="AJ36" s="79"/>
      <c r="AK36" s="80"/>
      <c r="AL36" s="81">
        <f t="shared" si="6"/>
        <v>0</v>
      </c>
      <c r="AM36" s="82"/>
      <c r="AN36" s="77"/>
      <c r="AO36" s="100">
        <v>1</v>
      </c>
      <c r="AP36" s="101">
        <v>0.8</v>
      </c>
      <c r="AQ36" s="85">
        <f t="shared" si="7"/>
        <v>0.8</v>
      </c>
      <c r="AR36" s="102" t="s">
        <v>196</v>
      </c>
    </row>
    <row r="37" spans="1:44" ht="163.5" customHeight="1" x14ac:dyDescent="0.25">
      <c r="A37" s="77">
        <v>34</v>
      </c>
      <c r="B37" s="78" t="s">
        <v>6</v>
      </c>
      <c r="C37" s="78" t="s">
        <v>9</v>
      </c>
      <c r="D37" s="78" t="s">
        <v>60</v>
      </c>
      <c r="E37" s="77"/>
      <c r="F37" s="79"/>
      <c r="G37" s="80"/>
      <c r="H37" s="81">
        <f t="shared" si="0"/>
        <v>0</v>
      </c>
      <c r="I37" s="82"/>
      <c r="J37" s="77"/>
      <c r="K37" s="100">
        <v>1</v>
      </c>
      <c r="L37" s="101">
        <v>1</v>
      </c>
      <c r="M37" s="85">
        <f t="shared" si="1"/>
        <v>1</v>
      </c>
      <c r="N37" s="102" t="s">
        <v>409</v>
      </c>
      <c r="O37" s="77"/>
      <c r="P37" s="100">
        <v>1</v>
      </c>
      <c r="Q37" s="101">
        <v>1</v>
      </c>
      <c r="R37" s="85">
        <f t="shared" si="2"/>
        <v>1</v>
      </c>
      <c r="S37" s="102" t="s">
        <v>176</v>
      </c>
      <c r="T37" s="77"/>
      <c r="U37" s="79"/>
      <c r="V37" s="80"/>
      <c r="W37" s="81">
        <f t="shared" si="3"/>
        <v>0</v>
      </c>
      <c r="X37" s="82"/>
      <c r="Y37" s="77"/>
      <c r="Z37" s="79"/>
      <c r="AA37" s="80"/>
      <c r="AB37" s="81">
        <f t="shared" si="4"/>
        <v>0</v>
      </c>
      <c r="AC37" s="82"/>
      <c r="AD37" s="77"/>
      <c r="AE37" s="79"/>
      <c r="AF37" s="80"/>
      <c r="AG37" s="81">
        <f t="shared" si="5"/>
        <v>0</v>
      </c>
      <c r="AH37" s="82"/>
      <c r="AI37" s="77"/>
      <c r="AJ37" s="79"/>
      <c r="AK37" s="80"/>
      <c r="AL37" s="81">
        <f t="shared" si="6"/>
        <v>0</v>
      </c>
      <c r="AM37" s="82"/>
      <c r="AN37" s="77"/>
      <c r="AO37" s="100">
        <v>0</v>
      </c>
      <c r="AP37" s="101">
        <v>0</v>
      </c>
      <c r="AQ37" s="85">
        <f t="shared" si="7"/>
        <v>0</v>
      </c>
      <c r="AR37" s="102" t="s">
        <v>297</v>
      </c>
    </row>
    <row r="38" spans="1:44" ht="245.25" customHeight="1" x14ac:dyDescent="0.25">
      <c r="A38" s="77">
        <v>35</v>
      </c>
      <c r="B38" s="78" t="s">
        <v>6</v>
      </c>
      <c r="C38" s="78" t="s">
        <v>9</v>
      </c>
      <c r="D38" s="78" t="s">
        <v>61</v>
      </c>
      <c r="E38" s="77"/>
      <c r="F38" s="79"/>
      <c r="G38" s="80"/>
      <c r="H38" s="81">
        <f t="shared" si="0"/>
        <v>0</v>
      </c>
      <c r="I38" s="82"/>
      <c r="J38" s="77"/>
      <c r="K38" s="100">
        <v>1</v>
      </c>
      <c r="L38" s="101">
        <v>0.9</v>
      </c>
      <c r="M38" s="85">
        <f t="shared" si="1"/>
        <v>0.9</v>
      </c>
      <c r="N38" s="102" t="s">
        <v>452</v>
      </c>
      <c r="O38" s="77"/>
      <c r="P38" s="100">
        <v>1</v>
      </c>
      <c r="Q38" s="101">
        <v>0.98</v>
      </c>
      <c r="R38" s="85">
        <f t="shared" si="2"/>
        <v>0.98</v>
      </c>
      <c r="S38" s="102" t="s">
        <v>234</v>
      </c>
      <c r="T38" s="77"/>
      <c r="U38" s="79"/>
      <c r="V38" s="80"/>
      <c r="W38" s="81">
        <f t="shared" si="3"/>
        <v>0</v>
      </c>
      <c r="X38" s="82"/>
      <c r="Y38" s="77"/>
      <c r="Z38" s="79"/>
      <c r="AA38" s="80"/>
      <c r="AB38" s="81">
        <f t="shared" si="4"/>
        <v>0</v>
      </c>
      <c r="AC38" s="82"/>
      <c r="AD38" s="77"/>
      <c r="AE38" s="79"/>
      <c r="AF38" s="80"/>
      <c r="AG38" s="81">
        <f t="shared" si="5"/>
        <v>0</v>
      </c>
      <c r="AH38" s="82"/>
      <c r="AI38" s="77"/>
      <c r="AJ38" s="79"/>
      <c r="AK38" s="80"/>
      <c r="AL38" s="81">
        <f t="shared" si="6"/>
        <v>0</v>
      </c>
      <c r="AM38" s="82"/>
      <c r="AN38" s="77"/>
      <c r="AO38" s="100">
        <v>1</v>
      </c>
      <c r="AP38" s="101">
        <v>0.6</v>
      </c>
      <c r="AQ38" s="85">
        <f t="shared" si="7"/>
        <v>0.6</v>
      </c>
      <c r="AR38" s="102" t="s">
        <v>479</v>
      </c>
    </row>
    <row r="39" spans="1:44" ht="300.75" customHeight="1" x14ac:dyDescent="0.25">
      <c r="A39" s="77">
        <v>36</v>
      </c>
      <c r="B39" s="78" t="s">
        <v>6</v>
      </c>
      <c r="C39" s="78" t="s">
        <v>9</v>
      </c>
      <c r="D39" s="78" t="s">
        <v>62</v>
      </c>
      <c r="E39" s="77"/>
      <c r="F39" s="79"/>
      <c r="G39" s="80"/>
      <c r="H39" s="81">
        <f t="shared" si="0"/>
        <v>0</v>
      </c>
      <c r="I39" s="82"/>
      <c r="J39" s="77"/>
      <c r="K39" s="100">
        <v>1</v>
      </c>
      <c r="L39" s="101">
        <v>0.9</v>
      </c>
      <c r="M39" s="85">
        <f t="shared" si="1"/>
        <v>0.9</v>
      </c>
      <c r="N39" s="102" t="s">
        <v>216</v>
      </c>
      <c r="O39" s="77"/>
      <c r="P39" s="100">
        <v>1</v>
      </c>
      <c r="Q39" s="101">
        <v>0.96</v>
      </c>
      <c r="R39" s="85">
        <f t="shared" si="2"/>
        <v>0.96</v>
      </c>
      <c r="S39" s="102" t="s">
        <v>177</v>
      </c>
      <c r="T39" s="77"/>
      <c r="U39" s="79"/>
      <c r="V39" s="80"/>
      <c r="W39" s="81">
        <f t="shared" si="3"/>
        <v>0</v>
      </c>
      <c r="X39" s="82"/>
      <c r="Y39" s="77"/>
      <c r="Z39" s="79"/>
      <c r="AA39" s="80"/>
      <c r="AB39" s="81">
        <f t="shared" si="4"/>
        <v>0</v>
      </c>
      <c r="AC39" s="82"/>
      <c r="AD39" s="77"/>
      <c r="AE39" s="79"/>
      <c r="AF39" s="80"/>
      <c r="AG39" s="81">
        <f t="shared" si="5"/>
        <v>0</v>
      </c>
      <c r="AH39" s="82"/>
      <c r="AI39" s="77"/>
      <c r="AJ39" s="79"/>
      <c r="AK39" s="80"/>
      <c r="AL39" s="81">
        <f t="shared" si="6"/>
        <v>0</v>
      </c>
      <c r="AM39" s="82"/>
      <c r="AN39" s="77"/>
      <c r="AO39" s="100">
        <v>1</v>
      </c>
      <c r="AP39" s="101">
        <v>0.65</v>
      </c>
      <c r="AQ39" s="85">
        <f t="shared" si="7"/>
        <v>0.65</v>
      </c>
      <c r="AR39" s="102" t="s">
        <v>198</v>
      </c>
    </row>
    <row r="40" spans="1:44" ht="149.25" customHeight="1" x14ac:dyDescent="0.25">
      <c r="A40" s="77">
        <v>37</v>
      </c>
      <c r="B40" s="78" t="s">
        <v>6</v>
      </c>
      <c r="C40" s="78" t="s">
        <v>9</v>
      </c>
      <c r="D40" s="78" t="s">
        <v>63</v>
      </c>
      <c r="E40" s="77"/>
      <c r="F40" s="79"/>
      <c r="G40" s="80"/>
      <c r="H40" s="81">
        <f t="shared" si="0"/>
        <v>0</v>
      </c>
      <c r="I40" s="82"/>
      <c r="J40" s="77"/>
      <c r="K40" s="100">
        <v>1</v>
      </c>
      <c r="L40" s="101">
        <v>0.65</v>
      </c>
      <c r="M40" s="85">
        <f t="shared" si="1"/>
        <v>0.65</v>
      </c>
      <c r="N40" s="102" t="s">
        <v>453</v>
      </c>
      <c r="O40" s="77"/>
      <c r="P40" s="100">
        <v>1</v>
      </c>
      <c r="Q40" s="101">
        <v>0.98</v>
      </c>
      <c r="R40" s="85">
        <f t="shared" si="2"/>
        <v>0.98</v>
      </c>
      <c r="S40" s="102" t="s">
        <v>466</v>
      </c>
      <c r="T40" s="77"/>
      <c r="U40" s="79"/>
      <c r="V40" s="80"/>
      <c r="W40" s="81">
        <f t="shared" si="3"/>
        <v>0</v>
      </c>
      <c r="X40" s="82"/>
      <c r="Y40" s="77"/>
      <c r="Z40" s="79"/>
      <c r="AA40" s="80"/>
      <c r="AB40" s="81">
        <f t="shared" si="4"/>
        <v>0</v>
      </c>
      <c r="AC40" s="82"/>
      <c r="AD40" s="77"/>
      <c r="AE40" s="79"/>
      <c r="AF40" s="80"/>
      <c r="AG40" s="81">
        <f t="shared" si="5"/>
        <v>0</v>
      </c>
      <c r="AH40" s="82"/>
      <c r="AI40" s="77"/>
      <c r="AJ40" s="79"/>
      <c r="AK40" s="80"/>
      <c r="AL40" s="81">
        <f t="shared" si="6"/>
        <v>0</v>
      </c>
      <c r="AM40" s="82"/>
      <c r="AN40" s="77"/>
      <c r="AO40" s="100">
        <v>1</v>
      </c>
      <c r="AP40" s="101">
        <v>0.6</v>
      </c>
      <c r="AQ40" s="85">
        <f t="shared" si="7"/>
        <v>0.6</v>
      </c>
      <c r="AR40" s="102" t="s">
        <v>199</v>
      </c>
    </row>
    <row r="41" spans="1:44" ht="146.25" customHeight="1" x14ac:dyDescent="0.25">
      <c r="A41" s="77">
        <v>38</v>
      </c>
      <c r="B41" s="78" t="s">
        <v>10</v>
      </c>
      <c r="C41" s="78" t="s">
        <v>11</v>
      </c>
      <c r="D41" s="78" t="s">
        <v>65</v>
      </c>
      <c r="E41" s="77"/>
      <c r="F41" s="79"/>
      <c r="G41" s="80"/>
      <c r="H41" s="81">
        <f t="shared" si="0"/>
        <v>0</v>
      </c>
      <c r="I41" s="82"/>
      <c r="J41" s="77"/>
      <c r="K41" s="100">
        <v>1</v>
      </c>
      <c r="L41" s="101">
        <v>0.93</v>
      </c>
      <c r="M41" s="85">
        <f t="shared" si="1"/>
        <v>0.93</v>
      </c>
      <c r="N41" s="78" t="s">
        <v>1567</v>
      </c>
      <c r="O41" s="77"/>
      <c r="P41" s="100">
        <v>1</v>
      </c>
      <c r="Q41" s="101">
        <v>0.87</v>
      </c>
      <c r="R41" s="85">
        <f t="shared" si="2"/>
        <v>0.87</v>
      </c>
      <c r="S41" s="102" t="s">
        <v>1560</v>
      </c>
      <c r="T41" s="77"/>
      <c r="U41" s="79"/>
      <c r="V41" s="80"/>
      <c r="W41" s="81">
        <f t="shared" si="3"/>
        <v>0</v>
      </c>
      <c r="X41" s="82"/>
      <c r="Y41" s="77"/>
      <c r="Z41" s="79"/>
      <c r="AA41" s="80"/>
      <c r="AB41" s="81">
        <f t="shared" si="4"/>
        <v>0</v>
      </c>
      <c r="AC41" s="82"/>
      <c r="AD41" s="77"/>
      <c r="AE41" s="79"/>
      <c r="AF41" s="80"/>
      <c r="AG41" s="81">
        <f t="shared" si="5"/>
        <v>0</v>
      </c>
      <c r="AH41" s="82"/>
      <c r="AI41" s="77"/>
      <c r="AJ41" s="79"/>
      <c r="AK41" s="80"/>
      <c r="AL41" s="81">
        <f t="shared" si="6"/>
        <v>0</v>
      </c>
      <c r="AM41" s="82"/>
      <c r="AN41" s="77"/>
      <c r="AO41" s="100">
        <v>1</v>
      </c>
      <c r="AP41" s="101">
        <v>0.87</v>
      </c>
      <c r="AQ41" s="85">
        <f t="shared" si="7"/>
        <v>0.87</v>
      </c>
      <c r="AR41" s="122" t="s">
        <v>1561</v>
      </c>
    </row>
    <row r="42" spans="1:44" ht="105.75" customHeight="1" x14ac:dyDescent="0.25">
      <c r="A42" s="77">
        <v>39</v>
      </c>
      <c r="B42" s="78" t="s">
        <v>10</v>
      </c>
      <c r="C42" s="78" t="s">
        <v>11</v>
      </c>
      <c r="D42" s="78" t="s">
        <v>66</v>
      </c>
      <c r="E42" s="77"/>
      <c r="F42" s="79"/>
      <c r="G42" s="80"/>
      <c r="H42" s="81">
        <f t="shared" si="0"/>
        <v>0</v>
      </c>
      <c r="I42" s="82"/>
      <c r="J42" s="77"/>
      <c r="K42" s="100">
        <v>1</v>
      </c>
      <c r="L42" s="101">
        <v>1</v>
      </c>
      <c r="M42" s="85">
        <f t="shared" si="1"/>
        <v>1</v>
      </c>
      <c r="N42" s="78" t="s">
        <v>1058</v>
      </c>
      <c r="O42" s="77"/>
      <c r="P42" s="100">
        <v>1</v>
      </c>
      <c r="Q42" s="101">
        <v>1</v>
      </c>
      <c r="R42" s="85">
        <f t="shared" si="2"/>
        <v>1</v>
      </c>
      <c r="S42" s="102" t="s">
        <v>1064</v>
      </c>
      <c r="T42" s="77"/>
      <c r="U42" s="79"/>
      <c r="V42" s="80"/>
      <c r="W42" s="81">
        <f t="shared" si="3"/>
        <v>0</v>
      </c>
      <c r="X42" s="82"/>
      <c r="Y42" s="77"/>
      <c r="Z42" s="79"/>
      <c r="AA42" s="80"/>
      <c r="AB42" s="81">
        <f t="shared" si="4"/>
        <v>0</v>
      </c>
      <c r="AC42" s="82"/>
      <c r="AD42" s="77"/>
      <c r="AE42" s="79"/>
      <c r="AF42" s="80"/>
      <c r="AG42" s="81">
        <f t="shared" si="5"/>
        <v>0</v>
      </c>
      <c r="AH42" s="82"/>
      <c r="AI42" s="77"/>
      <c r="AJ42" s="79"/>
      <c r="AK42" s="80"/>
      <c r="AL42" s="81">
        <f t="shared" si="6"/>
        <v>0</v>
      </c>
      <c r="AM42" s="82"/>
      <c r="AN42" s="77"/>
      <c r="AO42" s="100">
        <v>1</v>
      </c>
      <c r="AP42" s="101">
        <v>1</v>
      </c>
      <c r="AQ42" s="85">
        <f t="shared" si="7"/>
        <v>1</v>
      </c>
      <c r="AR42" s="102" t="s">
        <v>1066</v>
      </c>
    </row>
    <row r="43" spans="1:44" ht="93" customHeight="1" x14ac:dyDescent="0.25">
      <c r="A43" s="77">
        <v>40</v>
      </c>
      <c r="B43" s="78" t="s">
        <v>10</v>
      </c>
      <c r="C43" s="78" t="s">
        <v>11</v>
      </c>
      <c r="D43" s="78" t="s">
        <v>67</v>
      </c>
      <c r="E43" s="77"/>
      <c r="F43" s="79"/>
      <c r="G43" s="80"/>
      <c r="H43" s="81">
        <f t="shared" si="0"/>
        <v>0</v>
      </c>
      <c r="I43" s="82"/>
      <c r="J43" s="77"/>
      <c r="K43" s="100">
        <v>1</v>
      </c>
      <c r="L43" s="101">
        <v>0.85</v>
      </c>
      <c r="M43" s="85">
        <f t="shared" si="1"/>
        <v>0.85</v>
      </c>
      <c r="N43" s="78" t="s">
        <v>1562</v>
      </c>
      <c r="O43" s="77"/>
      <c r="P43" s="100">
        <v>1</v>
      </c>
      <c r="Q43" s="101">
        <v>0.9</v>
      </c>
      <c r="R43" s="85">
        <f t="shared" si="2"/>
        <v>0.9</v>
      </c>
      <c r="S43" s="102" t="s">
        <v>1563</v>
      </c>
      <c r="T43" s="77"/>
      <c r="U43" s="79"/>
      <c r="V43" s="80"/>
      <c r="W43" s="81">
        <f t="shared" si="3"/>
        <v>0</v>
      </c>
      <c r="X43" s="82"/>
      <c r="Y43" s="77"/>
      <c r="Z43" s="79"/>
      <c r="AA43" s="80"/>
      <c r="AB43" s="81">
        <f t="shared" si="4"/>
        <v>0</v>
      </c>
      <c r="AC43" s="82"/>
      <c r="AD43" s="77"/>
      <c r="AE43" s="79"/>
      <c r="AF43" s="80"/>
      <c r="AG43" s="81">
        <f t="shared" si="5"/>
        <v>0</v>
      </c>
      <c r="AH43" s="82"/>
      <c r="AI43" s="77"/>
      <c r="AJ43" s="79"/>
      <c r="AK43" s="80"/>
      <c r="AL43" s="81">
        <f t="shared" si="6"/>
        <v>0</v>
      </c>
      <c r="AM43" s="82"/>
      <c r="AN43" s="77"/>
      <c r="AO43" s="100">
        <v>1</v>
      </c>
      <c r="AP43" s="101">
        <v>0.65</v>
      </c>
      <c r="AQ43" s="85">
        <f t="shared" si="7"/>
        <v>0.65</v>
      </c>
      <c r="AR43" s="102" t="s">
        <v>1564</v>
      </c>
    </row>
    <row r="44" spans="1:44" ht="101.25" customHeight="1" x14ac:dyDescent="0.25">
      <c r="A44" s="77">
        <v>41</v>
      </c>
      <c r="B44" s="78" t="s">
        <v>10</v>
      </c>
      <c r="C44" s="78" t="s">
        <v>11</v>
      </c>
      <c r="D44" s="78" t="s">
        <v>68</v>
      </c>
      <c r="E44" s="77"/>
      <c r="F44" s="79"/>
      <c r="G44" s="80"/>
      <c r="H44" s="81">
        <f t="shared" si="0"/>
        <v>0</v>
      </c>
      <c r="I44" s="82"/>
      <c r="J44" s="77"/>
      <c r="K44" s="100">
        <v>1</v>
      </c>
      <c r="L44" s="101">
        <v>1</v>
      </c>
      <c r="M44" s="85">
        <f t="shared" si="1"/>
        <v>1</v>
      </c>
      <c r="N44" s="78" t="s">
        <v>1059</v>
      </c>
      <c r="O44" s="77"/>
      <c r="P44" s="100">
        <v>1</v>
      </c>
      <c r="Q44" s="101">
        <v>0.87</v>
      </c>
      <c r="R44" s="85">
        <f t="shared" si="2"/>
        <v>0.87</v>
      </c>
      <c r="S44" s="102" t="s">
        <v>1346</v>
      </c>
      <c r="T44" s="77"/>
      <c r="U44" s="79"/>
      <c r="V44" s="80"/>
      <c r="W44" s="81">
        <f t="shared" si="3"/>
        <v>0</v>
      </c>
      <c r="X44" s="82"/>
      <c r="Y44" s="77"/>
      <c r="Z44" s="79"/>
      <c r="AA44" s="80"/>
      <c r="AB44" s="81">
        <f t="shared" si="4"/>
        <v>0</v>
      </c>
      <c r="AC44" s="82"/>
      <c r="AD44" s="77"/>
      <c r="AE44" s="79"/>
      <c r="AF44" s="80"/>
      <c r="AG44" s="81">
        <f t="shared" si="5"/>
        <v>0</v>
      </c>
      <c r="AH44" s="82"/>
      <c r="AI44" s="77"/>
      <c r="AJ44" s="79"/>
      <c r="AK44" s="80"/>
      <c r="AL44" s="81">
        <f t="shared" si="6"/>
        <v>0</v>
      </c>
      <c r="AM44" s="82"/>
      <c r="AN44" s="77"/>
      <c r="AO44" s="100">
        <v>1</v>
      </c>
      <c r="AP44" s="101">
        <v>0.9</v>
      </c>
      <c r="AQ44" s="85">
        <f t="shared" si="7"/>
        <v>0.9</v>
      </c>
      <c r="AR44" s="102" t="s">
        <v>1382</v>
      </c>
    </row>
    <row r="45" spans="1:44" ht="77.25" customHeight="1" x14ac:dyDescent="0.25">
      <c r="A45" s="77">
        <v>42</v>
      </c>
      <c r="B45" s="78" t="s">
        <v>10</v>
      </c>
      <c r="C45" s="78" t="s">
        <v>11</v>
      </c>
      <c r="D45" s="78" t="s">
        <v>69</v>
      </c>
      <c r="E45" s="77"/>
      <c r="F45" s="79"/>
      <c r="G45" s="80"/>
      <c r="H45" s="81">
        <f t="shared" si="0"/>
        <v>0</v>
      </c>
      <c r="I45" s="82"/>
      <c r="J45" s="77"/>
      <c r="K45" s="100">
        <v>1</v>
      </c>
      <c r="L45" s="101">
        <v>1</v>
      </c>
      <c r="M45" s="85">
        <f t="shared" si="1"/>
        <v>1</v>
      </c>
      <c r="N45" s="78" t="s">
        <v>1063</v>
      </c>
      <c r="O45" s="77"/>
      <c r="P45" s="100">
        <v>1</v>
      </c>
      <c r="Q45" s="101">
        <v>0.7</v>
      </c>
      <c r="R45" s="85">
        <f t="shared" si="2"/>
        <v>0.7</v>
      </c>
      <c r="S45" s="102" t="s">
        <v>1276</v>
      </c>
      <c r="T45" s="77"/>
      <c r="U45" s="79"/>
      <c r="V45" s="80"/>
      <c r="W45" s="81">
        <f t="shared" si="3"/>
        <v>0</v>
      </c>
      <c r="X45" s="82"/>
      <c r="Y45" s="77"/>
      <c r="Z45" s="79"/>
      <c r="AA45" s="80"/>
      <c r="AB45" s="81">
        <f t="shared" si="4"/>
        <v>0</v>
      </c>
      <c r="AC45" s="82"/>
      <c r="AD45" s="77"/>
      <c r="AE45" s="79"/>
      <c r="AF45" s="80"/>
      <c r="AG45" s="81">
        <f t="shared" si="5"/>
        <v>0</v>
      </c>
      <c r="AH45" s="82"/>
      <c r="AI45" s="77"/>
      <c r="AJ45" s="79"/>
      <c r="AK45" s="80"/>
      <c r="AL45" s="81">
        <f t="shared" si="6"/>
        <v>0</v>
      </c>
      <c r="AM45" s="82"/>
      <c r="AN45" s="77"/>
      <c r="AO45" s="100">
        <v>1</v>
      </c>
      <c r="AP45" s="101">
        <v>0.95</v>
      </c>
      <c r="AQ45" s="85">
        <f t="shared" si="7"/>
        <v>0.95</v>
      </c>
      <c r="AR45" s="102" t="s">
        <v>1277</v>
      </c>
    </row>
    <row r="46" spans="1:44" ht="76.5" customHeight="1" x14ac:dyDescent="0.25">
      <c r="A46" s="77">
        <v>43</v>
      </c>
      <c r="B46" s="78" t="s">
        <v>10</v>
      </c>
      <c r="C46" s="78" t="s">
        <v>11</v>
      </c>
      <c r="D46" s="78" t="s">
        <v>70</v>
      </c>
      <c r="E46" s="77"/>
      <c r="F46" s="79"/>
      <c r="G46" s="80"/>
      <c r="H46" s="81">
        <f t="shared" si="0"/>
        <v>0</v>
      </c>
      <c r="I46" s="82"/>
      <c r="J46" s="77"/>
      <c r="K46" s="100">
        <v>1</v>
      </c>
      <c r="L46" s="101">
        <v>0.97</v>
      </c>
      <c r="M46" s="85">
        <f t="shared" si="1"/>
        <v>0.97</v>
      </c>
      <c r="N46" s="78" t="s">
        <v>1565</v>
      </c>
      <c r="O46" s="77"/>
      <c r="P46" s="100">
        <v>1</v>
      </c>
      <c r="Q46" s="101">
        <v>0.87</v>
      </c>
      <c r="R46" s="85">
        <f t="shared" si="2"/>
        <v>0.87</v>
      </c>
      <c r="S46" s="102" t="s">
        <v>1566</v>
      </c>
      <c r="T46" s="77"/>
      <c r="U46" s="79"/>
      <c r="V46" s="80"/>
      <c r="W46" s="81">
        <f t="shared" si="3"/>
        <v>0</v>
      </c>
      <c r="X46" s="82"/>
      <c r="Y46" s="77"/>
      <c r="Z46" s="79"/>
      <c r="AA46" s="80"/>
      <c r="AB46" s="81">
        <f t="shared" si="4"/>
        <v>0</v>
      </c>
      <c r="AC46" s="82"/>
      <c r="AD46" s="77"/>
      <c r="AE46" s="79"/>
      <c r="AF46" s="80"/>
      <c r="AG46" s="81">
        <f t="shared" si="5"/>
        <v>0</v>
      </c>
      <c r="AH46" s="82"/>
      <c r="AI46" s="77"/>
      <c r="AJ46" s="79"/>
      <c r="AK46" s="80"/>
      <c r="AL46" s="81">
        <f t="shared" si="6"/>
        <v>0</v>
      </c>
      <c r="AM46" s="82"/>
      <c r="AN46" s="77"/>
      <c r="AO46" s="100">
        <v>1</v>
      </c>
      <c r="AP46" s="101">
        <v>1</v>
      </c>
      <c r="AQ46" s="85">
        <f t="shared" si="7"/>
        <v>1</v>
      </c>
      <c r="AR46" s="142" t="s">
        <v>1568</v>
      </c>
    </row>
    <row r="47" spans="1:44" ht="47.25" x14ac:dyDescent="0.25">
      <c r="A47" s="77">
        <v>44</v>
      </c>
      <c r="B47" s="78" t="s">
        <v>10</v>
      </c>
      <c r="C47" s="78" t="s">
        <v>11</v>
      </c>
      <c r="D47" s="78" t="s">
        <v>12</v>
      </c>
      <c r="E47" s="77"/>
      <c r="F47" s="79"/>
      <c r="G47" s="80"/>
      <c r="H47" s="81">
        <f t="shared" si="0"/>
        <v>0</v>
      </c>
      <c r="I47" s="82"/>
      <c r="J47" s="77"/>
      <c r="K47" s="100">
        <v>1</v>
      </c>
      <c r="L47" s="101">
        <v>1</v>
      </c>
      <c r="M47" s="85">
        <f t="shared" si="1"/>
        <v>1</v>
      </c>
      <c r="N47" s="78" t="s">
        <v>1062</v>
      </c>
      <c r="O47" s="77"/>
      <c r="P47" s="100">
        <v>1</v>
      </c>
      <c r="Q47" s="101">
        <v>1</v>
      </c>
      <c r="R47" s="85">
        <f t="shared" si="2"/>
        <v>1</v>
      </c>
      <c r="S47" s="122" t="s">
        <v>1065</v>
      </c>
      <c r="T47" s="77"/>
      <c r="U47" s="79"/>
      <c r="V47" s="80"/>
      <c r="W47" s="81">
        <f t="shared" si="3"/>
        <v>0</v>
      </c>
      <c r="X47" s="82"/>
      <c r="Y47" s="77"/>
      <c r="Z47" s="79"/>
      <c r="AA47" s="80"/>
      <c r="AB47" s="81">
        <f t="shared" si="4"/>
        <v>0</v>
      </c>
      <c r="AC47" s="82"/>
      <c r="AD47" s="77"/>
      <c r="AE47" s="79"/>
      <c r="AF47" s="80"/>
      <c r="AG47" s="81">
        <f t="shared" si="5"/>
        <v>0</v>
      </c>
      <c r="AH47" s="82"/>
      <c r="AI47" s="77"/>
      <c r="AJ47" s="79"/>
      <c r="AK47" s="80"/>
      <c r="AL47" s="81">
        <f t="shared" si="6"/>
        <v>0</v>
      </c>
      <c r="AM47" s="82"/>
      <c r="AN47" s="77"/>
      <c r="AO47" s="100">
        <v>1</v>
      </c>
      <c r="AP47" s="101">
        <v>1</v>
      </c>
      <c r="AQ47" s="85">
        <f t="shared" si="7"/>
        <v>1</v>
      </c>
      <c r="AR47" s="102" t="s">
        <v>1058</v>
      </c>
    </row>
    <row r="48" spans="1:44" ht="99.75" customHeight="1" x14ac:dyDescent="0.25">
      <c r="A48" s="77">
        <v>45</v>
      </c>
      <c r="B48" s="78" t="s">
        <v>10</v>
      </c>
      <c r="C48" s="78" t="s">
        <v>71</v>
      </c>
      <c r="D48" s="78" t="s">
        <v>72</v>
      </c>
      <c r="E48" s="77"/>
      <c r="F48" s="79"/>
      <c r="G48" s="80"/>
      <c r="H48" s="81">
        <f t="shared" si="0"/>
        <v>0</v>
      </c>
      <c r="I48" s="82"/>
      <c r="J48" s="77"/>
      <c r="K48" s="100">
        <v>1</v>
      </c>
      <c r="L48" s="101">
        <v>0.95</v>
      </c>
      <c r="M48" s="85">
        <f t="shared" si="1"/>
        <v>0.95</v>
      </c>
      <c r="N48" s="78" t="s">
        <v>1280</v>
      </c>
      <c r="O48" s="77"/>
      <c r="P48" s="100">
        <v>1</v>
      </c>
      <c r="Q48" s="101">
        <v>0.85</v>
      </c>
      <c r="R48" s="85">
        <f t="shared" si="2"/>
        <v>0.85</v>
      </c>
      <c r="S48" s="102" t="s">
        <v>1281</v>
      </c>
      <c r="T48" s="77"/>
      <c r="U48" s="79"/>
      <c r="V48" s="80"/>
      <c r="W48" s="81">
        <f t="shared" si="3"/>
        <v>0</v>
      </c>
      <c r="X48" s="82"/>
      <c r="Y48" s="77"/>
      <c r="Z48" s="79"/>
      <c r="AA48" s="80"/>
      <c r="AB48" s="81">
        <f t="shared" si="4"/>
        <v>0</v>
      </c>
      <c r="AC48" s="82"/>
      <c r="AD48" s="77"/>
      <c r="AE48" s="79"/>
      <c r="AF48" s="80"/>
      <c r="AG48" s="81">
        <f t="shared" si="5"/>
        <v>0</v>
      </c>
      <c r="AH48" s="82"/>
      <c r="AI48" s="77"/>
      <c r="AJ48" s="79"/>
      <c r="AK48" s="80"/>
      <c r="AL48" s="81">
        <f t="shared" si="6"/>
        <v>0</v>
      </c>
      <c r="AM48" s="82"/>
      <c r="AN48" s="77"/>
      <c r="AO48" s="100">
        <v>1</v>
      </c>
      <c r="AP48" s="101">
        <v>0.8</v>
      </c>
      <c r="AQ48" s="85">
        <f t="shared" si="7"/>
        <v>0.8</v>
      </c>
      <c r="AR48" s="102" t="s">
        <v>1336</v>
      </c>
    </row>
    <row r="49" spans="1:44" ht="47.25" x14ac:dyDescent="0.25">
      <c r="A49" s="77">
        <v>46</v>
      </c>
      <c r="B49" s="78" t="s">
        <v>10</v>
      </c>
      <c r="C49" s="78" t="s">
        <v>11</v>
      </c>
      <c r="D49" s="78" t="s">
        <v>13</v>
      </c>
      <c r="E49" s="77"/>
      <c r="F49" s="79"/>
      <c r="G49" s="80"/>
      <c r="H49" s="81">
        <f t="shared" si="0"/>
        <v>0</v>
      </c>
      <c r="I49" s="82"/>
      <c r="J49" s="77"/>
      <c r="K49" s="100">
        <v>1</v>
      </c>
      <c r="L49" s="101">
        <v>1</v>
      </c>
      <c r="M49" s="85">
        <f t="shared" si="1"/>
        <v>1</v>
      </c>
      <c r="N49" s="78" t="s">
        <v>1063</v>
      </c>
      <c r="O49" s="77"/>
      <c r="P49" s="100">
        <v>1</v>
      </c>
      <c r="Q49" s="101">
        <v>1</v>
      </c>
      <c r="R49" s="85">
        <f t="shared" si="2"/>
        <v>1</v>
      </c>
      <c r="S49" s="102" t="s">
        <v>1062</v>
      </c>
      <c r="T49" s="77"/>
      <c r="U49" s="79"/>
      <c r="V49" s="80"/>
      <c r="W49" s="81">
        <f t="shared" si="3"/>
        <v>0</v>
      </c>
      <c r="X49" s="82"/>
      <c r="Y49" s="77"/>
      <c r="Z49" s="79"/>
      <c r="AA49" s="80"/>
      <c r="AB49" s="81">
        <f t="shared" si="4"/>
        <v>0</v>
      </c>
      <c r="AC49" s="82"/>
      <c r="AD49" s="77"/>
      <c r="AE49" s="79"/>
      <c r="AF49" s="80"/>
      <c r="AG49" s="81">
        <f t="shared" si="5"/>
        <v>0</v>
      </c>
      <c r="AH49" s="82"/>
      <c r="AI49" s="77"/>
      <c r="AJ49" s="79"/>
      <c r="AK49" s="80"/>
      <c r="AL49" s="81">
        <f t="shared" si="6"/>
        <v>0</v>
      </c>
      <c r="AM49" s="82"/>
      <c r="AN49" s="77"/>
      <c r="AO49" s="100">
        <v>1</v>
      </c>
      <c r="AP49" s="101">
        <v>1</v>
      </c>
      <c r="AQ49" s="85">
        <f t="shared" si="7"/>
        <v>1</v>
      </c>
      <c r="AR49" s="102" t="s">
        <v>1062</v>
      </c>
    </row>
    <row r="50" spans="1:44" ht="78.75" x14ac:dyDescent="0.25">
      <c r="A50" s="77">
        <v>47</v>
      </c>
      <c r="B50" s="78" t="s">
        <v>14</v>
      </c>
      <c r="C50" s="78" t="s">
        <v>14</v>
      </c>
      <c r="D50" s="78" t="s">
        <v>15</v>
      </c>
      <c r="E50" s="77"/>
      <c r="F50" s="79"/>
      <c r="G50" s="80"/>
      <c r="H50" s="81">
        <f t="shared" si="0"/>
        <v>0</v>
      </c>
      <c r="I50" s="82"/>
      <c r="J50" s="77"/>
      <c r="K50" s="100">
        <v>1</v>
      </c>
      <c r="L50" s="101">
        <v>1</v>
      </c>
      <c r="M50" s="85">
        <f t="shared" si="1"/>
        <v>1</v>
      </c>
      <c r="N50" s="78" t="s">
        <v>1087</v>
      </c>
      <c r="O50" s="77"/>
      <c r="P50" s="100">
        <v>1</v>
      </c>
      <c r="Q50" s="101">
        <v>1</v>
      </c>
      <c r="R50" s="85">
        <f t="shared" si="2"/>
        <v>1</v>
      </c>
      <c r="S50" s="102" t="s">
        <v>1087</v>
      </c>
      <c r="T50" s="77"/>
      <c r="U50" s="79"/>
      <c r="V50" s="80"/>
      <c r="W50" s="81">
        <f t="shared" si="3"/>
        <v>0</v>
      </c>
      <c r="X50" s="82"/>
      <c r="Y50" s="77"/>
      <c r="Z50" s="79"/>
      <c r="AA50" s="80"/>
      <c r="AB50" s="81">
        <f t="shared" si="4"/>
        <v>0</v>
      </c>
      <c r="AC50" s="82"/>
      <c r="AD50" s="77"/>
      <c r="AE50" s="79"/>
      <c r="AF50" s="80"/>
      <c r="AG50" s="81">
        <f t="shared" si="5"/>
        <v>0</v>
      </c>
      <c r="AH50" s="82"/>
      <c r="AI50" s="77"/>
      <c r="AJ50" s="79"/>
      <c r="AK50" s="80"/>
      <c r="AL50" s="81">
        <f t="shared" si="6"/>
        <v>0</v>
      </c>
      <c r="AM50" s="82"/>
      <c r="AN50" s="77"/>
      <c r="AO50" s="100">
        <v>1</v>
      </c>
      <c r="AP50" s="101">
        <v>1</v>
      </c>
      <c r="AQ50" s="85">
        <f t="shared" si="7"/>
        <v>1</v>
      </c>
      <c r="AR50" s="102" t="s">
        <v>1087</v>
      </c>
    </row>
    <row r="51" spans="1:44" ht="142.5" customHeight="1" x14ac:dyDescent="0.25">
      <c r="A51" s="77">
        <v>48</v>
      </c>
      <c r="B51" s="78" t="s">
        <v>14</v>
      </c>
      <c r="C51" s="78" t="s">
        <v>14</v>
      </c>
      <c r="D51" s="78" t="s">
        <v>73</v>
      </c>
      <c r="E51" s="77"/>
      <c r="F51" s="79"/>
      <c r="G51" s="80"/>
      <c r="H51" s="81">
        <f t="shared" si="0"/>
        <v>0</v>
      </c>
      <c r="I51" s="82"/>
      <c r="J51" s="77"/>
      <c r="K51" s="100">
        <v>1</v>
      </c>
      <c r="L51" s="101">
        <v>0.85</v>
      </c>
      <c r="M51" s="85">
        <f t="shared" si="1"/>
        <v>0.85</v>
      </c>
      <c r="N51" s="102" t="s">
        <v>1580</v>
      </c>
      <c r="O51" s="77"/>
      <c r="P51" s="100">
        <v>1</v>
      </c>
      <c r="Q51" s="101">
        <v>0.95</v>
      </c>
      <c r="R51" s="85">
        <f t="shared" si="2"/>
        <v>0.95</v>
      </c>
      <c r="S51" s="102" t="s">
        <v>1100</v>
      </c>
      <c r="T51" s="77"/>
      <c r="U51" s="79"/>
      <c r="V51" s="80"/>
      <c r="W51" s="81">
        <f t="shared" si="3"/>
        <v>0</v>
      </c>
      <c r="X51" s="82"/>
      <c r="Y51" s="77"/>
      <c r="Z51" s="79"/>
      <c r="AA51" s="80"/>
      <c r="AB51" s="81">
        <f t="shared" si="4"/>
        <v>0</v>
      </c>
      <c r="AC51" s="82"/>
      <c r="AD51" s="77"/>
      <c r="AE51" s="79"/>
      <c r="AF51" s="80"/>
      <c r="AG51" s="81">
        <f t="shared" si="5"/>
        <v>0</v>
      </c>
      <c r="AH51" s="82"/>
      <c r="AI51" s="77"/>
      <c r="AJ51" s="79"/>
      <c r="AK51" s="80"/>
      <c r="AL51" s="81">
        <f t="shared" si="6"/>
        <v>0</v>
      </c>
      <c r="AM51" s="82"/>
      <c r="AN51" s="77"/>
      <c r="AO51" s="100">
        <v>1</v>
      </c>
      <c r="AP51" s="101">
        <v>0.5</v>
      </c>
      <c r="AQ51" s="85">
        <f t="shared" si="7"/>
        <v>0.5</v>
      </c>
      <c r="AR51" s="102" t="s">
        <v>1581</v>
      </c>
    </row>
    <row r="52" spans="1:44" ht="236.25" customHeight="1" x14ac:dyDescent="0.25">
      <c r="A52" s="77">
        <v>49</v>
      </c>
      <c r="B52" s="78" t="s">
        <v>14</v>
      </c>
      <c r="C52" s="78" t="s">
        <v>14</v>
      </c>
      <c r="D52" s="78" t="s">
        <v>74</v>
      </c>
      <c r="E52" s="77"/>
      <c r="F52" s="79"/>
      <c r="G52" s="80"/>
      <c r="H52" s="81">
        <f t="shared" si="0"/>
        <v>0</v>
      </c>
      <c r="I52" s="82"/>
      <c r="J52" s="77"/>
      <c r="K52" s="100">
        <v>1</v>
      </c>
      <c r="L52" s="101">
        <v>0.9</v>
      </c>
      <c r="M52" s="85">
        <f t="shared" si="1"/>
        <v>0.9</v>
      </c>
      <c r="N52" s="78" t="s">
        <v>1116</v>
      </c>
      <c r="O52" s="77"/>
      <c r="P52" s="100">
        <v>1</v>
      </c>
      <c r="Q52" s="101">
        <v>0.7</v>
      </c>
      <c r="R52" s="85">
        <f t="shared" si="2"/>
        <v>0.7</v>
      </c>
      <c r="S52" s="102" t="s">
        <v>1117</v>
      </c>
      <c r="T52" s="77"/>
      <c r="U52" s="79"/>
      <c r="V52" s="80"/>
      <c r="W52" s="81">
        <f t="shared" si="3"/>
        <v>0</v>
      </c>
      <c r="X52" s="82"/>
      <c r="Y52" s="77"/>
      <c r="Z52" s="79"/>
      <c r="AA52" s="80"/>
      <c r="AB52" s="81">
        <f t="shared" si="4"/>
        <v>0</v>
      </c>
      <c r="AC52" s="82"/>
      <c r="AD52" s="77"/>
      <c r="AE52" s="79"/>
      <c r="AF52" s="80"/>
      <c r="AG52" s="81">
        <f t="shared" si="5"/>
        <v>0</v>
      </c>
      <c r="AH52" s="82"/>
      <c r="AI52" s="77"/>
      <c r="AJ52" s="79"/>
      <c r="AK52" s="80"/>
      <c r="AL52" s="81">
        <f t="shared" si="6"/>
        <v>0</v>
      </c>
      <c r="AM52" s="82"/>
      <c r="AN52" s="77"/>
      <c r="AO52" s="100">
        <v>1</v>
      </c>
      <c r="AP52" s="101">
        <v>0.7</v>
      </c>
      <c r="AQ52" s="85">
        <f t="shared" si="7"/>
        <v>0.7</v>
      </c>
      <c r="AR52" s="102" t="s">
        <v>1119</v>
      </c>
    </row>
    <row r="53" spans="1:44" ht="138" customHeight="1" x14ac:dyDescent="0.25">
      <c r="A53" s="77">
        <v>50</v>
      </c>
      <c r="B53" s="78" t="s">
        <v>14</v>
      </c>
      <c r="C53" s="78" t="s">
        <v>14</v>
      </c>
      <c r="D53" s="78" t="s">
        <v>75</v>
      </c>
      <c r="E53" s="77"/>
      <c r="F53" s="79"/>
      <c r="G53" s="80"/>
      <c r="H53" s="81">
        <f t="shared" si="0"/>
        <v>0</v>
      </c>
      <c r="I53" s="82"/>
      <c r="J53" s="77"/>
      <c r="K53" s="100">
        <v>1</v>
      </c>
      <c r="L53" s="101">
        <v>1</v>
      </c>
      <c r="M53" s="85">
        <f t="shared" si="1"/>
        <v>1</v>
      </c>
      <c r="N53" s="78" t="s">
        <v>1087</v>
      </c>
      <c r="O53" s="77"/>
      <c r="P53" s="100">
        <v>1</v>
      </c>
      <c r="Q53" s="101">
        <v>1</v>
      </c>
      <c r="R53" s="85">
        <f t="shared" si="2"/>
        <v>1</v>
      </c>
      <c r="S53" s="102" t="s">
        <v>1087</v>
      </c>
      <c r="T53" s="77"/>
      <c r="U53" s="79"/>
      <c r="V53" s="80"/>
      <c r="W53" s="81">
        <f t="shared" si="3"/>
        <v>0</v>
      </c>
      <c r="X53" s="82"/>
      <c r="Y53" s="77"/>
      <c r="Z53" s="79"/>
      <c r="AA53" s="80"/>
      <c r="AB53" s="81">
        <f t="shared" si="4"/>
        <v>0</v>
      </c>
      <c r="AC53" s="82"/>
      <c r="AD53" s="77"/>
      <c r="AE53" s="79"/>
      <c r="AF53" s="80"/>
      <c r="AG53" s="81">
        <f t="shared" si="5"/>
        <v>0</v>
      </c>
      <c r="AH53" s="82"/>
      <c r="AI53" s="77"/>
      <c r="AJ53" s="79"/>
      <c r="AK53" s="80"/>
      <c r="AL53" s="81">
        <f t="shared" si="6"/>
        <v>0</v>
      </c>
      <c r="AM53" s="82"/>
      <c r="AN53" s="77"/>
      <c r="AO53" s="100">
        <v>1</v>
      </c>
      <c r="AP53" s="101">
        <v>1</v>
      </c>
      <c r="AQ53" s="85">
        <f t="shared" si="7"/>
        <v>1</v>
      </c>
      <c r="AR53" s="102" t="s">
        <v>1087</v>
      </c>
    </row>
    <row r="54" spans="1:44" ht="109.5" customHeight="1" x14ac:dyDescent="0.25">
      <c r="A54" s="77">
        <v>51</v>
      </c>
      <c r="B54" s="78" t="s">
        <v>14</v>
      </c>
      <c r="C54" s="78" t="s">
        <v>14</v>
      </c>
      <c r="D54" s="78" t="s">
        <v>76</v>
      </c>
      <c r="E54" s="77"/>
      <c r="F54" s="79"/>
      <c r="G54" s="80"/>
      <c r="H54" s="81">
        <f t="shared" si="0"/>
        <v>0</v>
      </c>
      <c r="I54" s="82"/>
      <c r="J54" s="77"/>
      <c r="K54" s="100">
        <v>1</v>
      </c>
      <c r="L54" s="101">
        <v>1</v>
      </c>
      <c r="M54" s="85">
        <f t="shared" si="1"/>
        <v>1</v>
      </c>
      <c r="N54" s="78" t="s">
        <v>1087</v>
      </c>
      <c r="O54" s="77"/>
      <c r="P54" s="100">
        <v>1</v>
      </c>
      <c r="Q54" s="101">
        <v>1</v>
      </c>
      <c r="R54" s="85">
        <f t="shared" si="2"/>
        <v>1</v>
      </c>
      <c r="S54" s="102" t="s">
        <v>1087</v>
      </c>
      <c r="T54" s="77"/>
      <c r="U54" s="79"/>
      <c r="V54" s="80"/>
      <c r="W54" s="81">
        <f t="shared" si="3"/>
        <v>0</v>
      </c>
      <c r="X54" s="82"/>
      <c r="Y54" s="77"/>
      <c r="Z54" s="79"/>
      <c r="AA54" s="80"/>
      <c r="AB54" s="81">
        <f t="shared" si="4"/>
        <v>0</v>
      </c>
      <c r="AC54" s="82"/>
      <c r="AD54" s="77"/>
      <c r="AE54" s="79"/>
      <c r="AF54" s="80"/>
      <c r="AG54" s="81">
        <f t="shared" si="5"/>
        <v>0</v>
      </c>
      <c r="AH54" s="82"/>
      <c r="AI54" s="77"/>
      <c r="AJ54" s="79"/>
      <c r="AK54" s="80"/>
      <c r="AL54" s="81">
        <f t="shared" si="6"/>
        <v>0</v>
      </c>
      <c r="AM54" s="82"/>
      <c r="AN54" s="77"/>
      <c r="AO54" s="100">
        <v>1</v>
      </c>
      <c r="AP54" s="101">
        <v>1</v>
      </c>
      <c r="AQ54" s="85">
        <f t="shared" si="7"/>
        <v>1</v>
      </c>
      <c r="AR54" s="102" t="s">
        <v>1087</v>
      </c>
    </row>
    <row r="55" spans="1:44" ht="63" x14ac:dyDescent="0.25">
      <c r="A55" s="77">
        <v>52</v>
      </c>
      <c r="B55" s="78" t="s">
        <v>14</v>
      </c>
      <c r="C55" s="78" t="s">
        <v>14</v>
      </c>
      <c r="D55" s="78" t="s">
        <v>77</v>
      </c>
      <c r="E55" s="77"/>
      <c r="F55" s="79"/>
      <c r="G55" s="80"/>
      <c r="H55" s="81">
        <f t="shared" si="0"/>
        <v>0</v>
      </c>
      <c r="I55" s="82"/>
      <c r="J55" s="77"/>
      <c r="K55" s="100">
        <v>1</v>
      </c>
      <c r="L55" s="101">
        <v>1</v>
      </c>
      <c r="M55" s="85">
        <f t="shared" si="1"/>
        <v>1</v>
      </c>
      <c r="N55" s="78" t="s">
        <v>1087</v>
      </c>
      <c r="O55" s="77"/>
      <c r="P55" s="100">
        <v>1</v>
      </c>
      <c r="Q55" s="101">
        <v>0.9</v>
      </c>
      <c r="R55" s="85">
        <f t="shared" si="2"/>
        <v>0.9</v>
      </c>
      <c r="S55" s="102" t="s">
        <v>1118</v>
      </c>
      <c r="T55" s="77"/>
      <c r="U55" s="79"/>
      <c r="V55" s="80"/>
      <c r="W55" s="81">
        <f t="shared" si="3"/>
        <v>0</v>
      </c>
      <c r="X55" s="82"/>
      <c r="Y55" s="77"/>
      <c r="Z55" s="79"/>
      <c r="AA55" s="80"/>
      <c r="AB55" s="81">
        <f t="shared" si="4"/>
        <v>0</v>
      </c>
      <c r="AC55" s="82"/>
      <c r="AD55" s="77"/>
      <c r="AE55" s="79"/>
      <c r="AF55" s="80"/>
      <c r="AG55" s="81">
        <f t="shared" si="5"/>
        <v>0</v>
      </c>
      <c r="AH55" s="82"/>
      <c r="AI55" s="77"/>
      <c r="AJ55" s="79"/>
      <c r="AK55" s="80"/>
      <c r="AL55" s="81">
        <f t="shared" si="6"/>
        <v>0</v>
      </c>
      <c r="AM55" s="82"/>
      <c r="AN55" s="77"/>
      <c r="AO55" s="100">
        <v>1</v>
      </c>
      <c r="AP55" s="101">
        <v>0.75</v>
      </c>
      <c r="AQ55" s="85">
        <f t="shared" si="7"/>
        <v>0.75</v>
      </c>
      <c r="AR55" s="102" t="s">
        <v>1110</v>
      </c>
    </row>
    <row r="56" spans="1:44" ht="79.5" customHeight="1" x14ac:dyDescent="0.25">
      <c r="A56" s="77">
        <v>53</v>
      </c>
      <c r="B56" s="78" t="s">
        <v>14</v>
      </c>
      <c r="C56" s="78" t="s">
        <v>14</v>
      </c>
      <c r="D56" s="78" t="s">
        <v>78</v>
      </c>
      <c r="E56" s="77"/>
      <c r="F56" s="79">
        <v>1</v>
      </c>
      <c r="G56" s="80">
        <v>0.1</v>
      </c>
      <c r="H56" s="81">
        <f t="shared" si="0"/>
        <v>0.1</v>
      </c>
      <c r="I56" s="82"/>
      <c r="J56" s="77"/>
      <c r="K56" s="100">
        <v>1</v>
      </c>
      <c r="L56" s="101">
        <v>1</v>
      </c>
      <c r="M56" s="85">
        <f t="shared" si="1"/>
        <v>1</v>
      </c>
      <c r="N56" s="78" t="s">
        <v>1087</v>
      </c>
      <c r="O56" s="77"/>
      <c r="P56" s="100">
        <v>1</v>
      </c>
      <c r="Q56" s="101">
        <v>0.9</v>
      </c>
      <c r="R56" s="85">
        <f t="shared" si="2"/>
        <v>0.9</v>
      </c>
      <c r="S56" s="102" t="s">
        <v>1091</v>
      </c>
      <c r="T56" s="77"/>
      <c r="U56" s="79"/>
      <c r="V56" s="80"/>
      <c r="W56" s="81">
        <f t="shared" si="3"/>
        <v>0</v>
      </c>
      <c r="X56" s="77"/>
      <c r="Y56" s="77"/>
      <c r="Z56" s="79"/>
      <c r="AA56" s="80"/>
      <c r="AB56" s="81">
        <f t="shared" si="4"/>
        <v>0</v>
      </c>
      <c r="AC56" s="77"/>
      <c r="AD56" s="77"/>
      <c r="AE56" s="79"/>
      <c r="AF56" s="80"/>
      <c r="AG56" s="81">
        <f t="shared" si="5"/>
        <v>0</v>
      </c>
      <c r="AH56" s="77"/>
      <c r="AI56" s="77"/>
      <c r="AJ56" s="79"/>
      <c r="AK56" s="80"/>
      <c r="AL56" s="81">
        <f t="shared" si="6"/>
        <v>0</v>
      </c>
      <c r="AM56" s="77"/>
      <c r="AN56" s="77"/>
      <c r="AO56" s="100">
        <v>1</v>
      </c>
      <c r="AP56" s="101">
        <v>1</v>
      </c>
      <c r="AQ56" s="85">
        <f t="shared" si="7"/>
        <v>1</v>
      </c>
      <c r="AR56" s="143" t="s">
        <v>1087</v>
      </c>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44C6E571-3602-42DE-BE03-28F88250A42B}">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1A85BDD8-754B-4181-A05B-03811359A166}">
          <x14:formula1>
            <xm:f>'C:\Users\michele.cerqueira\AppData\Local\Microsoft\Windows\INetCache\Content.Outlook\CUTOBPMD\[ESTUDOS DE MERCADO - AVALIAÇÕES FINAIS.xlsx]Parâmetros'!#REF!</xm:f>
          </x14:formula1>
          <xm:sqref>K4:K15 P4:P15 AO4:AO15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56"/>
  <sheetViews>
    <sheetView zoomScale="60" zoomScaleNormal="60" workbookViewId="0">
      <pane xSplit="4" ySplit="3" topLeftCell="O9" activePane="bottomRight" state="frozen"/>
      <selection pane="topRight" activeCell="E1" sqref="E1"/>
      <selection pane="bottomLeft" activeCell="A4" sqref="A4"/>
      <selection pane="bottomRight" activeCell="S10" sqref="S10"/>
    </sheetView>
  </sheetViews>
  <sheetFormatPr defaultRowHeight="15" x14ac:dyDescent="0.25"/>
  <cols>
    <col min="1" max="1" width="4.140625" style="73" customWidth="1"/>
    <col min="2" max="2" width="16.5703125" style="74" bestFit="1" customWidth="1"/>
    <col min="3" max="3" width="20.7109375" style="74" customWidth="1"/>
    <col min="4" max="4" width="64.85546875" style="74" customWidth="1"/>
    <col min="5" max="5" width="2.42578125" style="74" customWidth="1"/>
    <col min="6" max="6" width="20.140625" style="74" hidden="1" customWidth="1"/>
    <col min="7" max="7" width="14.28515625" style="74" hidden="1" customWidth="1"/>
    <col min="8" max="8" width="9.140625" style="74" hidden="1" customWidth="1"/>
    <col min="9" max="9" width="52.85546875" style="110" hidden="1" customWidth="1"/>
    <col min="10" max="10" width="1.85546875" style="74" hidden="1" customWidth="1"/>
    <col min="11" max="11" width="20.140625" style="75" bestFit="1" customWidth="1"/>
    <col min="12" max="12" width="14.28515625" style="75" bestFit="1" customWidth="1"/>
    <col min="13" max="13" width="9.140625" style="75" customWidth="1"/>
    <col min="14" max="14" width="120.5703125" style="121" customWidth="1"/>
    <col min="15" max="15" width="1.5703125" style="74" customWidth="1"/>
    <col min="16" max="16" width="20.140625" style="75" bestFit="1" customWidth="1"/>
    <col min="17" max="17" width="14.28515625" style="75" bestFit="1" customWidth="1"/>
    <col min="18" max="18" width="9.140625" style="75" customWidth="1"/>
    <col min="19" max="19" width="125.28515625" style="121" customWidth="1"/>
    <col min="20" max="20" width="4.140625" style="74" customWidth="1"/>
    <col min="21" max="21" width="15.7109375" style="74" hidden="1" customWidth="1"/>
    <col min="22" max="22" width="13.140625" style="74" hidden="1" customWidth="1"/>
    <col min="23" max="23" width="0" style="74" hidden="1" customWidth="1"/>
    <col min="24" max="24" width="76.85546875" style="74" hidden="1" customWidth="1"/>
    <col min="25" max="25" width="0" style="74" hidden="1" customWidth="1"/>
    <col min="26" max="26" width="15" style="74" hidden="1" customWidth="1"/>
    <col min="27" max="27" width="13" style="74" hidden="1" customWidth="1"/>
    <col min="28" max="28" width="0" style="74" hidden="1" customWidth="1"/>
    <col min="29" max="29" width="74.7109375" style="74" hidden="1" customWidth="1"/>
    <col min="30" max="30" width="0" style="74" hidden="1" customWidth="1"/>
    <col min="31" max="32" width="15.140625" style="74" hidden="1" customWidth="1"/>
    <col min="33" max="33" width="0" style="74" hidden="1" customWidth="1"/>
    <col min="34" max="34" width="70.85546875" style="74" hidden="1" customWidth="1"/>
    <col min="35" max="35" width="0" style="74" hidden="1" customWidth="1"/>
    <col min="36" max="36" width="13.140625" style="74" hidden="1" customWidth="1"/>
    <col min="37" max="37" width="13" style="74" hidden="1" customWidth="1"/>
    <col min="38" max="38" width="0" style="74" hidden="1" customWidth="1"/>
    <col min="39" max="39" width="70.28515625" style="74" hidden="1" customWidth="1"/>
    <col min="40" max="40" width="0" style="74" hidden="1" customWidth="1"/>
    <col min="41" max="41" width="13.85546875" style="75" customWidth="1"/>
    <col min="42" max="43" width="9.140625" style="75"/>
    <col min="44" max="44" width="136.7109375" style="121" customWidth="1"/>
    <col min="45" max="16384" width="9.140625" style="74"/>
  </cols>
  <sheetData>
    <row r="1" spans="1:44" x14ac:dyDescent="0.25">
      <c r="I1" s="74"/>
    </row>
    <row r="2" spans="1:44" ht="39.75" customHeight="1" x14ac:dyDescent="0.25">
      <c r="B2" s="233" t="s">
        <v>16</v>
      </c>
      <c r="C2" s="233"/>
      <c r="D2" s="233"/>
      <c r="F2" s="232" t="s">
        <v>121</v>
      </c>
      <c r="G2" s="232"/>
      <c r="H2" s="232"/>
      <c r="I2" s="232"/>
      <c r="K2" s="234" t="s">
        <v>119</v>
      </c>
      <c r="L2" s="235"/>
      <c r="M2" s="235"/>
      <c r="N2" s="236"/>
      <c r="P2" s="233" t="s">
        <v>120</v>
      </c>
      <c r="Q2" s="233"/>
      <c r="R2" s="233"/>
      <c r="S2" s="233"/>
      <c r="U2" s="232" t="s">
        <v>122</v>
      </c>
      <c r="V2" s="232"/>
      <c r="W2" s="232"/>
      <c r="X2" s="232"/>
      <c r="Z2" s="232" t="s">
        <v>123</v>
      </c>
      <c r="AA2" s="232"/>
      <c r="AB2" s="232"/>
      <c r="AC2" s="232"/>
      <c r="AE2" s="232" t="s">
        <v>124</v>
      </c>
      <c r="AF2" s="232"/>
      <c r="AG2" s="232"/>
      <c r="AH2" s="232"/>
      <c r="AJ2" s="232" t="s">
        <v>125</v>
      </c>
      <c r="AK2" s="232"/>
      <c r="AL2" s="232"/>
      <c r="AM2" s="232"/>
      <c r="AO2" s="233" t="s">
        <v>1318</v>
      </c>
      <c r="AP2" s="233"/>
      <c r="AQ2" s="233"/>
      <c r="AR2" s="233"/>
    </row>
    <row r="3" spans="1:44" ht="68.25" customHeight="1" x14ac:dyDescent="0.25">
      <c r="B3" s="66" t="s">
        <v>0</v>
      </c>
      <c r="C3" s="66" t="s">
        <v>1</v>
      </c>
      <c r="D3" s="66" t="s">
        <v>2</v>
      </c>
      <c r="F3" s="67" t="s">
        <v>17</v>
      </c>
      <c r="G3" s="67" t="s">
        <v>18</v>
      </c>
      <c r="H3" s="67" t="s">
        <v>21</v>
      </c>
      <c r="I3" s="67" t="s">
        <v>19</v>
      </c>
      <c r="K3" s="70" t="s">
        <v>17</v>
      </c>
      <c r="L3" s="70" t="s">
        <v>18</v>
      </c>
      <c r="M3" s="70" t="s">
        <v>21</v>
      </c>
      <c r="N3" s="67" t="s">
        <v>19</v>
      </c>
      <c r="P3" s="70" t="s">
        <v>17</v>
      </c>
      <c r="Q3" s="70" t="s">
        <v>18</v>
      </c>
      <c r="R3" s="70" t="s">
        <v>21</v>
      </c>
      <c r="S3" s="67" t="s">
        <v>19</v>
      </c>
      <c r="U3" s="67" t="s">
        <v>17</v>
      </c>
      <c r="V3" s="67" t="s">
        <v>18</v>
      </c>
      <c r="W3" s="67" t="s">
        <v>21</v>
      </c>
      <c r="X3" s="67" t="s">
        <v>19</v>
      </c>
      <c r="Z3" s="67" t="s">
        <v>17</v>
      </c>
      <c r="AA3" s="67" t="s">
        <v>18</v>
      </c>
      <c r="AB3" s="67" t="s">
        <v>21</v>
      </c>
      <c r="AC3" s="67" t="s">
        <v>19</v>
      </c>
      <c r="AE3" s="67" t="s">
        <v>17</v>
      </c>
      <c r="AF3" s="67" t="s">
        <v>18</v>
      </c>
      <c r="AG3" s="67" t="s">
        <v>21</v>
      </c>
      <c r="AH3" s="67" t="s">
        <v>19</v>
      </c>
      <c r="AJ3" s="67" t="s">
        <v>17</v>
      </c>
      <c r="AK3" s="67" t="s">
        <v>18</v>
      </c>
      <c r="AL3" s="67" t="s">
        <v>21</v>
      </c>
      <c r="AM3" s="67" t="s">
        <v>19</v>
      </c>
      <c r="AO3" s="70" t="s">
        <v>17</v>
      </c>
      <c r="AP3" s="70" t="s">
        <v>18</v>
      </c>
      <c r="AQ3" s="70" t="s">
        <v>21</v>
      </c>
      <c r="AR3" s="67" t="s">
        <v>19</v>
      </c>
    </row>
    <row r="4" spans="1:44" ht="135" x14ac:dyDescent="0.25">
      <c r="A4" s="77">
        <v>1</v>
      </c>
      <c r="B4" s="78" t="s">
        <v>3</v>
      </c>
      <c r="C4" s="78" t="s">
        <v>4</v>
      </c>
      <c r="D4" s="78" t="s">
        <v>127</v>
      </c>
      <c r="E4" s="77"/>
      <c r="F4" s="79"/>
      <c r="G4" s="80"/>
      <c r="H4" s="81">
        <f>F4*G4</f>
        <v>0</v>
      </c>
      <c r="I4" s="82"/>
      <c r="J4" s="77"/>
      <c r="K4" s="132">
        <v>1</v>
      </c>
      <c r="L4" s="133">
        <v>1</v>
      </c>
      <c r="M4" s="85">
        <f>K4*L4</f>
        <v>1</v>
      </c>
      <c r="N4" s="134"/>
      <c r="O4" s="77"/>
      <c r="P4" s="132">
        <v>1</v>
      </c>
      <c r="Q4" s="133">
        <v>0.8</v>
      </c>
      <c r="R4" s="85">
        <f>P4*Q4</f>
        <v>0.8</v>
      </c>
      <c r="S4" s="134" t="s">
        <v>1371</v>
      </c>
      <c r="T4" s="77"/>
      <c r="U4" s="79"/>
      <c r="V4" s="80"/>
      <c r="W4" s="81">
        <f>U4*V4</f>
        <v>0</v>
      </c>
      <c r="X4" s="82"/>
      <c r="Y4" s="77"/>
      <c r="Z4" s="79"/>
      <c r="AA4" s="80"/>
      <c r="AB4" s="81">
        <f>Z4*AA4</f>
        <v>0</v>
      </c>
      <c r="AC4" s="82"/>
      <c r="AD4" s="77"/>
      <c r="AE4" s="79"/>
      <c r="AF4" s="80"/>
      <c r="AG4" s="81">
        <f>AE4*AF4</f>
        <v>0</v>
      </c>
      <c r="AH4" s="82"/>
      <c r="AI4" s="77"/>
      <c r="AJ4" s="79"/>
      <c r="AK4" s="80"/>
      <c r="AL4" s="81">
        <f>AJ4*AK4</f>
        <v>0</v>
      </c>
      <c r="AM4" s="82"/>
      <c r="AN4" s="77"/>
      <c r="AO4" s="132">
        <v>1</v>
      </c>
      <c r="AP4" s="135">
        <v>0.4</v>
      </c>
      <c r="AQ4" s="85">
        <f>AO4*AP4</f>
        <v>0.4</v>
      </c>
      <c r="AR4" s="134" t="s">
        <v>1188</v>
      </c>
    </row>
    <row r="5" spans="1:44" ht="213.75" customHeight="1" x14ac:dyDescent="0.25">
      <c r="A5" s="77">
        <v>2</v>
      </c>
      <c r="B5" s="78" t="s">
        <v>3</v>
      </c>
      <c r="C5" s="78" t="s">
        <v>4</v>
      </c>
      <c r="D5" s="78" t="s">
        <v>33</v>
      </c>
      <c r="E5" s="77"/>
      <c r="F5" s="79"/>
      <c r="G5" s="80"/>
      <c r="H5" s="81">
        <f t="shared" ref="H5:H56" si="0">F5*G5</f>
        <v>0</v>
      </c>
      <c r="I5" s="82"/>
      <c r="J5" s="77"/>
      <c r="K5" s="136">
        <v>1</v>
      </c>
      <c r="L5" s="137">
        <v>1</v>
      </c>
      <c r="M5" s="85">
        <f t="shared" ref="M5:M56" si="1">K5*L5</f>
        <v>1</v>
      </c>
      <c r="N5" s="138"/>
      <c r="O5" s="77"/>
      <c r="P5" s="136">
        <v>1</v>
      </c>
      <c r="Q5" s="137">
        <v>0.75</v>
      </c>
      <c r="R5" s="85">
        <f t="shared" ref="R5:R56" si="2">P5*Q5</f>
        <v>0.75</v>
      </c>
      <c r="S5" s="138" t="s">
        <v>1372</v>
      </c>
      <c r="T5" s="77"/>
      <c r="U5" s="79"/>
      <c r="V5" s="80"/>
      <c r="W5" s="81">
        <f t="shared" ref="W5:W56" si="3">U5*V5</f>
        <v>0</v>
      </c>
      <c r="X5" s="82"/>
      <c r="Y5" s="77"/>
      <c r="Z5" s="79"/>
      <c r="AA5" s="80"/>
      <c r="AB5" s="81">
        <f t="shared" ref="AB5:AB56" si="4">Z5*AA5</f>
        <v>0</v>
      </c>
      <c r="AC5" s="82"/>
      <c r="AD5" s="77"/>
      <c r="AE5" s="79"/>
      <c r="AF5" s="80"/>
      <c r="AG5" s="81">
        <f t="shared" ref="AG5:AG56" si="5">AE5*AF5</f>
        <v>0</v>
      </c>
      <c r="AH5" s="82"/>
      <c r="AI5" s="77"/>
      <c r="AJ5" s="79"/>
      <c r="AK5" s="80"/>
      <c r="AL5" s="81">
        <f t="shared" ref="AL5:AL56" si="6">AJ5*AK5</f>
        <v>0</v>
      </c>
      <c r="AM5" s="82"/>
      <c r="AN5" s="77"/>
      <c r="AO5" s="136">
        <v>1</v>
      </c>
      <c r="AP5" s="139">
        <v>0.1</v>
      </c>
      <c r="AQ5" s="85">
        <f t="shared" ref="AQ5:AQ56" si="7">AO5*AP5</f>
        <v>0.1</v>
      </c>
      <c r="AR5" s="138" t="s">
        <v>1232</v>
      </c>
    </row>
    <row r="6" spans="1:44" ht="270" x14ac:dyDescent="0.25">
      <c r="A6" s="77">
        <v>3</v>
      </c>
      <c r="B6" s="78" t="s">
        <v>3</v>
      </c>
      <c r="C6" s="78" t="s">
        <v>4</v>
      </c>
      <c r="D6" s="78" t="s">
        <v>128</v>
      </c>
      <c r="E6" s="77"/>
      <c r="F6" s="79"/>
      <c r="G6" s="80"/>
      <c r="H6" s="81">
        <f t="shared" si="0"/>
        <v>0</v>
      </c>
      <c r="I6" s="82"/>
      <c r="J6" s="77"/>
      <c r="K6" s="132">
        <v>1</v>
      </c>
      <c r="L6" s="133">
        <v>1</v>
      </c>
      <c r="M6" s="85">
        <f t="shared" si="1"/>
        <v>1</v>
      </c>
      <c r="N6" s="134"/>
      <c r="O6" s="77"/>
      <c r="P6" s="132">
        <v>1</v>
      </c>
      <c r="Q6" s="133">
        <v>0.95</v>
      </c>
      <c r="R6" s="85">
        <f t="shared" si="2"/>
        <v>0.95</v>
      </c>
      <c r="S6" s="134" t="s">
        <v>1200</v>
      </c>
      <c r="T6" s="77"/>
      <c r="U6" s="79"/>
      <c r="V6" s="80"/>
      <c r="W6" s="81">
        <f t="shared" si="3"/>
        <v>0</v>
      </c>
      <c r="X6" s="82"/>
      <c r="Y6" s="77"/>
      <c r="Z6" s="79"/>
      <c r="AA6" s="80"/>
      <c r="AB6" s="81">
        <f t="shared" si="4"/>
        <v>0</v>
      </c>
      <c r="AC6" s="82"/>
      <c r="AD6" s="77"/>
      <c r="AE6" s="79"/>
      <c r="AF6" s="80"/>
      <c r="AG6" s="81">
        <f t="shared" si="5"/>
        <v>0</v>
      </c>
      <c r="AH6" s="82"/>
      <c r="AI6" s="77"/>
      <c r="AJ6" s="79"/>
      <c r="AK6" s="80"/>
      <c r="AL6" s="81">
        <f t="shared" si="6"/>
        <v>0</v>
      </c>
      <c r="AM6" s="82"/>
      <c r="AN6" s="77"/>
      <c r="AO6" s="132">
        <v>1</v>
      </c>
      <c r="AP6" s="135">
        <v>0.3</v>
      </c>
      <c r="AQ6" s="85">
        <f t="shared" si="7"/>
        <v>0.3</v>
      </c>
      <c r="AR6" s="140" t="s">
        <v>1595</v>
      </c>
    </row>
    <row r="7" spans="1:44" ht="240" x14ac:dyDescent="0.25">
      <c r="A7" s="77">
        <v>4</v>
      </c>
      <c r="B7" s="78" t="s">
        <v>3</v>
      </c>
      <c r="C7" s="78" t="s">
        <v>4</v>
      </c>
      <c r="D7" s="78" t="s">
        <v>34</v>
      </c>
      <c r="E7" s="77"/>
      <c r="F7" s="79"/>
      <c r="G7" s="80"/>
      <c r="H7" s="81">
        <f t="shared" si="0"/>
        <v>0</v>
      </c>
      <c r="I7" s="82"/>
      <c r="J7" s="77"/>
      <c r="K7" s="136">
        <v>1</v>
      </c>
      <c r="L7" s="137">
        <v>0.89500000000000002</v>
      </c>
      <c r="M7" s="85">
        <f t="shared" si="1"/>
        <v>0.89500000000000002</v>
      </c>
      <c r="N7" s="138" t="s">
        <v>1373</v>
      </c>
      <c r="O7" s="77"/>
      <c r="P7" s="136">
        <v>1</v>
      </c>
      <c r="Q7" s="137">
        <v>0.98</v>
      </c>
      <c r="R7" s="85">
        <f t="shared" si="2"/>
        <v>0.98</v>
      </c>
      <c r="S7" s="138" t="s">
        <v>1229</v>
      </c>
      <c r="T7" s="77"/>
      <c r="U7" s="79"/>
      <c r="V7" s="80"/>
      <c r="W7" s="81">
        <f t="shared" si="3"/>
        <v>0</v>
      </c>
      <c r="X7" s="82"/>
      <c r="Y7" s="77"/>
      <c r="Z7" s="79"/>
      <c r="AA7" s="80"/>
      <c r="AB7" s="81">
        <f t="shared" si="4"/>
        <v>0</v>
      </c>
      <c r="AC7" s="82"/>
      <c r="AD7" s="77"/>
      <c r="AE7" s="79"/>
      <c r="AF7" s="80"/>
      <c r="AG7" s="81">
        <f t="shared" si="5"/>
        <v>0</v>
      </c>
      <c r="AH7" s="82"/>
      <c r="AI7" s="77"/>
      <c r="AJ7" s="79"/>
      <c r="AK7" s="80"/>
      <c r="AL7" s="81">
        <f t="shared" si="6"/>
        <v>0</v>
      </c>
      <c r="AM7" s="82"/>
      <c r="AN7" s="77"/>
      <c r="AO7" s="136">
        <v>1</v>
      </c>
      <c r="AP7" s="139">
        <v>0.25</v>
      </c>
      <c r="AQ7" s="85">
        <f t="shared" si="7"/>
        <v>0.25</v>
      </c>
      <c r="AR7" s="138" t="s">
        <v>1608</v>
      </c>
    </row>
    <row r="8" spans="1:44" ht="172.5" customHeight="1" x14ac:dyDescent="0.25">
      <c r="A8" s="77">
        <v>5</v>
      </c>
      <c r="B8" s="78" t="s">
        <v>3</v>
      </c>
      <c r="C8" s="78" t="s">
        <v>4</v>
      </c>
      <c r="D8" s="78" t="s">
        <v>35</v>
      </c>
      <c r="E8" s="77"/>
      <c r="F8" s="79"/>
      <c r="G8" s="80"/>
      <c r="H8" s="81">
        <f t="shared" si="0"/>
        <v>0</v>
      </c>
      <c r="I8" s="82"/>
      <c r="J8" s="77"/>
      <c r="K8" s="132">
        <v>1</v>
      </c>
      <c r="L8" s="133">
        <v>0.7</v>
      </c>
      <c r="M8" s="85">
        <f t="shared" si="1"/>
        <v>0.7</v>
      </c>
      <c r="N8" s="134" t="s">
        <v>1180</v>
      </c>
      <c r="O8" s="77"/>
      <c r="P8" s="132">
        <v>1</v>
      </c>
      <c r="Q8" s="133">
        <v>0.8</v>
      </c>
      <c r="R8" s="85">
        <f t="shared" si="2"/>
        <v>0.8</v>
      </c>
      <c r="S8" s="134" t="s">
        <v>1374</v>
      </c>
      <c r="T8" s="77"/>
      <c r="U8" s="79"/>
      <c r="V8" s="80"/>
      <c r="W8" s="81">
        <f t="shared" si="3"/>
        <v>0</v>
      </c>
      <c r="X8" s="78"/>
      <c r="Y8" s="77"/>
      <c r="Z8" s="79"/>
      <c r="AA8" s="80"/>
      <c r="AB8" s="81">
        <f t="shared" si="4"/>
        <v>0</v>
      </c>
      <c r="AC8" s="78"/>
      <c r="AD8" s="77"/>
      <c r="AE8" s="79"/>
      <c r="AF8" s="80"/>
      <c r="AG8" s="81">
        <f t="shared" si="5"/>
        <v>0</v>
      </c>
      <c r="AH8" s="78"/>
      <c r="AI8" s="77"/>
      <c r="AJ8" s="79"/>
      <c r="AK8" s="80"/>
      <c r="AL8" s="81">
        <f t="shared" si="6"/>
        <v>0</v>
      </c>
      <c r="AM8" s="78"/>
      <c r="AN8" s="77"/>
      <c r="AO8" s="132">
        <v>1</v>
      </c>
      <c r="AP8" s="135">
        <v>0.3</v>
      </c>
      <c r="AQ8" s="85">
        <f t="shared" si="7"/>
        <v>0.3</v>
      </c>
      <c r="AR8" s="134" t="s">
        <v>1190</v>
      </c>
    </row>
    <row r="9" spans="1:44" ht="225" x14ac:dyDescent="0.25">
      <c r="A9" s="77">
        <v>6</v>
      </c>
      <c r="B9" s="78" t="s">
        <v>3</v>
      </c>
      <c r="C9" s="78" t="s">
        <v>4</v>
      </c>
      <c r="D9" s="78" t="s">
        <v>129</v>
      </c>
      <c r="E9" s="77"/>
      <c r="F9" s="79"/>
      <c r="G9" s="80"/>
      <c r="H9" s="81">
        <f t="shared" si="0"/>
        <v>0</v>
      </c>
      <c r="I9" s="78"/>
      <c r="J9" s="77"/>
      <c r="K9" s="136">
        <v>1</v>
      </c>
      <c r="L9" s="137">
        <v>0.79</v>
      </c>
      <c r="M9" s="85">
        <f t="shared" si="1"/>
        <v>0.79</v>
      </c>
      <c r="N9" s="138" t="s">
        <v>1624</v>
      </c>
      <c r="O9" s="77"/>
      <c r="P9" s="136">
        <v>1</v>
      </c>
      <c r="Q9" s="137">
        <v>0.95</v>
      </c>
      <c r="R9" s="85">
        <f t="shared" si="2"/>
        <v>0.95</v>
      </c>
      <c r="S9" s="138" t="s">
        <v>1633</v>
      </c>
      <c r="T9" s="77"/>
      <c r="U9" s="79"/>
      <c r="V9" s="80"/>
      <c r="W9" s="81">
        <f t="shared" si="3"/>
        <v>0</v>
      </c>
      <c r="X9" s="78"/>
      <c r="Y9" s="77"/>
      <c r="Z9" s="79"/>
      <c r="AA9" s="80"/>
      <c r="AB9" s="81">
        <f t="shared" si="4"/>
        <v>0</v>
      </c>
      <c r="AC9" s="78"/>
      <c r="AD9" s="77"/>
      <c r="AE9" s="79"/>
      <c r="AF9" s="80"/>
      <c r="AG9" s="81">
        <f t="shared" si="5"/>
        <v>0</v>
      </c>
      <c r="AH9" s="78"/>
      <c r="AI9" s="77"/>
      <c r="AJ9" s="79"/>
      <c r="AK9" s="80"/>
      <c r="AL9" s="81">
        <f t="shared" si="6"/>
        <v>0</v>
      </c>
      <c r="AM9" s="78"/>
      <c r="AN9" s="77"/>
      <c r="AO9" s="136">
        <v>1</v>
      </c>
      <c r="AP9" s="139">
        <v>0.2</v>
      </c>
      <c r="AQ9" s="85">
        <f t="shared" si="7"/>
        <v>0.2</v>
      </c>
      <c r="AR9" s="138" t="s">
        <v>1614</v>
      </c>
    </row>
    <row r="10" spans="1:44" ht="105" x14ac:dyDescent="0.25">
      <c r="A10" s="77">
        <v>7</v>
      </c>
      <c r="B10" s="78" t="s">
        <v>3</v>
      </c>
      <c r="C10" s="78" t="s">
        <v>4</v>
      </c>
      <c r="D10" s="78" t="s">
        <v>36</v>
      </c>
      <c r="E10" s="77"/>
      <c r="F10" s="79"/>
      <c r="G10" s="80"/>
      <c r="H10" s="81">
        <f t="shared" si="0"/>
        <v>0</v>
      </c>
      <c r="I10" s="82"/>
      <c r="J10" s="77"/>
      <c r="K10" s="132">
        <v>1</v>
      </c>
      <c r="L10" s="133">
        <v>0.75</v>
      </c>
      <c r="M10" s="85">
        <f t="shared" si="1"/>
        <v>0.75</v>
      </c>
      <c r="N10" s="134" t="s">
        <v>1181</v>
      </c>
      <c r="O10" s="77"/>
      <c r="P10" s="132">
        <v>1</v>
      </c>
      <c r="Q10" s="133">
        <v>0.7</v>
      </c>
      <c r="R10" s="85">
        <f t="shared" si="2"/>
        <v>0.7</v>
      </c>
      <c r="S10" s="134" t="s">
        <v>1184</v>
      </c>
      <c r="T10" s="77"/>
      <c r="U10" s="79"/>
      <c r="V10" s="80"/>
      <c r="W10" s="81">
        <f t="shared" si="3"/>
        <v>0</v>
      </c>
      <c r="X10" s="82"/>
      <c r="Y10" s="77"/>
      <c r="Z10" s="79"/>
      <c r="AA10" s="80"/>
      <c r="AB10" s="81">
        <f t="shared" si="4"/>
        <v>0</v>
      </c>
      <c r="AC10" s="82"/>
      <c r="AD10" s="77"/>
      <c r="AE10" s="79"/>
      <c r="AF10" s="80"/>
      <c r="AG10" s="81">
        <f t="shared" si="5"/>
        <v>0</v>
      </c>
      <c r="AH10" s="82"/>
      <c r="AI10" s="77"/>
      <c r="AJ10" s="79"/>
      <c r="AK10" s="80"/>
      <c r="AL10" s="81">
        <f t="shared" si="6"/>
        <v>0</v>
      </c>
      <c r="AM10" s="82"/>
      <c r="AN10" s="77"/>
      <c r="AO10" s="132">
        <v>1</v>
      </c>
      <c r="AP10" s="135">
        <v>0.2</v>
      </c>
      <c r="AQ10" s="85">
        <f t="shared" si="7"/>
        <v>0.2</v>
      </c>
      <c r="AR10" s="134" t="s">
        <v>1191</v>
      </c>
    </row>
    <row r="11" spans="1:44" ht="75" x14ac:dyDescent="0.25">
      <c r="A11" s="77">
        <v>8</v>
      </c>
      <c r="B11" s="78" t="s">
        <v>3</v>
      </c>
      <c r="C11" s="78" t="s">
        <v>4</v>
      </c>
      <c r="D11" s="78" t="s">
        <v>64</v>
      </c>
      <c r="E11" s="77"/>
      <c r="F11" s="79"/>
      <c r="G11" s="80"/>
      <c r="H11" s="81">
        <f t="shared" si="0"/>
        <v>0</v>
      </c>
      <c r="I11" s="78"/>
      <c r="J11" s="77"/>
      <c r="K11" s="136">
        <v>1</v>
      </c>
      <c r="L11" s="137">
        <v>1</v>
      </c>
      <c r="M11" s="85">
        <f t="shared" si="1"/>
        <v>1</v>
      </c>
      <c r="N11" s="138"/>
      <c r="O11" s="77"/>
      <c r="P11" s="136">
        <v>1</v>
      </c>
      <c r="Q11" s="137">
        <v>0.9</v>
      </c>
      <c r="R11" s="85">
        <f t="shared" si="2"/>
        <v>0.9</v>
      </c>
      <c r="S11" s="138" t="s">
        <v>1185</v>
      </c>
      <c r="T11" s="77"/>
      <c r="U11" s="79"/>
      <c r="V11" s="80"/>
      <c r="W11" s="81">
        <f t="shared" si="3"/>
        <v>0</v>
      </c>
      <c r="X11" s="82"/>
      <c r="Y11" s="77"/>
      <c r="Z11" s="79"/>
      <c r="AA11" s="80"/>
      <c r="AB11" s="81">
        <f t="shared" si="4"/>
        <v>0</v>
      </c>
      <c r="AC11" s="82"/>
      <c r="AD11" s="77"/>
      <c r="AE11" s="79"/>
      <c r="AF11" s="80"/>
      <c r="AG11" s="81">
        <f t="shared" si="5"/>
        <v>0</v>
      </c>
      <c r="AH11" s="82"/>
      <c r="AI11" s="77"/>
      <c r="AJ11" s="79"/>
      <c r="AK11" s="80"/>
      <c r="AL11" s="81">
        <f t="shared" si="6"/>
        <v>0</v>
      </c>
      <c r="AM11" s="82"/>
      <c r="AN11" s="77"/>
      <c r="AO11" s="136">
        <v>1</v>
      </c>
      <c r="AP11" s="139">
        <v>0.15</v>
      </c>
      <c r="AQ11" s="85">
        <f t="shared" si="7"/>
        <v>0.15</v>
      </c>
      <c r="AR11" s="138" t="s">
        <v>1192</v>
      </c>
    </row>
    <row r="12" spans="1:44" ht="75" x14ac:dyDescent="0.25">
      <c r="A12" s="77">
        <v>9</v>
      </c>
      <c r="B12" s="78" t="s">
        <v>3</v>
      </c>
      <c r="C12" s="78" t="s">
        <v>5</v>
      </c>
      <c r="D12" s="78" t="s">
        <v>37</v>
      </c>
      <c r="E12" s="77"/>
      <c r="F12" s="79"/>
      <c r="G12" s="80"/>
      <c r="H12" s="81">
        <f t="shared" si="0"/>
        <v>0</v>
      </c>
      <c r="I12" s="82"/>
      <c r="J12" s="77"/>
      <c r="K12" s="132">
        <v>1</v>
      </c>
      <c r="L12" s="141">
        <v>0.54</v>
      </c>
      <c r="M12" s="85">
        <f t="shared" si="1"/>
        <v>0.54</v>
      </c>
      <c r="N12" s="134" t="s">
        <v>1376</v>
      </c>
      <c r="O12" s="77"/>
      <c r="P12" s="132">
        <v>1</v>
      </c>
      <c r="Q12" s="133">
        <v>1</v>
      </c>
      <c r="R12" s="85">
        <f t="shared" si="2"/>
        <v>1</v>
      </c>
      <c r="S12" s="134"/>
      <c r="T12" s="77"/>
      <c r="U12" s="79"/>
      <c r="V12" s="80"/>
      <c r="W12" s="81">
        <f t="shared" si="3"/>
        <v>0</v>
      </c>
      <c r="X12" s="82"/>
      <c r="Y12" s="77"/>
      <c r="Z12" s="79"/>
      <c r="AA12" s="80"/>
      <c r="AB12" s="81">
        <f t="shared" si="4"/>
        <v>0</v>
      </c>
      <c r="AC12" s="82"/>
      <c r="AD12" s="77"/>
      <c r="AE12" s="79"/>
      <c r="AF12" s="80"/>
      <c r="AG12" s="81">
        <f t="shared" si="5"/>
        <v>0</v>
      </c>
      <c r="AH12" s="82"/>
      <c r="AI12" s="77"/>
      <c r="AJ12" s="79"/>
      <c r="AK12" s="80"/>
      <c r="AL12" s="81">
        <f t="shared" si="6"/>
        <v>0</v>
      </c>
      <c r="AM12" s="82"/>
      <c r="AN12" s="77"/>
      <c r="AO12" s="132">
        <v>1</v>
      </c>
      <c r="AP12" s="135">
        <v>0.3</v>
      </c>
      <c r="AQ12" s="85">
        <f t="shared" si="7"/>
        <v>0.3</v>
      </c>
      <c r="AR12" s="134" t="s">
        <v>1227</v>
      </c>
    </row>
    <row r="13" spans="1:44" ht="135" x14ac:dyDescent="0.25">
      <c r="A13" s="77">
        <v>10</v>
      </c>
      <c r="B13" s="78" t="s">
        <v>3</v>
      </c>
      <c r="C13" s="78" t="s">
        <v>5</v>
      </c>
      <c r="D13" s="78" t="s">
        <v>38</v>
      </c>
      <c r="E13" s="77"/>
      <c r="F13" s="79"/>
      <c r="G13" s="80"/>
      <c r="H13" s="81">
        <f t="shared" si="0"/>
        <v>0</v>
      </c>
      <c r="I13" s="82"/>
      <c r="J13" s="77"/>
      <c r="K13" s="136">
        <v>1</v>
      </c>
      <c r="L13" s="137">
        <v>0.44</v>
      </c>
      <c r="M13" s="85">
        <f t="shared" si="1"/>
        <v>0.44</v>
      </c>
      <c r="N13" s="138" t="s">
        <v>1377</v>
      </c>
      <c r="O13" s="77"/>
      <c r="P13" s="136">
        <v>1</v>
      </c>
      <c r="Q13" s="137">
        <v>0.95</v>
      </c>
      <c r="R13" s="85">
        <f t="shared" si="2"/>
        <v>0.95</v>
      </c>
      <c r="S13" s="138" t="s">
        <v>1231</v>
      </c>
      <c r="T13" s="77"/>
      <c r="U13" s="79"/>
      <c r="V13" s="80"/>
      <c r="W13" s="81">
        <f t="shared" si="3"/>
        <v>0</v>
      </c>
      <c r="X13" s="82"/>
      <c r="Y13" s="77"/>
      <c r="Z13" s="79"/>
      <c r="AA13" s="80"/>
      <c r="AB13" s="81">
        <f t="shared" si="4"/>
        <v>0</v>
      </c>
      <c r="AC13" s="82"/>
      <c r="AD13" s="77"/>
      <c r="AE13" s="79"/>
      <c r="AF13" s="80"/>
      <c r="AG13" s="81">
        <f t="shared" si="5"/>
        <v>0</v>
      </c>
      <c r="AH13" s="82"/>
      <c r="AI13" s="77"/>
      <c r="AJ13" s="79"/>
      <c r="AK13" s="80"/>
      <c r="AL13" s="81">
        <f t="shared" si="6"/>
        <v>0</v>
      </c>
      <c r="AM13" s="82"/>
      <c r="AN13" s="77"/>
      <c r="AO13" s="136">
        <v>1</v>
      </c>
      <c r="AP13" s="139">
        <v>0.25</v>
      </c>
      <c r="AQ13" s="85">
        <f t="shared" si="7"/>
        <v>0.25</v>
      </c>
      <c r="AR13" s="138" t="s">
        <v>1228</v>
      </c>
    </row>
    <row r="14" spans="1:44" ht="114" customHeight="1" x14ac:dyDescent="0.25">
      <c r="A14" s="77">
        <v>11</v>
      </c>
      <c r="B14" s="78" t="s">
        <v>3</v>
      </c>
      <c r="C14" s="78" t="s">
        <v>31</v>
      </c>
      <c r="D14" s="78" t="s">
        <v>39</v>
      </c>
      <c r="E14" s="77"/>
      <c r="F14" s="79"/>
      <c r="G14" s="80"/>
      <c r="H14" s="81">
        <f t="shared" si="0"/>
        <v>0</v>
      </c>
      <c r="I14" s="82"/>
      <c r="J14" s="77"/>
      <c r="K14" s="132">
        <v>1</v>
      </c>
      <c r="L14" s="133">
        <v>0.85</v>
      </c>
      <c r="M14" s="85">
        <f t="shared" si="1"/>
        <v>0.85</v>
      </c>
      <c r="N14" s="134" t="s">
        <v>1199</v>
      </c>
      <c r="O14" s="77"/>
      <c r="P14" s="132">
        <v>1</v>
      </c>
      <c r="Q14" s="133">
        <v>1</v>
      </c>
      <c r="R14" s="85">
        <f t="shared" si="2"/>
        <v>1</v>
      </c>
      <c r="S14" s="134"/>
      <c r="T14" s="77"/>
      <c r="U14" s="79"/>
      <c r="V14" s="80"/>
      <c r="W14" s="81">
        <f t="shared" si="3"/>
        <v>0</v>
      </c>
      <c r="X14" s="82"/>
      <c r="Y14" s="77"/>
      <c r="Z14" s="79"/>
      <c r="AA14" s="80"/>
      <c r="AB14" s="81">
        <f t="shared" si="4"/>
        <v>0</v>
      </c>
      <c r="AC14" s="82"/>
      <c r="AD14" s="77"/>
      <c r="AE14" s="79"/>
      <c r="AF14" s="80"/>
      <c r="AG14" s="81">
        <f t="shared" si="5"/>
        <v>0</v>
      </c>
      <c r="AH14" s="82"/>
      <c r="AI14" s="77"/>
      <c r="AJ14" s="79"/>
      <c r="AK14" s="80"/>
      <c r="AL14" s="81">
        <f t="shared" si="6"/>
        <v>0</v>
      </c>
      <c r="AM14" s="82"/>
      <c r="AN14" s="77"/>
      <c r="AO14" s="132">
        <v>1</v>
      </c>
      <c r="AP14" s="135">
        <v>0.15</v>
      </c>
      <c r="AQ14" s="85">
        <f t="shared" si="7"/>
        <v>0.15</v>
      </c>
      <c r="AR14" s="134" t="s">
        <v>1195</v>
      </c>
    </row>
    <row r="15" spans="1:44" ht="107.25" customHeight="1" x14ac:dyDescent="0.25">
      <c r="A15" s="77">
        <v>12</v>
      </c>
      <c r="B15" s="78" t="s">
        <v>3</v>
      </c>
      <c r="C15" s="78" t="s">
        <v>31</v>
      </c>
      <c r="D15" s="78" t="s">
        <v>40</v>
      </c>
      <c r="E15" s="77"/>
      <c r="F15" s="79"/>
      <c r="G15" s="80"/>
      <c r="H15" s="81">
        <f t="shared" si="0"/>
        <v>0</v>
      </c>
      <c r="I15" s="82"/>
      <c r="J15" s="77"/>
      <c r="K15" s="136">
        <v>1</v>
      </c>
      <c r="L15" s="137">
        <v>1</v>
      </c>
      <c r="M15" s="85">
        <f t="shared" si="1"/>
        <v>1</v>
      </c>
      <c r="N15" s="138"/>
      <c r="O15" s="77"/>
      <c r="P15" s="136">
        <v>1</v>
      </c>
      <c r="Q15" s="137">
        <v>0.95</v>
      </c>
      <c r="R15" s="85">
        <f t="shared" si="2"/>
        <v>0.95</v>
      </c>
      <c r="S15" s="138" t="s">
        <v>1187</v>
      </c>
      <c r="T15" s="77"/>
      <c r="U15" s="79"/>
      <c r="V15" s="80"/>
      <c r="W15" s="81">
        <f t="shared" si="3"/>
        <v>0</v>
      </c>
      <c r="X15" s="82"/>
      <c r="Y15" s="77"/>
      <c r="Z15" s="79"/>
      <c r="AA15" s="80"/>
      <c r="AB15" s="81">
        <f t="shared" si="4"/>
        <v>0</v>
      </c>
      <c r="AC15" s="82"/>
      <c r="AD15" s="77"/>
      <c r="AE15" s="79"/>
      <c r="AF15" s="80"/>
      <c r="AG15" s="81">
        <f t="shared" si="5"/>
        <v>0</v>
      </c>
      <c r="AH15" s="82"/>
      <c r="AI15" s="77"/>
      <c r="AJ15" s="79"/>
      <c r="AK15" s="80"/>
      <c r="AL15" s="81">
        <f t="shared" si="6"/>
        <v>0</v>
      </c>
      <c r="AM15" s="82"/>
      <c r="AN15" s="77"/>
      <c r="AO15" s="136">
        <v>1</v>
      </c>
      <c r="AP15" s="139">
        <v>0.5</v>
      </c>
      <c r="AQ15" s="85">
        <f t="shared" si="7"/>
        <v>0.5</v>
      </c>
      <c r="AR15" s="138" t="s">
        <v>1196</v>
      </c>
    </row>
    <row r="16" spans="1:44" ht="279" customHeight="1" x14ac:dyDescent="0.25">
      <c r="A16" s="77">
        <v>13</v>
      </c>
      <c r="B16" s="78" t="s">
        <v>6</v>
      </c>
      <c r="C16" s="78" t="s">
        <v>7</v>
      </c>
      <c r="D16" s="78" t="s">
        <v>41</v>
      </c>
      <c r="E16" s="77"/>
      <c r="F16" s="79"/>
      <c r="G16" s="80"/>
      <c r="H16" s="81">
        <f t="shared" si="0"/>
        <v>0</v>
      </c>
      <c r="I16" s="82"/>
      <c r="J16" s="77"/>
      <c r="K16" s="100">
        <v>1</v>
      </c>
      <c r="L16" s="101">
        <v>1</v>
      </c>
      <c r="M16" s="85">
        <f t="shared" si="1"/>
        <v>1</v>
      </c>
      <c r="N16" s="102" t="s">
        <v>480</v>
      </c>
      <c r="O16" s="77"/>
      <c r="P16" s="100">
        <v>1</v>
      </c>
      <c r="Q16" s="101">
        <v>0.8</v>
      </c>
      <c r="R16" s="85">
        <f t="shared" si="2"/>
        <v>0.8</v>
      </c>
      <c r="S16" s="102" t="s">
        <v>495</v>
      </c>
      <c r="T16" s="77"/>
      <c r="U16" s="79"/>
      <c r="V16" s="80"/>
      <c r="W16" s="81">
        <f t="shared" si="3"/>
        <v>0</v>
      </c>
      <c r="X16" s="82"/>
      <c r="Y16" s="77"/>
      <c r="Z16" s="79"/>
      <c r="AA16" s="80"/>
      <c r="AB16" s="81">
        <f t="shared" si="4"/>
        <v>0</v>
      </c>
      <c r="AC16" s="82"/>
      <c r="AD16" s="77"/>
      <c r="AE16" s="79"/>
      <c r="AF16" s="80"/>
      <c r="AG16" s="81">
        <f t="shared" si="5"/>
        <v>0</v>
      </c>
      <c r="AH16" s="82"/>
      <c r="AI16" s="77"/>
      <c r="AJ16" s="79"/>
      <c r="AK16" s="80"/>
      <c r="AL16" s="81">
        <f t="shared" si="6"/>
        <v>0</v>
      </c>
      <c r="AM16" s="82"/>
      <c r="AN16" s="77"/>
      <c r="AO16" s="100">
        <v>1</v>
      </c>
      <c r="AP16" s="101">
        <v>0.88</v>
      </c>
      <c r="AQ16" s="85">
        <f t="shared" si="7"/>
        <v>0.88</v>
      </c>
      <c r="AR16" s="102" t="s">
        <v>509</v>
      </c>
    </row>
    <row r="17" spans="1:44" ht="224.25" customHeight="1" x14ac:dyDescent="0.25">
      <c r="A17" s="77">
        <v>14</v>
      </c>
      <c r="B17" s="78" t="s">
        <v>6</v>
      </c>
      <c r="C17" s="78" t="s">
        <v>7</v>
      </c>
      <c r="D17" s="78" t="s">
        <v>130</v>
      </c>
      <c r="E17" s="77"/>
      <c r="F17" s="79"/>
      <c r="G17" s="80"/>
      <c r="H17" s="81">
        <f t="shared" si="0"/>
        <v>0</v>
      </c>
      <c r="I17" s="82"/>
      <c r="J17" s="77"/>
      <c r="K17" s="100">
        <v>1</v>
      </c>
      <c r="L17" s="101">
        <v>1</v>
      </c>
      <c r="M17" s="85">
        <f t="shared" si="1"/>
        <v>1</v>
      </c>
      <c r="N17" s="102" t="s">
        <v>481</v>
      </c>
      <c r="O17" s="77"/>
      <c r="P17" s="100">
        <v>1</v>
      </c>
      <c r="Q17" s="101">
        <v>0.8</v>
      </c>
      <c r="R17" s="85">
        <f t="shared" si="2"/>
        <v>0.8</v>
      </c>
      <c r="S17" s="102" t="s">
        <v>496</v>
      </c>
      <c r="T17" s="77"/>
      <c r="U17" s="79"/>
      <c r="V17" s="80"/>
      <c r="W17" s="81">
        <f t="shared" si="3"/>
        <v>0</v>
      </c>
      <c r="X17" s="82"/>
      <c r="Y17" s="77"/>
      <c r="Z17" s="79"/>
      <c r="AA17" s="80"/>
      <c r="AB17" s="81">
        <f t="shared" si="4"/>
        <v>0</v>
      </c>
      <c r="AC17" s="82"/>
      <c r="AD17" s="77"/>
      <c r="AE17" s="79"/>
      <c r="AF17" s="80"/>
      <c r="AG17" s="81">
        <f t="shared" si="5"/>
        <v>0</v>
      </c>
      <c r="AH17" s="82"/>
      <c r="AI17" s="77"/>
      <c r="AJ17" s="79"/>
      <c r="AK17" s="80"/>
      <c r="AL17" s="81">
        <f t="shared" si="6"/>
        <v>0</v>
      </c>
      <c r="AM17" s="82"/>
      <c r="AN17" s="77"/>
      <c r="AO17" s="100">
        <v>1</v>
      </c>
      <c r="AP17" s="101">
        <v>0.85</v>
      </c>
      <c r="AQ17" s="85">
        <f t="shared" si="7"/>
        <v>0.85</v>
      </c>
      <c r="AR17" s="102" t="s">
        <v>510</v>
      </c>
    </row>
    <row r="18" spans="1:44" ht="78.75" x14ac:dyDescent="0.25">
      <c r="A18" s="77">
        <v>15</v>
      </c>
      <c r="B18" s="78" t="s">
        <v>6</v>
      </c>
      <c r="C18" s="78" t="s">
        <v>7</v>
      </c>
      <c r="D18" s="78" t="s">
        <v>131</v>
      </c>
      <c r="E18" s="77"/>
      <c r="F18" s="79"/>
      <c r="G18" s="80"/>
      <c r="H18" s="81">
        <f t="shared" si="0"/>
        <v>0</v>
      </c>
      <c r="I18" s="82"/>
      <c r="J18" s="77"/>
      <c r="K18" s="100">
        <v>1</v>
      </c>
      <c r="L18" s="101">
        <v>1</v>
      </c>
      <c r="M18" s="85">
        <f t="shared" si="1"/>
        <v>1</v>
      </c>
      <c r="N18" s="102" t="s">
        <v>482</v>
      </c>
      <c r="O18" s="77"/>
      <c r="P18" s="100">
        <v>1</v>
      </c>
      <c r="Q18" s="101">
        <v>1</v>
      </c>
      <c r="R18" s="85">
        <f t="shared" si="2"/>
        <v>1</v>
      </c>
      <c r="S18" s="102" t="s">
        <v>497</v>
      </c>
      <c r="T18" s="77"/>
      <c r="U18" s="79"/>
      <c r="V18" s="80"/>
      <c r="W18" s="81">
        <f t="shared" si="3"/>
        <v>0</v>
      </c>
      <c r="X18" s="82"/>
      <c r="Y18" s="77"/>
      <c r="Z18" s="79"/>
      <c r="AA18" s="80"/>
      <c r="AB18" s="81">
        <f t="shared" si="4"/>
        <v>0</v>
      </c>
      <c r="AC18" s="82"/>
      <c r="AD18" s="77"/>
      <c r="AE18" s="79"/>
      <c r="AF18" s="80"/>
      <c r="AG18" s="81">
        <f t="shared" si="5"/>
        <v>0</v>
      </c>
      <c r="AH18" s="82"/>
      <c r="AI18" s="77"/>
      <c r="AJ18" s="79"/>
      <c r="AK18" s="80"/>
      <c r="AL18" s="81">
        <f t="shared" si="6"/>
        <v>0</v>
      </c>
      <c r="AM18" s="82"/>
      <c r="AN18" s="77"/>
      <c r="AO18" s="100">
        <v>1</v>
      </c>
      <c r="AP18" s="101">
        <v>0.95</v>
      </c>
      <c r="AQ18" s="85">
        <f t="shared" si="7"/>
        <v>0.95</v>
      </c>
      <c r="AR18" s="102" t="s">
        <v>511</v>
      </c>
    </row>
    <row r="19" spans="1:44" ht="111.75" customHeight="1" x14ac:dyDescent="0.25">
      <c r="A19" s="77">
        <v>16</v>
      </c>
      <c r="B19" s="78" t="s">
        <v>6</v>
      </c>
      <c r="C19" s="78" t="s">
        <v>7</v>
      </c>
      <c r="D19" s="78" t="s">
        <v>42</v>
      </c>
      <c r="E19" s="77"/>
      <c r="F19" s="79"/>
      <c r="G19" s="80"/>
      <c r="H19" s="81">
        <f t="shared" si="0"/>
        <v>0</v>
      </c>
      <c r="I19" s="82"/>
      <c r="J19" s="77"/>
      <c r="K19" s="100">
        <v>1</v>
      </c>
      <c r="L19" s="101">
        <v>1</v>
      </c>
      <c r="M19" s="85">
        <f t="shared" si="1"/>
        <v>1</v>
      </c>
      <c r="N19" s="102" t="s">
        <v>483</v>
      </c>
      <c r="O19" s="77"/>
      <c r="P19" s="100">
        <v>1</v>
      </c>
      <c r="Q19" s="101">
        <v>0.9</v>
      </c>
      <c r="R19" s="85">
        <f t="shared" si="2"/>
        <v>0.9</v>
      </c>
      <c r="S19" s="102" t="s">
        <v>498</v>
      </c>
      <c r="T19" s="77"/>
      <c r="U19" s="79"/>
      <c r="V19" s="80"/>
      <c r="W19" s="81">
        <f t="shared" si="3"/>
        <v>0</v>
      </c>
      <c r="X19" s="82"/>
      <c r="Y19" s="77"/>
      <c r="Z19" s="79"/>
      <c r="AA19" s="80"/>
      <c r="AB19" s="81">
        <f t="shared" si="4"/>
        <v>0</v>
      </c>
      <c r="AC19" s="82"/>
      <c r="AD19" s="77"/>
      <c r="AE19" s="79"/>
      <c r="AF19" s="80"/>
      <c r="AG19" s="81">
        <f t="shared" si="5"/>
        <v>0</v>
      </c>
      <c r="AH19" s="82"/>
      <c r="AI19" s="77"/>
      <c r="AJ19" s="79"/>
      <c r="AK19" s="80"/>
      <c r="AL19" s="81">
        <f t="shared" si="6"/>
        <v>0</v>
      </c>
      <c r="AM19" s="82"/>
      <c r="AN19" s="77"/>
      <c r="AO19" s="100">
        <v>1</v>
      </c>
      <c r="AP19" s="101">
        <v>0.95</v>
      </c>
      <c r="AQ19" s="85">
        <f t="shared" si="7"/>
        <v>0.95</v>
      </c>
      <c r="AR19" s="102" t="s">
        <v>239</v>
      </c>
    </row>
    <row r="20" spans="1:44" ht="235.5" customHeight="1" x14ac:dyDescent="0.25">
      <c r="A20" s="77">
        <v>17</v>
      </c>
      <c r="B20" s="78" t="s">
        <v>6</v>
      </c>
      <c r="C20" s="78" t="s">
        <v>7</v>
      </c>
      <c r="D20" s="78" t="s">
        <v>43</v>
      </c>
      <c r="E20" s="77"/>
      <c r="F20" s="79"/>
      <c r="G20" s="80"/>
      <c r="H20" s="81">
        <f t="shared" si="0"/>
        <v>0</v>
      </c>
      <c r="I20" s="82"/>
      <c r="J20" s="77"/>
      <c r="K20" s="100">
        <v>1</v>
      </c>
      <c r="L20" s="101">
        <v>0.7</v>
      </c>
      <c r="M20" s="85">
        <f t="shared" si="1"/>
        <v>0.7</v>
      </c>
      <c r="N20" s="102" t="s">
        <v>484</v>
      </c>
      <c r="O20" s="77"/>
      <c r="P20" s="100">
        <v>1</v>
      </c>
      <c r="Q20" s="101">
        <v>0.9</v>
      </c>
      <c r="R20" s="85">
        <f t="shared" si="2"/>
        <v>0.9</v>
      </c>
      <c r="S20" s="102" t="s">
        <v>499</v>
      </c>
      <c r="T20" s="77"/>
      <c r="U20" s="79"/>
      <c r="V20" s="80"/>
      <c r="W20" s="81">
        <f t="shared" si="3"/>
        <v>0</v>
      </c>
      <c r="X20" s="82"/>
      <c r="Y20" s="77"/>
      <c r="Z20" s="79"/>
      <c r="AA20" s="80"/>
      <c r="AB20" s="81">
        <f t="shared" si="4"/>
        <v>0</v>
      </c>
      <c r="AC20" s="82"/>
      <c r="AD20" s="77"/>
      <c r="AE20" s="79"/>
      <c r="AF20" s="80"/>
      <c r="AG20" s="81">
        <f t="shared" si="5"/>
        <v>0</v>
      </c>
      <c r="AH20" s="82"/>
      <c r="AI20" s="77"/>
      <c r="AJ20" s="79"/>
      <c r="AK20" s="80"/>
      <c r="AL20" s="81">
        <f t="shared" si="6"/>
        <v>0</v>
      </c>
      <c r="AM20" s="82"/>
      <c r="AN20" s="77"/>
      <c r="AO20" s="100">
        <v>1</v>
      </c>
      <c r="AP20" s="101">
        <v>0.6</v>
      </c>
      <c r="AQ20" s="85">
        <v>0.6</v>
      </c>
      <c r="AR20" s="102" t="s">
        <v>512</v>
      </c>
    </row>
    <row r="21" spans="1:44" ht="158.25" customHeight="1" x14ac:dyDescent="0.25">
      <c r="A21" s="77">
        <v>18</v>
      </c>
      <c r="B21" s="78" t="s">
        <v>6</v>
      </c>
      <c r="C21" s="78" t="s">
        <v>7</v>
      </c>
      <c r="D21" s="78" t="s">
        <v>44</v>
      </c>
      <c r="E21" s="77"/>
      <c r="F21" s="79"/>
      <c r="G21" s="80"/>
      <c r="H21" s="81">
        <f t="shared" si="0"/>
        <v>0</v>
      </c>
      <c r="I21" s="82"/>
      <c r="J21" s="77"/>
      <c r="K21" s="100">
        <v>1</v>
      </c>
      <c r="L21" s="101">
        <v>0.75</v>
      </c>
      <c r="M21" s="85">
        <f t="shared" si="1"/>
        <v>0.75</v>
      </c>
      <c r="N21" s="102" t="s">
        <v>445</v>
      </c>
      <c r="O21" s="77"/>
      <c r="P21" s="100">
        <v>1</v>
      </c>
      <c r="Q21" s="101">
        <v>0.75</v>
      </c>
      <c r="R21" s="85">
        <f t="shared" si="2"/>
        <v>0.75</v>
      </c>
      <c r="S21" s="102" t="s">
        <v>1369</v>
      </c>
      <c r="T21" s="77"/>
      <c r="U21" s="79"/>
      <c r="V21" s="80"/>
      <c r="W21" s="81">
        <f t="shared" si="3"/>
        <v>0</v>
      </c>
      <c r="X21" s="82"/>
      <c r="Y21" s="77"/>
      <c r="Z21" s="79"/>
      <c r="AA21" s="80"/>
      <c r="AB21" s="81">
        <f t="shared" si="4"/>
        <v>0</v>
      </c>
      <c r="AC21" s="82"/>
      <c r="AD21" s="77"/>
      <c r="AE21" s="79"/>
      <c r="AF21" s="80"/>
      <c r="AG21" s="81">
        <f t="shared" si="5"/>
        <v>0</v>
      </c>
      <c r="AH21" s="82"/>
      <c r="AI21" s="77"/>
      <c r="AJ21" s="79"/>
      <c r="AK21" s="80"/>
      <c r="AL21" s="81">
        <f t="shared" si="6"/>
        <v>0</v>
      </c>
      <c r="AM21" s="82"/>
      <c r="AN21" s="77"/>
      <c r="AO21" s="100">
        <v>1</v>
      </c>
      <c r="AP21" s="101">
        <v>0.72</v>
      </c>
      <c r="AQ21" s="85">
        <f>AO21*AP21</f>
        <v>0.72</v>
      </c>
      <c r="AR21" s="102" t="s">
        <v>513</v>
      </c>
    </row>
    <row r="22" spans="1:44" ht="110.25" x14ac:dyDescent="0.25">
      <c r="A22" s="77">
        <v>19</v>
      </c>
      <c r="B22" s="78" t="s">
        <v>6</v>
      </c>
      <c r="C22" s="78" t="s">
        <v>7</v>
      </c>
      <c r="D22" s="78" t="s">
        <v>45</v>
      </c>
      <c r="E22" s="77"/>
      <c r="F22" s="79"/>
      <c r="G22" s="80"/>
      <c r="H22" s="81">
        <f t="shared" si="0"/>
        <v>0</v>
      </c>
      <c r="I22" s="82"/>
      <c r="J22" s="77"/>
      <c r="K22" s="100">
        <v>1</v>
      </c>
      <c r="L22" s="101">
        <v>0.55000000000000004</v>
      </c>
      <c r="M22" s="85">
        <f t="shared" si="1"/>
        <v>0.55000000000000004</v>
      </c>
      <c r="N22" s="102" t="s">
        <v>485</v>
      </c>
      <c r="O22" s="77"/>
      <c r="P22" s="100">
        <v>1</v>
      </c>
      <c r="Q22" s="101">
        <v>0.3</v>
      </c>
      <c r="R22" s="85">
        <f t="shared" si="2"/>
        <v>0.3</v>
      </c>
      <c r="S22" s="102" t="s">
        <v>500</v>
      </c>
      <c r="T22" s="77"/>
      <c r="U22" s="79"/>
      <c r="V22" s="80"/>
      <c r="W22" s="81">
        <f t="shared" si="3"/>
        <v>0</v>
      </c>
      <c r="X22" s="82"/>
      <c r="Y22" s="77"/>
      <c r="Z22" s="79"/>
      <c r="AA22" s="80"/>
      <c r="AB22" s="81">
        <f t="shared" si="4"/>
        <v>0</v>
      </c>
      <c r="AC22" s="82"/>
      <c r="AD22" s="77"/>
      <c r="AE22" s="79"/>
      <c r="AF22" s="80"/>
      <c r="AG22" s="81">
        <f t="shared" si="5"/>
        <v>0</v>
      </c>
      <c r="AH22" s="82"/>
      <c r="AI22" s="77"/>
      <c r="AJ22" s="79"/>
      <c r="AK22" s="80"/>
      <c r="AL22" s="81">
        <f t="shared" si="6"/>
        <v>0</v>
      </c>
      <c r="AM22" s="82"/>
      <c r="AN22" s="77"/>
      <c r="AO22" s="100">
        <v>1</v>
      </c>
      <c r="AP22" s="101">
        <v>0.35</v>
      </c>
      <c r="AQ22" s="85">
        <f>AO22*AP22</f>
        <v>0.35</v>
      </c>
      <c r="AR22" s="102" t="s">
        <v>514</v>
      </c>
    </row>
    <row r="23" spans="1:44" ht="98.25" customHeight="1" x14ac:dyDescent="0.25">
      <c r="A23" s="77">
        <v>20</v>
      </c>
      <c r="B23" s="78" t="s">
        <v>6</v>
      </c>
      <c r="C23" s="78" t="s">
        <v>7</v>
      </c>
      <c r="D23" s="78" t="s">
        <v>46</v>
      </c>
      <c r="E23" s="77"/>
      <c r="F23" s="79"/>
      <c r="G23" s="80"/>
      <c r="H23" s="81">
        <f t="shared" si="0"/>
        <v>0</v>
      </c>
      <c r="I23" s="82"/>
      <c r="J23" s="77"/>
      <c r="K23" s="100">
        <v>1</v>
      </c>
      <c r="L23" s="101">
        <v>1</v>
      </c>
      <c r="M23" s="85">
        <f t="shared" si="1"/>
        <v>1</v>
      </c>
      <c r="N23" s="102" t="s">
        <v>486</v>
      </c>
      <c r="O23" s="77"/>
      <c r="P23" s="100">
        <v>1</v>
      </c>
      <c r="Q23" s="101">
        <v>0.9</v>
      </c>
      <c r="R23" s="85">
        <f t="shared" si="2"/>
        <v>0.9</v>
      </c>
      <c r="S23" s="102" t="s">
        <v>501</v>
      </c>
      <c r="T23" s="77"/>
      <c r="U23" s="79"/>
      <c r="V23" s="80"/>
      <c r="W23" s="81">
        <f t="shared" si="3"/>
        <v>0</v>
      </c>
      <c r="X23" s="82"/>
      <c r="Y23" s="77"/>
      <c r="Z23" s="79"/>
      <c r="AA23" s="80"/>
      <c r="AB23" s="81">
        <f t="shared" si="4"/>
        <v>0</v>
      </c>
      <c r="AC23" s="82"/>
      <c r="AD23" s="77"/>
      <c r="AE23" s="79"/>
      <c r="AF23" s="80"/>
      <c r="AG23" s="81">
        <f t="shared" si="5"/>
        <v>0</v>
      </c>
      <c r="AH23" s="82"/>
      <c r="AI23" s="77"/>
      <c r="AJ23" s="79"/>
      <c r="AK23" s="80"/>
      <c r="AL23" s="81">
        <f t="shared" si="6"/>
        <v>0</v>
      </c>
      <c r="AM23" s="82"/>
      <c r="AN23" s="77"/>
      <c r="AO23" s="100">
        <v>1</v>
      </c>
      <c r="AP23" s="101">
        <v>0.5</v>
      </c>
      <c r="AQ23" s="85">
        <f>AO23*AP23</f>
        <v>0.5</v>
      </c>
      <c r="AR23" s="102" t="s">
        <v>431</v>
      </c>
    </row>
    <row r="24" spans="1:44" ht="115.5" customHeight="1" x14ac:dyDescent="0.25">
      <c r="A24" s="77">
        <v>21</v>
      </c>
      <c r="B24" s="78" t="s">
        <v>6</v>
      </c>
      <c r="C24" s="78" t="s">
        <v>7</v>
      </c>
      <c r="D24" s="78" t="s">
        <v>47</v>
      </c>
      <c r="E24" s="77"/>
      <c r="F24" s="79"/>
      <c r="G24" s="80"/>
      <c r="H24" s="81">
        <f t="shared" si="0"/>
        <v>0</v>
      </c>
      <c r="I24" s="82"/>
      <c r="J24" s="77" t="s">
        <v>30</v>
      </c>
      <c r="K24" s="100">
        <v>1</v>
      </c>
      <c r="L24" s="101">
        <v>0.98</v>
      </c>
      <c r="M24" s="85">
        <f t="shared" si="1"/>
        <v>0.98</v>
      </c>
      <c r="N24" s="102" t="s">
        <v>358</v>
      </c>
      <c r="O24" s="77"/>
      <c r="P24" s="100">
        <v>1</v>
      </c>
      <c r="Q24" s="101">
        <v>0.9</v>
      </c>
      <c r="R24" s="85">
        <f t="shared" si="2"/>
        <v>0.9</v>
      </c>
      <c r="S24" s="102" t="s">
        <v>224</v>
      </c>
      <c r="T24" s="77"/>
      <c r="U24" s="79"/>
      <c r="V24" s="80"/>
      <c r="W24" s="81">
        <f t="shared" si="3"/>
        <v>0</v>
      </c>
      <c r="X24" s="82"/>
      <c r="Y24" s="77"/>
      <c r="Z24" s="79"/>
      <c r="AA24" s="80"/>
      <c r="AB24" s="81">
        <f t="shared" si="4"/>
        <v>0</v>
      </c>
      <c r="AC24" s="82"/>
      <c r="AD24" s="77"/>
      <c r="AE24" s="79"/>
      <c r="AF24" s="80"/>
      <c r="AG24" s="81">
        <f t="shared" si="5"/>
        <v>0</v>
      </c>
      <c r="AH24" s="82"/>
      <c r="AI24" s="77"/>
      <c r="AJ24" s="79"/>
      <c r="AK24" s="80"/>
      <c r="AL24" s="81">
        <f t="shared" si="6"/>
        <v>0</v>
      </c>
      <c r="AM24" s="82"/>
      <c r="AN24" s="77"/>
      <c r="AO24" s="100">
        <v>1</v>
      </c>
      <c r="AP24" s="101">
        <v>0.95</v>
      </c>
      <c r="AQ24" s="85">
        <v>0.95</v>
      </c>
      <c r="AR24" s="102" t="s">
        <v>185</v>
      </c>
    </row>
    <row r="25" spans="1:44" s="73" customFormat="1" ht="184.5" customHeight="1" x14ac:dyDescent="0.25">
      <c r="A25" s="77">
        <v>22</v>
      </c>
      <c r="B25" s="78" t="s">
        <v>6</v>
      </c>
      <c r="C25" s="78" t="s">
        <v>8</v>
      </c>
      <c r="D25" s="78" t="s">
        <v>48</v>
      </c>
      <c r="E25" s="77"/>
      <c r="F25" s="79"/>
      <c r="G25" s="80"/>
      <c r="H25" s="81">
        <f t="shared" si="0"/>
        <v>0</v>
      </c>
      <c r="I25" s="82"/>
      <c r="J25" s="77"/>
      <c r="K25" s="100">
        <v>1</v>
      </c>
      <c r="L25" s="101">
        <v>1</v>
      </c>
      <c r="M25" s="85">
        <f t="shared" si="1"/>
        <v>1</v>
      </c>
      <c r="N25" s="102" t="s">
        <v>487</v>
      </c>
      <c r="O25" s="77"/>
      <c r="P25" s="100">
        <v>1</v>
      </c>
      <c r="Q25" s="101">
        <v>1</v>
      </c>
      <c r="R25" s="85">
        <f t="shared" si="2"/>
        <v>1</v>
      </c>
      <c r="S25" s="102" t="s">
        <v>502</v>
      </c>
      <c r="T25" s="77"/>
      <c r="U25" s="79"/>
      <c r="V25" s="80"/>
      <c r="W25" s="81">
        <f t="shared" si="3"/>
        <v>0</v>
      </c>
      <c r="X25" s="82"/>
      <c r="Y25" s="77"/>
      <c r="Z25" s="79"/>
      <c r="AA25" s="80"/>
      <c r="AB25" s="81">
        <f t="shared" si="4"/>
        <v>0</v>
      </c>
      <c r="AC25" s="82"/>
      <c r="AD25" s="77"/>
      <c r="AE25" s="79"/>
      <c r="AF25" s="80"/>
      <c r="AG25" s="81">
        <f t="shared" si="5"/>
        <v>0</v>
      </c>
      <c r="AH25" s="82"/>
      <c r="AI25" s="77"/>
      <c r="AJ25" s="79"/>
      <c r="AK25" s="80"/>
      <c r="AL25" s="81">
        <f t="shared" si="6"/>
        <v>0</v>
      </c>
      <c r="AM25" s="82"/>
      <c r="AN25" s="77"/>
      <c r="AO25" s="100">
        <v>1</v>
      </c>
      <c r="AP25" s="101">
        <v>0.5</v>
      </c>
      <c r="AQ25" s="85">
        <f t="shared" ref="AQ25:AQ27" si="8">AO25*AP25</f>
        <v>0.5</v>
      </c>
      <c r="AR25" s="102" t="s">
        <v>515</v>
      </c>
    </row>
    <row r="26" spans="1:44" ht="94.5" x14ac:dyDescent="0.25">
      <c r="A26" s="77">
        <v>23</v>
      </c>
      <c r="B26" s="78" t="s">
        <v>6</v>
      </c>
      <c r="C26" s="78" t="s">
        <v>8</v>
      </c>
      <c r="D26" s="78" t="s">
        <v>49</v>
      </c>
      <c r="E26" s="77"/>
      <c r="F26" s="79"/>
      <c r="G26" s="80"/>
      <c r="H26" s="81">
        <f t="shared" si="0"/>
        <v>0</v>
      </c>
      <c r="I26" s="82"/>
      <c r="J26" s="77"/>
      <c r="K26" s="100">
        <v>1</v>
      </c>
      <c r="L26" s="101">
        <v>1</v>
      </c>
      <c r="M26" s="85">
        <f t="shared" si="1"/>
        <v>1</v>
      </c>
      <c r="N26" s="102" t="s">
        <v>488</v>
      </c>
      <c r="O26" s="77"/>
      <c r="P26" s="100">
        <v>1</v>
      </c>
      <c r="Q26" s="101">
        <v>1</v>
      </c>
      <c r="R26" s="85">
        <f t="shared" si="2"/>
        <v>1</v>
      </c>
      <c r="S26" s="102" t="s">
        <v>503</v>
      </c>
      <c r="T26" s="77"/>
      <c r="U26" s="79"/>
      <c r="V26" s="80"/>
      <c r="W26" s="81">
        <f t="shared" si="3"/>
        <v>0</v>
      </c>
      <c r="X26" s="82"/>
      <c r="Y26" s="77"/>
      <c r="Z26" s="79"/>
      <c r="AA26" s="80"/>
      <c r="AB26" s="81">
        <f t="shared" si="4"/>
        <v>0</v>
      </c>
      <c r="AC26" s="82"/>
      <c r="AD26" s="77"/>
      <c r="AE26" s="79"/>
      <c r="AF26" s="80"/>
      <c r="AG26" s="81">
        <f t="shared" si="5"/>
        <v>0</v>
      </c>
      <c r="AH26" s="82"/>
      <c r="AI26" s="77"/>
      <c r="AJ26" s="79"/>
      <c r="AK26" s="80"/>
      <c r="AL26" s="81">
        <f t="shared" si="6"/>
        <v>0</v>
      </c>
      <c r="AM26" s="82"/>
      <c r="AN26" s="77"/>
      <c r="AO26" s="100">
        <v>1</v>
      </c>
      <c r="AP26" s="101">
        <v>0.6</v>
      </c>
      <c r="AQ26" s="85">
        <f t="shared" si="8"/>
        <v>0.6</v>
      </c>
      <c r="AR26" s="102" t="s">
        <v>433</v>
      </c>
    </row>
    <row r="27" spans="1:44" ht="180.75" customHeight="1" x14ac:dyDescent="0.25">
      <c r="A27" s="77">
        <v>24</v>
      </c>
      <c r="B27" s="78" t="s">
        <v>6</v>
      </c>
      <c r="C27" s="78" t="s">
        <v>8</v>
      </c>
      <c r="D27" s="78" t="s">
        <v>50</v>
      </c>
      <c r="E27" s="77"/>
      <c r="F27" s="79"/>
      <c r="G27" s="80"/>
      <c r="H27" s="81">
        <f t="shared" si="0"/>
        <v>0</v>
      </c>
      <c r="I27" s="82"/>
      <c r="J27" s="77"/>
      <c r="K27" s="100">
        <v>1</v>
      </c>
      <c r="L27" s="101">
        <v>0.99</v>
      </c>
      <c r="M27" s="85">
        <f t="shared" si="1"/>
        <v>0.99</v>
      </c>
      <c r="N27" s="102" t="s">
        <v>361</v>
      </c>
      <c r="O27" s="77"/>
      <c r="P27" s="100">
        <v>1</v>
      </c>
      <c r="Q27" s="101">
        <v>1</v>
      </c>
      <c r="R27" s="85">
        <f t="shared" si="2"/>
        <v>1</v>
      </c>
      <c r="S27" s="102" t="s">
        <v>461</v>
      </c>
      <c r="T27" s="77"/>
      <c r="U27" s="79"/>
      <c r="V27" s="80"/>
      <c r="W27" s="81">
        <f t="shared" si="3"/>
        <v>0</v>
      </c>
      <c r="X27" s="82"/>
      <c r="Y27" s="77"/>
      <c r="Z27" s="79"/>
      <c r="AA27" s="80"/>
      <c r="AB27" s="81">
        <f t="shared" si="4"/>
        <v>0</v>
      </c>
      <c r="AC27" s="82"/>
      <c r="AD27" s="77"/>
      <c r="AE27" s="79"/>
      <c r="AF27" s="80"/>
      <c r="AG27" s="81">
        <f t="shared" si="5"/>
        <v>0</v>
      </c>
      <c r="AH27" s="82"/>
      <c r="AI27" s="77"/>
      <c r="AJ27" s="79"/>
      <c r="AK27" s="80"/>
      <c r="AL27" s="81">
        <f t="shared" si="6"/>
        <v>0</v>
      </c>
      <c r="AM27" s="82"/>
      <c r="AN27" s="77"/>
      <c r="AO27" s="100">
        <v>1</v>
      </c>
      <c r="AP27" s="101">
        <v>0.7</v>
      </c>
      <c r="AQ27" s="85">
        <f t="shared" si="8"/>
        <v>0.7</v>
      </c>
      <c r="AR27" s="102" t="s">
        <v>188</v>
      </c>
    </row>
    <row r="28" spans="1:44" ht="380.25" customHeight="1" x14ac:dyDescent="0.25">
      <c r="A28" s="77">
        <v>25</v>
      </c>
      <c r="B28" s="78" t="s">
        <v>6</v>
      </c>
      <c r="C28" s="78" t="s">
        <v>8</v>
      </c>
      <c r="D28" s="78" t="s">
        <v>51</v>
      </c>
      <c r="E28" s="77"/>
      <c r="F28" s="79"/>
      <c r="G28" s="80"/>
      <c r="H28" s="81">
        <f t="shared" si="0"/>
        <v>0</v>
      </c>
      <c r="I28" s="82"/>
      <c r="J28" s="77"/>
      <c r="K28" s="100">
        <v>1</v>
      </c>
      <c r="L28" s="101">
        <v>0.9</v>
      </c>
      <c r="M28" s="85">
        <f t="shared" si="1"/>
        <v>0.9</v>
      </c>
      <c r="N28" s="102" t="s">
        <v>489</v>
      </c>
      <c r="O28" s="77"/>
      <c r="P28" s="100">
        <v>1</v>
      </c>
      <c r="Q28" s="101">
        <v>0.7</v>
      </c>
      <c r="R28" s="85">
        <f t="shared" si="2"/>
        <v>0.7</v>
      </c>
      <c r="S28" s="102" t="s">
        <v>504</v>
      </c>
      <c r="T28" s="77"/>
      <c r="U28" s="79"/>
      <c r="V28" s="80"/>
      <c r="W28" s="81">
        <f t="shared" si="3"/>
        <v>0</v>
      </c>
      <c r="X28" s="82"/>
      <c r="Y28" s="77"/>
      <c r="Z28" s="79"/>
      <c r="AA28" s="80"/>
      <c r="AB28" s="81">
        <f t="shared" si="4"/>
        <v>0</v>
      </c>
      <c r="AC28" s="82"/>
      <c r="AD28" s="77"/>
      <c r="AE28" s="79"/>
      <c r="AF28" s="80"/>
      <c r="AG28" s="81">
        <f t="shared" si="5"/>
        <v>0</v>
      </c>
      <c r="AH28" s="82"/>
      <c r="AI28" s="77"/>
      <c r="AJ28" s="79"/>
      <c r="AK28" s="80"/>
      <c r="AL28" s="81">
        <f t="shared" si="6"/>
        <v>0</v>
      </c>
      <c r="AM28" s="82"/>
      <c r="AN28" s="77"/>
      <c r="AO28" s="100">
        <v>1</v>
      </c>
      <c r="AP28" s="101">
        <v>0.6</v>
      </c>
      <c r="AQ28" s="85">
        <f t="shared" si="7"/>
        <v>0.6</v>
      </c>
      <c r="AR28" s="102" t="s">
        <v>516</v>
      </c>
    </row>
    <row r="29" spans="1:44" ht="104.25" customHeight="1" x14ac:dyDescent="0.25">
      <c r="A29" s="77">
        <v>26</v>
      </c>
      <c r="B29" s="78" t="s">
        <v>6</v>
      </c>
      <c r="C29" s="78" t="s">
        <v>8</v>
      </c>
      <c r="D29" s="78" t="s">
        <v>52</v>
      </c>
      <c r="E29" s="77"/>
      <c r="F29" s="79"/>
      <c r="G29" s="80"/>
      <c r="H29" s="81">
        <f t="shared" si="0"/>
        <v>0</v>
      </c>
      <c r="I29" s="82"/>
      <c r="J29" s="77"/>
      <c r="K29" s="100">
        <v>1</v>
      </c>
      <c r="L29" s="101">
        <v>1</v>
      </c>
      <c r="M29" s="85">
        <f t="shared" si="1"/>
        <v>1</v>
      </c>
      <c r="N29" s="102" t="s">
        <v>490</v>
      </c>
      <c r="O29" s="77"/>
      <c r="P29" s="100">
        <v>1</v>
      </c>
      <c r="Q29" s="101">
        <v>0.85</v>
      </c>
      <c r="R29" s="85">
        <f t="shared" si="2"/>
        <v>0.85</v>
      </c>
      <c r="S29" s="102" t="s">
        <v>505</v>
      </c>
      <c r="T29" s="77"/>
      <c r="U29" s="79"/>
      <c r="V29" s="80"/>
      <c r="W29" s="81">
        <f t="shared" si="3"/>
        <v>0</v>
      </c>
      <c r="X29" s="78"/>
      <c r="Y29" s="77"/>
      <c r="Z29" s="79"/>
      <c r="AA29" s="80"/>
      <c r="AB29" s="81">
        <f t="shared" si="4"/>
        <v>0</v>
      </c>
      <c r="AC29" s="78"/>
      <c r="AD29" s="77"/>
      <c r="AE29" s="79"/>
      <c r="AF29" s="80"/>
      <c r="AG29" s="81">
        <f t="shared" si="5"/>
        <v>0</v>
      </c>
      <c r="AH29" s="78"/>
      <c r="AI29" s="77"/>
      <c r="AJ29" s="79"/>
      <c r="AK29" s="80"/>
      <c r="AL29" s="81">
        <f t="shared" si="6"/>
        <v>0</v>
      </c>
      <c r="AM29" s="78"/>
      <c r="AN29" s="77"/>
      <c r="AO29" s="100">
        <v>1</v>
      </c>
      <c r="AP29" s="101">
        <v>0.8</v>
      </c>
      <c r="AQ29" s="85">
        <f t="shared" si="7"/>
        <v>0.8</v>
      </c>
      <c r="AR29" s="102" t="s">
        <v>517</v>
      </c>
    </row>
    <row r="30" spans="1:44" ht="353.25" customHeight="1" x14ac:dyDescent="0.25">
      <c r="A30" s="77">
        <v>27</v>
      </c>
      <c r="B30" s="78" t="s">
        <v>6</v>
      </c>
      <c r="C30" s="78" t="s">
        <v>8</v>
      </c>
      <c r="D30" s="78" t="s">
        <v>53</v>
      </c>
      <c r="E30" s="77"/>
      <c r="F30" s="79"/>
      <c r="G30" s="80"/>
      <c r="H30" s="81">
        <f t="shared" si="0"/>
        <v>0</v>
      </c>
      <c r="I30" s="82"/>
      <c r="J30" s="77"/>
      <c r="K30" s="100">
        <v>1</v>
      </c>
      <c r="L30" s="107">
        <v>1</v>
      </c>
      <c r="M30" s="85">
        <f t="shared" si="1"/>
        <v>1</v>
      </c>
      <c r="N30" s="102"/>
      <c r="O30" s="77"/>
      <c r="P30" s="100">
        <v>1</v>
      </c>
      <c r="Q30" s="101">
        <v>0.6</v>
      </c>
      <c r="R30" s="85">
        <f t="shared" si="2"/>
        <v>0.6</v>
      </c>
      <c r="S30" s="102" t="s">
        <v>464</v>
      </c>
      <c r="T30" s="77"/>
      <c r="U30" s="79"/>
      <c r="V30" s="80"/>
      <c r="W30" s="81">
        <f t="shared" si="3"/>
        <v>0</v>
      </c>
      <c r="X30" s="82"/>
      <c r="Y30" s="77"/>
      <c r="Z30" s="79"/>
      <c r="AA30" s="80"/>
      <c r="AB30" s="81">
        <f t="shared" si="4"/>
        <v>0</v>
      </c>
      <c r="AC30" s="82"/>
      <c r="AD30" s="77"/>
      <c r="AE30" s="79"/>
      <c r="AF30" s="80"/>
      <c r="AG30" s="81">
        <f t="shared" si="5"/>
        <v>0</v>
      </c>
      <c r="AH30" s="82"/>
      <c r="AI30" s="77"/>
      <c r="AJ30" s="79"/>
      <c r="AK30" s="80"/>
      <c r="AL30" s="81">
        <f t="shared" si="6"/>
        <v>0</v>
      </c>
      <c r="AM30" s="82"/>
      <c r="AN30" s="77"/>
      <c r="AO30" s="100">
        <v>1</v>
      </c>
      <c r="AP30" s="101">
        <v>1</v>
      </c>
      <c r="AQ30" s="85">
        <f>AO30*AP30</f>
        <v>1</v>
      </c>
      <c r="AR30" s="102"/>
    </row>
    <row r="31" spans="1:44" ht="78.75" x14ac:dyDescent="0.25">
      <c r="A31" s="77">
        <v>28</v>
      </c>
      <c r="B31" s="78" t="s">
        <v>6</v>
      </c>
      <c r="C31" s="78" t="s">
        <v>8</v>
      </c>
      <c r="D31" s="78" t="s">
        <v>54</v>
      </c>
      <c r="E31" s="77"/>
      <c r="F31" s="79"/>
      <c r="G31" s="80"/>
      <c r="H31" s="81">
        <f t="shared" si="0"/>
        <v>0</v>
      </c>
      <c r="I31" s="82"/>
      <c r="J31" s="77"/>
      <c r="K31" s="100">
        <v>1</v>
      </c>
      <c r="L31" s="101">
        <v>1</v>
      </c>
      <c r="M31" s="85">
        <f t="shared" si="1"/>
        <v>1</v>
      </c>
      <c r="N31" s="102" t="s">
        <v>211</v>
      </c>
      <c r="O31" s="77"/>
      <c r="P31" s="100">
        <v>1</v>
      </c>
      <c r="Q31" s="101">
        <v>1</v>
      </c>
      <c r="R31" s="85">
        <f t="shared" si="2"/>
        <v>1</v>
      </c>
      <c r="S31" s="102" t="s">
        <v>506</v>
      </c>
      <c r="T31" s="77"/>
      <c r="U31" s="79"/>
      <c r="V31" s="80"/>
      <c r="W31" s="81">
        <f t="shared" si="3"/>
        <v>0</v>
      </c>
      <c r="X31" s="82"/>
      <c r="Y31" s="77"/>
      <c r="Z31" s="79"/>
      <c r="AA31" s="80"/>
      <c r="AB31" s="81">
        <f t="shared" si="4"/>
        <v>0</v>
      </c>
      <c r="AC31" s="82"/>
      <c r="AD31" s="77"/>
      <c r="AE31" s="79"/>
      <c r="AF31" s="80"/>
      <c r="AG31" s="81">
        <f t="shared" si="5"/>
        <v>0</v>
      </c>
      <c r="AH31" s="82"/>
      <c r="AI31" s="77"/>
      <c r="AJ31" s="79"/>
      <c r="AK31" s="80"/>
      <c r="AL31" s="81">
        <f t="shared" si="6"/>
        <v>0</v>
      </c>
      <c r="AM31" s="82"/>
      <c r="AN31" s="77"/>
      <c r="AO31" s="100">
        <v>1</v>
      </c>
      <c r="AP31" s="101">
        <v>1</v>
      </c>
      <c r="AQ31" s="85">
        <f t="shared" ref="AQ31" si="9">AO31*AP31</f>
        <v>1</v>
      </c>
      <c r="AR31" s="102" t="s">
        <v>518</v>
      </c>
    </row>
    <row r="32" spans="1:44" ht="142.5" customHeight="1" x14ac:dyDescent="0.25">
      <c r="A32" s="77">
        <v>29</v>
      </c>
      <c r="B32" s="78" t="s">
        <v>6</v>
      </c>
      <c r="C32" s="78" t="s">
        <v>8</v>
      </c>
      <c r="D32" s="78" t="s">
        <v>55</v>
      </c>
      <c r="E32" s="77"/>
      <c r="F32" s="79"/>
      <c r="G32" s="80"/>
      <c r="H32" s="81">
        <f t="shared" si="0"/>
        <v>0</v>
      </c>
      <c r="I32" s="82"/>
      <c r="J32" s="77"/>
      <c r="K32" s="100">
        <v>1</v>
      </c>
      <c r="L32" s="101">
        <v>1</v>
      </c>
      <c r="M32" s="85">
        <f t="shared" si="1"/>
        <v>1</v>
      </c>
      <c r="N32" s="102" t="s">
        <v>491</v>
      </c>
      <c r="O32" s="77"/>
      <c r="P32" s="100">
        <v>1</v>
      </c>
      <c r="Q32" s="101">
        <v>0.8</v>
      </c>
      <c r="R32" s="85">
        <f t="shared" si="2"/>
        <v>0.8</v>
      </c>
      <c r="S32" s="102" t="s">
        <v>507</v>
      </c>
      <c r="T32" s="77"/>
      <c r="U32" s="79"/>
      <c r="V32" s="80"/>
      <c r="W32" s="81">
        <f t="shared" si="3"/>
        <v>0</v>
      </c>
      <c r="X32" s="82"/>
      <c r="Y32" s="77"/>
      <c r="Z32" s="79"/>
      <c r="AA32" s="80"/>
      <c r="AB32" s="81">
        <f t="shared" si="4"/>
        <v>0</v>
      </c>
      <c r="AC32" s="82"/>
      <c r="AD32" s="77"/>
      <c r="AE32" s="79"/>
      <c r="AF32" s="80"/>
      <c r="AG32" s="81">
        <f t="shared" si="5"/>
        <v>0</v>
      </c>
      <c r="AH32" s="82"/>
      <c r="AI32" s="77"/>
      <c r="AJ32" s="79"/>
      <c r="AK32" s="80"/>
      <c r="AL32" s="81">
        <f t="shared" si="6"/>
        <v>0</v>
      </c>
      <c r="AM32" s="82"/>
      <c r="AN32" s="77"/>
      <c r="AO32" s="100">
        <v>1</v>
      </c>
      <c r="AP32" s="101">
        <v>1</v>
      </c>
      <c r="AQ32" s="85">
        <f t="shared" si="7"/>
        <v>1</v>
      </c>
      <c r="AR32" s="102" t="s">
        <v>519</v>
      </c>
    </row>
    <row r="33" spans="1:44" ht="140.25" customHeight="1" x14ac:dyDescent="0.25">
      <c r="A33" s="77">
        <v>30</v>
      </c>
      <c r="B33" s="78" t="s">
        <v>6</v>
      </c>
      <c r="C33" s="78" t="s">
        <v>8</v>
      </c>
      <c r="D33" s="78" t="s">
        <v>56</v>
      </c>
      <c r="E33" s="77"/>
      <c r="F33" s="79"/>
      <c r="G33" s="80"/>
      <c r="H33" s="81">
        <f t="shared" si="0"/>
        <v>0</v>
      </c>
      <c r="I33" s="82"/>
      <c r="J33" s="77"/>
      <c r="K33" s="100">
        <v>1</v>
      </c>
      <c r="L33" s="101">
        <v>1</v>
      </c>
      <c r="M33" s="85">
        <f t="shared" si="1"/>
        <v>1</v>
      </c>
      <c r="N33" s="102" t="s">
        <v>492</v>
      </c>
      <c r="O33" s="77"/>
      <c r="P33" s="100">
        <v>1</v>
      </c>
      <c r="Q33" s="101">
        <v>0.5</v>
      </c>
      <c r="R33" s="85">
        <f t="shared" si="2"/>
        <v>0.5</v>
      </c>
      <c r="S33" s="102" t="s">
        <v>465</v>
      </c>
      <c r="T33" s="77"/>
      <c r="U33" s="79"/>
      <c r="V33" s="80"/>
      <c r="W33" s="81">
        <f t="shared" si="3"/>
        <v>0</v>
      </c>
      <c r="X33" s="82"/>
      <c r="Y33" s="77"/>
      <c r="Z33" s="79"/>
      <c r="AA33" s="80"/>
      <c r="AB33" s="81">
        <f t="shared" si="4"/>
        <v>0</v>
      </c>
      <c r="AC33" s="82"/>
      <c r="AD33" s="77"/>
      <c r="AE33" s="79"/>
      <c r="AF33" s="80"/>
      <c r="AG33" s="81">
        <f t="shared" si="5"/>
        <v>0</v>
      </c>
      <c r="AH33" s="82"/>
      <c r="AI33" s="77"/>
      <c r="AJ33" s="79"/>
      <c r="AK33" s="80"/>
      <c r="AL33" s="81">
        <f t="shared" si="6"/>
        <v>0</v>
      </c>
      <c r="AM33" s="82"/>
      <c r="AN33" s="77"/>
      <c r="AO33" s="100">
        <v>1</v>
      </c>
      <c r="AP33" s="101">
        <v>0.5</v>
      </c>
      <c r="AQ33" s="85">
        <f t="shared" si="7"/>
        <v>0.5</v>
      </c>
      <c r="AR33" s="102" t="s">
        <v>193</v>
      </c>
    </row>
    <row r="34" spans="1:44" ht="239.25" customHeight="1" x14ac:dyDescent="0.25">
      <c r="A34" s="77">
        <v>31</v>
      </c>
      <c r="B34" s="78" t="s">
        <v>6</v>
      </c>
      <c r="C34" s="78" t="s">
        <v>9</v>
      </c>
      <c r="D34" s="102" t="s">
        <v>57</v>
      </c>
      <c r="E34" s="77"/>
      <c r="F34" s="79"/>
      <c r="G34" s="80"/>
      <c r="H34" s="81">
        <f t="shared" si="0"/>
        <v>0</v>
      </c>
      <c r="I34" s="82"/>
      <c r="J34" s="77"/>
      <c r="K34" s="100">
        <v>1</v>
      </c>
      <c r="L34" s="101">
        <v>0.62</v>
      </c>
      <c r="M34" s="85">
        <f t="shared" si="1"/>
        <v>0.62</v>
      </c>
      <c r="N34" s="102" t="s">
        <v>1583</v>
      </c>
      <c r="O34" s="77"/>
      <c r="P34" s="100">
        <v>1</v>
      </c>
      <c r="Q34" s="101">
        <v>0.7</v>
      </c>
      <c r="R34" s="85">
        <f t="shared" si="2"/>
        <v>0.7</v>
      </c>
      <c r="S34" s="102" t="s">
        <v>332</v>
      </c>
      <c r="T34" s="77"/>
      <c r="U34" s="79"/>
      <c r="V34" s="80"/>
      <c r="W34" s="81">
        <f t="shared" si="3"/>
        <v>0</v>
      </c>
      <c r="X34" s="82"/>
      <c r="Y34" s="77"/>
      <c r="Z34" s="79"/>
      <c r="AA34" s="80"/>
      <c r="AB34" s="81">
        <f t="shared" si="4"/>
        <v>0</v>
      </c>
      <c r="AC34" s="82"/>
      <c r="AD34" s="77"/>
      <c r="AE34" s="79"/>
      <c r="AF34" s="80"/>
      <c r="AG34" s="81">
        <f t="shared" si="5"/>
        <v>0</v>
      </c>
      <c r="AH34" s="82"/>
      <c r="AI34" s="77"/>
      <c r="AJ34" s="79"/>
      <c r="AK34" s="80"/>
      <c r="AL34" s="81">
        <f t="shared" si="6"/>
        <v>0</v>
      </c>
      <c r="AM34" s="82"/>
      <c r="AN34" s="77"/>
      <c r="AO34" s="100">
        <v>1</v>
      </c>
      <c r="AP34" s="101">
        <v>0.5</v>
      </c>
      <c r="AQ34" s="85">
        <f t="shared" si="7"/>
        <v>0.5</v>
      </c>
      <c r="AR34" s="102" t="s">
        <v>194</v>
      </c>
    </row>
    <row r="35" spans="1:44" ht="180.75" customHeight="1" x14ac:dyDescent="0.25">
      <c r="A35" s="77">
        <v>32</v>
      </c>
      <c r="B35" s="78" t="s">
        <v>6</v>
      </c>
      <c r="C35" s="78" t="s">
        <v>9</v>
      </c>
      <c r="D35" s="102" t="s">
        <v>58</v>
      </c>
      <c r="E35" s="77"/>
      <c r="F35" s="79"/>
      <c r="G35" s="80"/>
      <c r="H35" s="81">
        <f t="shared" si="0"/>
        <v>0</v>
      </c>
      <c r="I35" s="78"/>
      <c r="J35" s="77"/>
      <c r="K35" s="100">
        <v>1</v>
      </c>
      <c r="L35" s="101">
        <v>0.9</v>
      </c>
      <c r="M35" s="85">
        <f t="shared" si="1"/>
        <v>0.9</v>
      </c>
      <c r="N35" s="102" t="s">
        <v>152</v>
      </c>
      <c r="O35" s="77"/>
      <c r="P35" s="100">
        <v>1</v>
      </c>
      <c r="Q35" s="101">
        <v>0.5</v>
      </c>
      <c r="R35" s="85">
        <f t="shared" si="2"/>
        <v>0.5</v>
      </c>
      <c r="S35" s="102" t="s">
        <v>508</v>
      </c>
      <c r="T35" s="77"/>
      <c r="U35" s="79"/>
      <c r="V35" s="80"/>
      <c r="W35" s="81">
        <f t="shared" si="3"/>
        <v>0</v>
      </c>
      <c r="X35" s="82"/>
      <c r="Y35" s="77"/>
      <c r="Z35" s="79"/>
      <c r="AA35" s="80"/>
      <c r="AB35" s="81">
        <f t="shared" si="4"/>
        <v>0</v>
      </c>
      <c r="AC35" s="82"/>
      <c r="AD35" s="77"/>
      <c r="AE35" s="79"/>
      <c r="AF35" s="80"/>
      <c r="AG35" s="81">
        <f t="shared" si="5"/>
        <v>0</v>
      </c>
      <c r="AH35" s="82"/>
      <c r="AI35" s="77"/>
      <c r="AJ35" s="79"/>
      <c r="AK35" s="80"/>
      <c r="AL35" s="81">
        <f t="shared" si="6"/>
        <v>0</v>
      </c>
      <c r="AM35" s="82"/>
      <c r="AN35" s="77"/>
      <c r="AO35" s="100">
        <v>1</v>
      </c>
      <c r="AP35" s="101">
        <v>0.5</v>
      </c>
      <c r="AQ35" s="85">
        <f t="shared" si="7"/>
        <v>0.5</v>
      </c>
      <c r="AR35" s="102" t="s">
        <v>348</v>
      </c>
    </row>
    <row r="36" spans="1:44" ht="147.75" customHeight="1" x14ac:dyDescent="0.25">
      <c r="A36" s="77">
        <v>33</v>
      </c>
      <c r="B36" s="78" t="s">
        <v>6</v>
      </c>
      <c r="C36" s="78" t="s">
        <v>9</v>
      </c>
      <c r="D36" s="78" t="s">
        <v>59</v>
      </c>
      <c r="E36" s="77"/>
      <c r="F36" s="79"/>
      <c r="G36" s="80"/>
      <c r="H36" s="81">
        <f t="shared" si="0"/>
        <v>0</v>
      </c>
      <c r="I36" s="82"/>
      <c r="J36" s="77"/>
      <c r="K36" s="100">
        <v>1</v>
      </c>
      <c r="L36" s="101">
        <v>1</v>
      </c>
      <c r="M36" s="85">
        <f t="shared" si="1"/>
        <v>1</v>
      </c>
      <c r="N36" s="102"/>
      <c r="O36" s="77"/>
      <c r="P36" s="100">
        <v>1</v>
      </c>
      <c r="Q36" s="101">
        <v>1</v>
      </c>
      <c r="R36" s="85">
        <f t="shared" si="2"/>
        <v>1</v>
      </c>
      <c r="S36" s="102" t="s">
        <v>176</v>
      </c>
      <c r="T36" s="77"/>
      <c r="U36" s="79"/>
      <c r="V36" s="80"/>
      <c r="W36" s="81">
        <f t="shared" si="3"/>
        <v>0</v>
      </c>
      <c r="X36" s="82"/>
      <c r="Y36" s="77"/>
      <c r="Z36" s="79"/>
      <c r="AA36" s="80"/>
      <c r="AB36" s="81">
        <f t="shared" si="4"/>
        <v>0</v>
      </c>
      <c r="AC36" s="82"/>
      <c r="AD36" s="77"/>
      <c r="AE36" s="79"/>
      <c r="AF36" s="80"/>
      <c r="AG36" s="81">
        <f t="shared" si="5"/>
        <v>0</v>
      </c>
      <c r="AH36" s="82"/>
      <c r="AI36" s="77"/>
      <c r="AJ36" s="79"/>
      <c r="AK36" s="80"/>
      <c r="AL36" s="81">
        <f t="shared" si="6"/>
        <v>0</v>
      </c>
      <c r="AM36" s="82"/>
      <c r="AN36" s="77"/>
      <c r="AO36" s="100">
        <v>1</v>
      </c>
      <c r="AP36" s="101">
        <v>0.8</v>
      </c>
      <c r="AQ36" s="85">
        <f t="shared" si="7"/>
        <v>0.8</v>
      </c>
      <c r="AR36" s="102" t="s">
        <v>196</v>
      </c>
    </row>
    <row r="37" spans="1:44" ht="110.25" x14ac:dyDescent="0.25">
      <c r="A37" s="77">
        <v>34</v>
      </c>
      <c r="B37" s="78" t="s">
        <v>6</v>
      </c>
      <c r="C37" s="78" t="s">
        <v>9</v>
      </c>
      <c r="D37" s="78" t="s">
        <v>60</v>
      </c>
      <c r="E37" s="77"/>
      <c r="F37" s="79"/>
      <c r="G37" s="80"/>
      <c r="H37" s="81">
        <f t="shared" si="0"/>
        <v>0</v>
      </c>
      <c r="I37" s="82"/>
      <c r="J37" s="77"/>
      <c r="K37" s="100">
        <v>1</v>
      </c>
      <c r="L37" s="101">
        <v>0.98</v>
      </c>
      <c r="M37" s="85">
        <f t="shared" si="1"/>
        <v>0.98</v>
      </c>
      <c r="N37" s="102" t="s">
        <v>493</v>
      </c>
      <c r="O37" s="77"/>
      <c r="P37" s="100">
        <v>1</v>
      </c>
      <c r="Q37" s="101">
        <v>1</v>
      </c>
      <c r="R37" s="85">
        <f t="shared" si="2"/>
        <v>1</v>
      </c>
      <c r="S37" s="102" t="s">
        <v>176</v>
      </c>
      <c r="T37" s="77"/>
      <c r="U37" s="79"/>
      <c r="V37" s="80"/>
      <c r="W37" s="81">
        <f t="shared" si="3"/>
        <v>0</v>
      </c>
      <c r="X37" s="82"/>
      <c r="Y37" s="77"/>
      <c r="Z37" s="79"/>
      <c r="AA37" s="80"/>
      <c r="AB37" s="81">
        <f t="shared" si="4"/>
        <v>0</v>
      </c>
      <c r="AC37" s="82"/>
      <c r="AD37" s="77"/>
      <c r="AE37" s="79"/>
      <c r="AF37" s="80"/>
      <c r="AG37" s="81">
        <f t="shared" si="5"/>
        <v>0</v>
      </c>
      <c r="AH37" s="82"/>
      <c r="AI37" s="77"/>
      <c r="AJ37" s="79"/>
      <c r="AK37" s="80"/>
      <c r="AL37" s="81">
        <f t="shared" si="6"/>
        <v>0</v>
      </c>
      <c r="AM37" s="82"/>
      <c r="AN37" s="77"/>
      <c r="AO37" s="100">
        <v>0</v>
      </c>
      <c r="AP37" s="101"/>
      <c r="AQ37" s="85">
        <f t="shared" si="7"/>
        <v>0</v>
      </c>
      <c r="AR37" s="102" t="s">
        <v>297</v>
      </c>
    </row>
    <row r="38" spans="1:44" ht="311.25" customHeight="1" x14ac:dyDescent="0.25">
      <c r="A38" s="77">
        <v>35</v>
      </c>
      <c r="B38" s="78" t="s">
        <v>6</v>
      </c>
      <c r="C38" s="78" t="s">
        <v>9</v>
      </c>
      <c r="D38" s="78" t="s">
        <v>61</v>
      </c>
      <c r="E38" s="77"/>
      <c r="F38" s="79"/>
      <c r="G38" s="80"/>
      <c r="H38" s="81">
        <f t="shared" si="0"/>
        <v>0</v>
      </c>
      <c r="I38" s="82"/>
      <c r="J38" s="77"/>
      <c r="K38" s="100">
        <v>1</v>
      </c>
      <c r="L38" s="101">
        <v>0.9</v>
      </c>
      <c r="M38" s="85">
        <f t="shared" si="1"/>
        <v>0.9</v>
      </c>
      <c r="N38" s="102" t="s">
        <v>452</v>
      </c>
      <c r="O38" s="77"/>
      <c r="P38" s="100">
        <v>1</v>
      </c>
      <c r="Q38" s="101">
        <v>0.98</v>
      </c>
      <c r="R38" s="85">
        <f t="shared" si="2"/>
        <v>0.98</v>
      </c>
      <c r="S38" s="102" t="s">
        <v>234</v>
      </c>
      <c r="T38" s="77"/>
      <c r="U38" s="79"/>
      <c r="V38" s="80"/>
      <c r="W38" s="81">
        <f t="shared" si="3"/>
        <v>0</v>
      </c>
      <c r="X38" s="82"/>
      <c r="Y38" s="77"/>
      <c r="Z38" s="79"/>
      <c r="AA38" s="80"/>
      <c r="AB38" s="81">
        <f t="shared" si="4"/>
        <v>0</v>
      </c>
      <c r="AC38" s="82"/>
      <c r="AD38" s="77"/>
      <c r="AE38" s="79"/>
      <c r="AF38" s="80"/>
      <c r="AG38" s="81">
        <f t="shared" si="5"/>
        <v>0</v>
      </c>
      <c r="AH38" s="82"/>
      <c r="AI38" s="77"/>
      <c r="AJ38" s="79"/>
      <c r="AK38" s="80"/>
      <c r="AL38" s="81">
        <f t="shared" si="6"/>
        <v>0</v>
      </c>
      <c r="AM38" s="82"/>
      <c r="AN38" s="77"/>
      <c r="AO38" s="100">
        <v>1</v>
      </c>
      <c r="AP38" s="101">
        <v>0.6</v>
      </c>
      <c r="AQ38" s="85">
        <f t="shared" si="7"/>
        <v>0.6</v>
      </c>
      <c r="AR38" s="102" t="s">
        <v>520</v>
      </c>
    </row>
    <row r="39" spans="1:44" ht="311.25" customHeight="1" x14ac:dyDescent="0.25">
      <c r="A39" s="77">
        <v>36</v>
      </c>
      <c r="B39" s="78" t="s">
        <v>6</v>
      </c>
      <c r="C39" s="78" t="s">
        <v>9</v>
      </c>
      <c r="D39" s="78" t="s">
        <v>62</v>
      </c>
      <c r="E39" s="77"/>
      <c r="F39" s="79"/>
      <c r="G39" s="80"/>
      <c r="H39" s="81">
        <f t="shared" si="0"/>
        <v>0</v>
      </c>
      <c r="I39" s="82"/>
      <c r="J39" s="77"/>
      <c r="K39" s="100">
        <v>1</v>
      </c>
      <c r="L39" s="101">
        <v>0.9</v>
      </c>
      <c r="M39" s="85">
        <f t="shared" si="1"/>
        <v>0.9</v>
      </c>
      <c r="N39" s="102" t="s">
        <v>216</v>
      </c>
      <c r="O39" s="77"/>
      <c r="P39" s="100">
        <v>1</v>
      </c>
      <c r="Q39" s="101">
        <v>0.96</v>
      </c>
      <c r="R39" s="85">
        <f t="shared" si="2"/>
        <v>0.96</v>
      </c>
      <c r="S39" s="102" t="s">
        <v>177</v>
      </c>
      <c r="T39" s="77"/>
      <c r="U39" s="79"/>
      <c r="V39" s="80"/>
      <c r="W39" s="81">
        <f t="shared" si="3"/>
        <v>0</v>
      </c>
      <c r="X39" s="82"/>
      <c r="Y39" s="77"/>
      <c r="Z39" s="79"/>
      <c r="AA39" s="80"/>
      <c r="AB39" s="81">
        <f t="shared" si="4"/>
        <v>0</v>
      </c>
      <c r="AC39" s="82"/>
      <c r="AD39" s="77"/>
      <c r="AE39" s="79"/>
      <c r="AF39" s="80"/>
      <c r="AG39" s="81">
        <f t="shared" si="5"/>
        <v>0</v>
      </c>
      <c r="AH39" s="82"/>
      <c r="AI39" s="77"/>
      <c r="AJ39" s="79"/>
      <c r="AK39" s="80"/>
      <c r="AL39" s="81">
        <f t="shared" si="6"/>
        <v>0</v>
      </c>
      <c r="AM39" s="82"/>
      <c r="AN39" s="77"/>
      <c r="AO39" s="100">
        <v>1</v>
      </c>
      <c r="AP39" s="101">
        <v>0.65</v>
      </c>
      <c r="AQ39" s="85">
        <f t="shared" si="7"/>
        <v>0.65</v>
      </c>
      <c r="AR39" s="102" t="s">
        <v>198</v>
      </c>
    </row>
    <row r="40" spans="1:44" ht="111" customHeight="1" x14ac:dyDescent="0.25">
      <c r="A40" s="77">
        <v>37</v>
      </c>
      <c r="B40" s="78" t="s">
        <v>6</v>
      </c>
      <c r="C40" s="78" t="s">
        <v>9</v>
      </c>
      <c r="D40" s="78" t="s">
        <v>63</v>
      </c>
      <c r="E40" s="77"/>
      <c r="F40" s="79"/>
      <c r="G40" s="80"/>
      <c r="H40" s="81">
        <f t="shared" si="0"/>
        <v>0</v>
      </c>
      <c r="I40" s="82"/>
      <c r="J40" s="77"/>
      <c r="K40" s="100">
        <v>1</v>
      </c>
      <c r="L40" s="101">
        <v>0.65</v>
      </c>
      <c r="M40" s="85">
        <f t="shared" si="1"/>
        <v>0.65</v>
      </c>
      <c r="N40" s="102" t="s">
        <v>494</v>
      </c>
      <c r="O40" s="77"/>
      <c r="P40" s="100">
        <v>1</v>
      </c>
      <c r="Q40" s="101">
        <v>1</v>
      </c>
      <c r="R40" s="85">
        <f t="shared" si="2"/>
        <v>1</v>
      </c>
      <c r="S40" s="102" t="s">
        <v>285</v>
      </c>
      <c r="T40" s="77"/>
      <c r="U40" s="79"/>
      <c r="V40" s="80"/>
      <c r="W40" s="81">
        <f t="shared" si="3"/>
        <v>0</v>
      </c>
      <c r="X40" s="82"/>
      <c r="Y40" s="77"/>
      <c r="Z40" s="79"/>
      <c r="AA40" s="80"/>
      <c r="AB40" s="81">
        <f t="shared" si="4"/>
        <v>0</v>
      </c>
      <c r="AC40" s="82"/>
      <c r="AD40" s="77"/>
      <c r="AE40" s="79"/>
      <c r="AF40" s="80"/>
      <c r="AG40" s="81">
        <f t="shared" si="5"/>
        <v>0</v>
      </c>
      <c r="AH40" s="82"/>
      <c r="AI40" s="77"/>
      <c r="AJ40" s="79"/>
      <c r="AK40" s="80"/>
      <c r="AL40" s="81">
        <f t="shared" si="6"/>
        <v>0</v>
      </c>
      <c r="AM40" s="82"/>
      <c r="AN40" s="77"/>
      <c r="AO40" s="100">
        <v>1</v>
      </c>
      <c r="AP40" s="101">
        <v>0.6</v>
      </c>
      <c r="AQ40" s="85">
        <f t="shared" si="7"/>
        <v>0.6</v>
      </c>
      <c r="AR40" s="102" t="s">
        <v>199</v>
      </c>
    </row>
    <row r="41" spans="1:44" ht="119.25" customHeight="1" x14ac:dyDescent="0.25">
      <c r="A41" s="77">
        <v>38</v>
      </c>
      <c r="B41" s="78" t="s">
        <v>10</v>
      </c>
      <c r="C41" s="78" t="s">
        <v>11</v>
      </c>
      <c r="D41" s="78" t="s">
        <v>65</v>
      </c>
      <c r="E41" s="77"/>
      <c r="F41" s="79"/>
      <c r="G41" s="80"/>
      <c r="H41" s="81">
        <f t="shared" si="0"/>
        <v>0</v>
      </c>
      <c r="I41" s="82"/>
      <c r="J41" s="77"/>
      <c r="K41" s="100">
        <v>1</v>
      </c>
      <c r="L41" s="101">
        <v>0.95</v>
      </c>
      <c r="M41" s="85">
        <f t="shared" si="1"/>
        <v>0.95</v>
      </c>
      <c r="N41" s="142" t="s">
        <v>1384</v>
      </c>
      <c r="O41" s="77"/>
      <c r="P41" s="100">
        <v>1</v>
      </c>
      <c r="Q41" s="101">
        <v>0.75</v>
      </c>
      <c r="R41" s="85">
        <f t="shared" si="2"/>
        <v>0.75</v>
      </c>
      <c r="S41" s="102" t="s">
        <v>1379</v>
      </c>
      <c r="T41" s="77"/>
      <c r="U41" s="79"/>
      <c r="V41" s="80"/>
      <c r="W41" s="81">
        <f t="shared" si="3"/>
        <v>0</v>
      </c>
      <c r="X41" s="82"/>
      <c r="Y41" s="77"/>
      <c r="Z41" s="79"/>
      <c r="AA41" s="80"/>
      <c r="AB41" s="81">
        <f t="shared" si="4"/>
        <v>0</v>
      </c>
      <c r="AC41" s="82"/>
      <c r="AD41" s="77"/>
      <c r="AE41" s="79"/>
      <c r="AF41" s="80"/>
      <c r="AG41" s="81">
        <f t="shared" si="5"/>
        <v>0</v>
      </c>
      <c r="AH41" s="82"/>
      <c r="AI41" s="77"/>
      <c r="AJ41" s="79"/>
      <c r="AK41" s="80"/>
      <c r="AL41" s="81">
        <f t="shared" si="6"/>
        <v>0</v>
      </c>
      <c r="AM41" s="82"/>
      <c r="AN41" s="77"/>
      <c r="AO41" s="100">
        <v>1</v>
      </c>
      <c r="AP41" s="101">
        <v>0.85</v>
      </c>
      <c r="AQ41" s="85">
        <f t="shared" si="7"/>
        <v>0.85</v>
      </c>
      <c r="AR41" s="102" t="s">
        <v>1385</v>
      </c>
    </row>
    <row r="42" spans="1:44" ht="105.75" customHeight="1" x14ac:dyDescent="0.25">
      <c r="A42" s="77">
        <v>39</v>
      </c>
      <c r="B42" s="78" t="s">
        <v>10</v>
      </c>
      <c r="C42" s="78" t="s">
        <v>11</v>
      </c>
      <c r="D42" s="78" t="s">
        <v>66</v>
      </c>
      <c r="E42" s="77"/>
      <c r="F42" s="79"/>
      <c r="G42" s="80"/>
      <c r="H42" s="81">
        <f t="shared" si="0"/>
        <v>0</v>
      </c>
      <c r="I42" s="82"/>
      <c r="J42" s="77"/>
      <c r="K42" s="100">
        <v>1</v>
      </c>
      <c r="L42" s="101">
        <v>1</v>
      </c>
      <c r="M42" s="85">
        <f t="shared" si="1"/>
        <v>1</v>
      </c>
      <c r="N42" s="102" t="s">
        <v>1058</v>
      </c>
      <c r="O42" s="77"/>
      <c r="P42" s="100">
        <v>1</v>
      </c>
      <c r="Q42" s="101">
        <v>1</v>
      </c>
      <c r="R42" s="85">
        <f t="shared" si="2"/>
        <v>1</v>
      </c>
      <c r="S42" s="102" t="s">
        <v>1064</v>
      </c>
      <c r="T42" s="77"/>
      <c r="U42" s="79"/>
      <c r="V42" s="80"/>
      <c r="W42" s="81">
        <f t="shared" si="3"/>
        <v>0</v>
      </c>
      <c r="X42" s="82"/>
      <c r="Y42" s="77"/>
      <c r="Z42" s="79"/>
      <c r="AA42" s="80"/>
      <c r="AB42" s="81">
        <f t="shared" si="4"/>
        <v>0</v>
      </c>
      <c r="AC42" s="82"/>
      <c r="AD42" s="77"/>
      <c r="AE42" s="79"/>
      <c r="AF42" s="80"/>
      <c r="AG42" s="81">
        <f t="shared" si="5"/>
        <v>0</v>
      </c>
      <c r="AH42" s="82"/>
      <c r="AI42" s="77"/>
      <c r="AJ42" s="79"/>
      <c r="AK42" s="80"/>
      <c r="AL42" s="81">
        <f t="shared" si="6"/>
        <v>0</v>
      </c>
      <c r="AM42" s="82"/>
      <c r="AN42" s="77"/>
      <c r="AO42" s="100">
        <v>1</v>
      </c>
      <c r="AP42" s="101">
        <v>1</v>
      </c>
      <c r="AQ42" s="85">
        <f t="shared" si="7"/>
        <v>1</v>
      </c>
      <c r="AR42" s="102" t="s">
        <v>1066</v>
      </c>
    </row>
    <row r="43" spans="1:44" ht="123" customHeight="1" x14ac:dyDescent="0.25">
      <c r="A43" s="77">
        <v>40</v>
      </c>
      <c r="B43" s="78" t="s">
        <v>10</v>
      </c>
      <c r="C43" s="78" t="s">
        <v>11</v>
      </c>
      <c r="D43" s="78" t="s">
        <v>67</v>
      </c>
      <c r="E43" s="77"/>
      <c r="F43" s="79"/>
      <c r="G43" s="80"/>
      <c r="H43" s="81">
        <f t="shared" si="0"/>
        <v>0</v>
      </c>
      <c r="I43" s="82"/>
      <c r="J43" s="77"/>
      <c r="K43" s="100">
        <v>1</v>
      </c>
      <c r="L43" s="101">
        <v>0.85</v>
      </c>
      <c r="M43" s="85">
        <f t="shared" si="1"/>
        <v>0.85</v>
      </c>
      <c r="N43" s="102" t="s">
        <v>1303</v>
      </c>
      <c r="O43" s="77"/>
      <c r="P43" s="100">
        <v>1</v>
      </c>
      <c r="Q43" s="101">
        <v>0.9</v>
      </c>
      <c r="R43" s="85">
        <f t="shared" si="2"/>
        <v>0.9</v>
      </c>
      <c r="S43" s="102" t="s">
        <v>1380</v>
      </c>
      <c r="T43" s="77"/>
      <c r="U43" s="79"/>
      <c r="V43" s="80"/>
      <c r="W43" s="81">
        <f t="shared" si="3"/>
        <v>0</v>
      </c>
      <c r="X43" s="82"/>
      <c r="Y43" s="77"/>
      <c r="Z43" s="79"/>
      <c r="AA43" s="80"/>
      <c r="AB43" s="81">
        <f t="shared" si="4"/>
        <v>0</v>
      </c>
      <c r="AC43" s="82"/>
      <c r="AD43" s="77"/>
      <c r="AE43" s="79"/>
      <c r="AF43" s="80"/>
      <c r="AG43" s="81">
        <f t="shared" si="5"/>
        <v>0</v>
      </c>
      <c r="AH43" s="82"/>
      <c r="AI43" s="77"/>
      <c r="AJ43" s="79"/>
      <c r="AK43" s="80"/>
      <c r="AL43" s="81">
        <f t="shared" si="6"/>
        <v>0</v>
      </c>
      <c r="AM43" s="82"/>
      <c r="AN43" s="77"/>
      <c r="AO43" s="100">
        <v>1</v>
      </c>
      <c r="AP43" s="101">
        <v>0.5</v>
      </c>
      <c r="AQ43" s="85">
        <f t="shared" si="7"/>
        <v>0.5</v>
      </c>
      <c r="AR43" s="102" t="s">
        <v>1381</v>
      </c>
    </row>
    <row r="44" spans="1:44" ht="133.5" customHeight="1" x14ac:dyDescent="0.25">
      <c r="A44" s="77">
        <v>41</v>
      </c>
      <c r="B44" s="78" t="s">
        <v>10</v>
      </c>
      <c r="C44" s="78" t="s">
        <v>11</v>
      </c>
      <c r="D44" s="78" t="s">
        <v>68</v>
      </c>
      <c r="E44" s="77"/>
      <c r="F44" s="79"/>
      <c r="G44" s="80"/>
      <c r="H44" s="81">
        <f t="shared" si="0"/>
        <v>0</v>
      </c>
      <c r="I44" s="82"/>
      <c r="J44" s="77"/>
      <c r="K44" s="100">
        <v>1</v>
      </c>
      <c r="L44" s="101">
        <v>1</v>
      </c>
      <c r="M44" s="85">
        <f t="shared" si="1"/>
        <v>1</v>
      </c>
      <c r="N44" s="102" t="s">
        <v>1059</v>
      </c>
      <c r="O44" s="77"/>
      <c r="P44" s="100">
        <v>1</v>
      </c>
      <c r="Q44" s="101">
        <v>0.87</v>
      </c>
      <c r="R44" s="85">
        <f t="shared" si="2"/>
        <v>0.87</v>
      </c>
      <c r="S44" s="102" t="s">
        <v>1346</v>
      </c>
      <c r="T44" s="77"/>
      <c r="U44" s="79"/>
      <c r="V44" s="80"/>
      <c r="W44" s="81">
        <f t="shared" si="3"/>
        <v>0</v>
      </c>
      <c r="X44" s="82"/>
      <c r="Y44" s="77"/>
      <c r="Z44" s="79"/>
      <c r="AA44" s="80"/>
      <c r="AB44" s="81">
        <f t="shared" si="4"/>
        <v>0</v>
      </c>
      <c r="AC44" s="82"/>
      <c r="AD44" s="77"/>
      <c r="AE44" s="79"/>
      <c r="AF44" s="80"/>
      <c r="AG44" s="81">
        <f t="shared" si="5"/>
        <v>0</v>
      </c>
      <c r="AH44" s="82"/>
      <c r="AI44" s="77"/>
      <c r="AJ44" s="79"/>
      <c r="AK44" s="80"/>
      <c r="AL44" s="81">
        <f t="shared" si="6"/>
        <v>0</v>
      </c>
      <c r="AM44" s="82"/>
      <c r="AN44" s="77"/>
      <c r="AO44" s="100">
        <v>1</v>
      </c>
      <c r="AP44" s="101">
        <v>0.87</v>
      </c>
      <c r="AQ44" s="85">
        <f t="shared" si="7"/>
        <v>0.87</v>
      </c>
      <c r="AR44" s="102" t="s">
        <v>1382</v>
      </c>
    </row>
    <row r="45" spans="1:44" ht="84" customHeight="1" x14ac:dyDescent="0.25">
      <c r="A45" s="77">
        <v>42</v>
      </c>
      <c r="B45" s="78" t="s">
        <v>10</v>
      </c>
      <c r="C45" s="78" t="s">
        <v>11</v>
      </c>
      <c r="D45" s="78" t="s">
        <v>69</v>
      </c>
      <c r="E45" s="77"/>
      <c r="F45" s="79"/>
      <c r="G45" s="80"/>
      <c r="H45" s="81">
        <f t="shared" si="0"/>
        <v>0</v>
      </c>
      <c r="I45" s="82"/>
      <c r="J45" s="77"/>
      <c r="K45" s="100">
        <v>1</v>
      </c>
      <c r="L45" s="101">
        <v>1</v>
      </c>
      <c r="M45" s="85">
        <f t="shared" si="1"/>
        <v>1</v>
      </c>
      <c r="N45" s="102" t="s">
        <v>1063</v>
      </c>
      <c r="O45" s="77"/>
      <c r="P45" s="100">
        <v>1</v>
      </c>
      <c r="Q45" s="101">
        <v>0.7</v>
      </c>
      <c r="R45" s="85">
        <f t="shared" si="2"/>
        <v>0.7</v>
      </c>
      <c r="S45" s="102" t="s">
        <v>1276</v>
      </c>
      <c r="T45" s="77"/>
      <c r="U45" s="79"/>
      <c r="V45" s="80"/>
      <c r="W45" s="81">
        <f t="shared" si="3"/>
        <v>0</v>
      </c>
      <c r="X45" s="82"/>
      <c r="Y45" s="77"/>
      <c r="Z45" s="79"/>
      <c r="AA45" s="80"/>
      <c r="AB45" s="81">
        <f t="shared" si="4"/>
        <v>0</v>
      </c>
      <c r="AC45" s="82"/>
      <c r="AD45" s="77"/>
      <c r="AE45" s="79"/>
      <c r="AF45" s="80"/>
      <c r="AG45" s="81">
        <f t="shared" si="5"/>
        <v>0</v>
      </c>
      <c r="AH45" s="82"/>
      <c r="AI45" s="77"/>
      <c r="AJ45" s="79"/>
      <c r="AK45" s="80"/>
      <c r="AL45" s="81">
        <f t="shared" si="6"/>
        <v>0</v>
      </c>
      <c r="AM45" s="82"/>
      <c r="AN45" s="77"/>
      <c r="AO45" s="100">
        <v>1</v>
      </c>
      <c r="AP45" s="101">
        <v>0.95</v>
      </c>
      <c r="AQ45" s="85">
        <f t="shared" si="7"/>
        <v>0.95</v>
      </c>
      <c r="AR45" s="102" t="s">
        <v>1277</v>
      </c>
    </row>
    <row r="46" spans="1:44" ht="110.25" customHeight="1" x14ac:dyDescent="0.25">
      <c r="A46" s="77">
        <v>43</v>
      </c>
      <c r="B46" s="78" t="s">
        <v>10</v>
      </c>
      <c r="C46" s="78" t="s">
        <v>11</v>
      </c>
      <c r="D46" s="78" t="s">
        <v>70</v>
      </c>
      <c r="E46" s="77"/>
      <c r="F46" s="79"/>
      <c r="G46" s="80"/>
      <c r="H46" s="81">
        <f t="shared" si="0"/>
        <v>0</v>
      </c>
      <c r="I46" s="82"/>
      <c r="J46" s="77"/>
      <c r="K46" s="100">
        <v>1</v>
      </c>
      <c r="L46" s="101">
        <v>0.95</v>
      </c>
      <c r="M46" s="85">
        <f t="shared" si="1"/>
        <v>0.95</v>
      </c>
      <c r="N46" s="102" t="s">
        <v>1383</v>
      </c>
      <c r="O46" s="77"/>
      <c r="P46" s="100">
        <v>1</v>
      </c>
      <c r="Q46" s="101">
        <v>0.77</v>
      </c>
      <c r="R46" s="85">
        <f t="shared" si="2"/>
        <v>0.77</v>
      </c>
      <c r="S46" s="142" t="s">
        <v>1386</v>
      </c>
      <c r="T46" s="77"/>
      <c r="U46" s="79"/>
      <c r="V46" s="80"/>
      <c r="W46" s="81">
        <f t="shared" si="3"/>
        <v>0</v>
      </c>
      <c r="X46" s="82"/>
      <c r="Y46" s="77"/>
      <c r="Z46" s="79"/>
      <c r="AA46" s="80"/>
      <c r="AB46" s="81">
        <f t="shared" si="4"/>
        <v>0</v>
      </c>
      <c r="AC46" s="82"/>
      <c r="AD46" s="77"/>
      <c r="AE46" s="79"/>
      <c r="AF46" s="80"/>
      <c r="AG46" s="81">
        <f t="shared" si="5"/>
        <v>0</v>
      </c>
      <c r="AH46" s="82"/>
      <c r="AI46" s="77"/>
      <c r="AJ46" s="79"/>
      <c r="AK46" s="80"/>
      <c r="AL46" s="81">
        <f t="shared" si="6"/>
        <v>0</v>
      </c>
      <c r="AM46" s="82"/>
      <c r="AN46" s="77"/>
      <c r="AO46" s="100">
        <v>1</v>
      </c>
      <c r="AP46" s="101">
        <v>0.87</v>
      </c>
      <c r="AQ46" s="85">
        <f t="shared" si="7"/>
        <v>0.87</v>
      </c>
      <c r="AR46" s="142" t="s">
        <v>1387</v>
      </c>
    </row>
    <row r="47" spans="1:44" ht="79.5" customHeight="1" x14ac:dyDescent="0.25">
      <c r="A47" s="77">
        <v>44</v>
      </c>
      <c r="B47" s="78" t="s">
        <v>10</v>
      </c>
      <c r="C47" s="78" t="s">
        <v>11</v>
      </c>
      <c r="D47" s="78" t="s">
        <v>12</v>
      </c>
      <c r="E47" s="77"/>
      <c r="F47" s="79"/>
      <c r="G47" s="80"/>
      <c r="H47" s="81">
        <f t="shared" si="0"/>
        <v>0</v>
      </c>
      <c r="I47" s="82"/>
      <c r="J47" s="77"/>
      <c r="K47" s="100">
        <v>1</v>
      </c>
      <c r="L47" s="101">
        <v>1</v>
      </c>
      <c r="M47" s="85">
        <f t="shared" si="1"/>
        <v>1</v>
      </c>
      <c r="N47" s="102" t="s">
        <v>1062</v>
      </c>
      <c r="O47" s="77"/>
      <c r="P47" s="100">
        <v>1</v>
      </c>
      <c r="Q47" s="101">
        <v>1</v>
      </c>
      <c r="R47" s="85">
        <f t="shared" si="2"/>
        <v>1</v>
      </c>
      <c r="S47" s="122" t="s">
        <v>1065</v>
      </c>
      <c r="T47" s="77"/>
      <c r="U47" s="79"/>
      <c r="V47" s="80"/>
      <c r="W47" s="81">
        <f t="shared" si="3"/>
        <v>0</v>
      </c>
      <c r="X47" s="82"/>
      <c r="Y47" s="77"/>
      <c r="Z47" s="79"/>
      <c r="AA47" s="80"/>
      <c r="AB47" s="81">
        <f t="shared" si="4"/>
        <v>0</v>
      </c>
      <c r="AC47" s="82"/>
      <c r="AD47" s="77"/>
      <c r="AE47" s="79"/>
      <c r="AF47" s="80"/>
      <c r="AG47" s="81">
        <f t="shared" si="5"/>
        <v>0</v>
      </c>
      <c r="AH47" s="82"/>
      <c r="AI47" s="77"/>
      <c r="AJ47" s="79"/>
      <c r="AK47" s="80"/>
      <c r="AL47" s="81">
        <f t="shared" si="6"/>
        <v>0</v>
      </c>
      <c r="AM47" s="82"/>
      <c r="AN47" s="77"/>
      <c r="AO47" s="100">
        <v>1</v>
      </c>
      <c r="AP47" s="101">
        <v>1</v>
      </c>
      <c r="AQ47" s="85">
        <f t="shared" si="7"/>
        <v>1</v>
      </c>
      <c r="AR47" s="102" t="s">
        <v>1058</v>
      </c>
    </row>
    <row r="48" spans="1:44" ht="95.25" customHeight="1" x14ac:dyDescent="0.25">
      <c r="A48" s="77">
        <v>45</v>
      </c>
      <c r="B48" s="78" t="s">
        <v>10</v>
      </c>
      <c r="C48" s="78" t="s">
        <v>71</v>
      </c>
      <c r="D48" s="78" t="s">
        <v>72</v>
      </c>
      <c r="E48" s="77"/>
      <c r="F48" s="79"/>
      <c r="G48" s="80"/>
      <c r="H48" s="81">
        <f t="shared" si="0"/>
        <v>0</v>
      </c>
      <c r="I48" s="82"/>
      <c r="J48" s="77"/>
      <c r="K48" s="100">
        <v>1</v>
      </c>
      <c r="L48" s="101">
        <v>0.95</v>
      </c>
      <c r="M48" s="85">
        <f t="shared" si="1"/>
        <v>0.95</v>
      </c>
      <c r="N48" s="102" t="s">
        <v>1280</v>
      </c>
      <c r="O48" s="77"/>
      <c r="P48" s="100">
        <v>1</v>
      </c>
      <c r="Q48" s="101">
        <v>0.85</v>
      </c>
      <c r="R48" s="85">
        <f t="shared" si="2"/>
        <v>0.85</v>
      </c>
      <c r="S48" s="102" t="s">
        <v>1281</v>
      </c>
      <c r="T48" s="77"/>
      <c r="U48" s="79"/>
      <c r="V48" s="80"/>
      <c r="W48" s="81">
        <f t="shared" si="3"/>
        <v>0</v>
      </c>
      <c r="X48" s="82"/>
      <c r="Y48" s="77"/>
      <c r="Z48" s="79"/>
      <c r="AA48" s="80"/>
      <c r="AB48" s="81">
        <f t="shared" si="4"/>
        <v>0</v>
      </c>
      <c r="AC48" s="82"/>
      <c r="AD48" s="77"/>
      <c r="AE48" s="79"/>
      <c r="AF48" s="80"/>
      <c r="AG48" s="81">
        <f t="shared" si="5"/>
        <v>0</v>
      </c>
      <c r="AH48" s="82"/>
      <c r="AI48" s="77"/>
      <c r="AJ48" s="79"/>
      <c r="AK48" s="80"/>
      <c r="AL48" s="81">
        <f t="shared" si="6"/>
        <v>0</v>
      </c>
      <c r="AM48" s="82"/>
      <c r="AN48" s="77"/>
      <c r="AO48" s="100">
        <v>1</v>
      </c>
      <c r="AP48" s="101">
        <v>0.8</v>
      </c>
      <c r="AQ48" s="85">
        <f t="shared" si="7"/>
        <v>0.8</v>
      </c>
      <c r="AR48" s="102" t="s">
        <v>1336</v>
      </c>
    </row>
    <row r="49" spans="1:44" ht="88.5" customHeight="1" x14ac:dyDescent="0.25">
      <c r="A49" s="77">
        <v>46</v>
      </c>
      <c r="B49" s="78" t="s">
        <v>10</v>
      </c>
      <c r="C49" s="78" t="s">
        <v>11</v>
      </c>
      <c r="D49" s="78" t="s">
        <v>13</v>
      </c>
      <c r="E49" s="77"/>
      <c r="F49" s="79"/>
      <c r="G49" s="80"/>
      <c r="H49" s="81">
        <f t="shared" si="0"/>
        <v>0</v>
      </c>
      <c r="I49" s="82"/>
      <c r="J49" s="77"/>
      <c r="K49" s="100">
        <v>1</v>
      </c>
      <c r="L49" s="101">
        <v>1</v>
      </c>
      <c r="M49" s="85">
        <f t="shared" si="1"/>
        <v>1</v>
      </c>
      <c r="N49" s="102" t="s">
        <v>1063</v>
      </c>
      <c r="O49" s="77"/>
      <c r="P49" s="100">
        <v>1</v>
      </c>
      <c r="Q49" s="101">
        <v>1</v>
      </c>
      <c r="R49" s="85">
        <f t="shared" si="2"/>
        <v>1</v>
      </c>
      <c r="S49" s="102" t="s">
        <v>1062</v>
      </c>
      <c r="T49" s="77"/>
      <c r="U49" s="79"/>
      <c r="V49" s="80"/>
      <c r="W49" s="81">
        <f t="shared" si="3"/>
        <v>0</v>
      </c>
      <c r="X49" s="82"/>
      <c r="Y49" s="77"/>
      <c r="Z49" s="79"/>
      <c r="AA49" s="80"/>
      <c r="AB49" s="81">
        <f t="shared" si="4"/>
        <v>0</v>
      </c>
      <c r="AC49" s="82"/>
      <c r="AD49" s="77"/>
      <c r="AE49" s="79"/>
      <c r="AF49" s="80"/>
      <c r="AG49" s="81">
        <f t="shared" si="5"/>
        <v>0</v>
      </c>
      <c r="AH49" s="82"/>
      <c r="AI49" s="77"/>
      <c r="AJ49" s="79"/>
      <c r="AK49" s="80"/>
      <c r="AL49" s="81">
        <f t="shared" si="6"/>
        <v>0</v>
      </c>
      <c r="AM49" s="82"/>
      <c r="AN49" s="77"/>
      <c r="AO49" s="100">
        <v>1</v>
      </c>
      <c r="AP49" s="101">
        <v>1</v>
      </c>
      <c r="AQ49" s="85">
        <f t="shared" si="7"/>
        <v>1</v>
      </c>
      <c r="AR49" s="102" t="s">
        <v>1062</v>
      </c>
    </row>
    <row r="50" spans="1:44" ht="111" customHeight="1" x14ac:dyDescent="0.25">
      <c r="A50" s="77">
        <v>47</v>
      </c>
      <c r="B50" s="78" t="s">
        <v>14</v>
      </c>
      <c r="C50" s="78" t="s">
        <v>14</v>
      </c>
      <c r="D50" s="78" t="s">
        <v>15</v>
      </c>
      <c r="E50" s="77"/>
      <c r="F50" s="79"/>
      <c r="G50" s="80"/>
      <c r="H50" s="81">
        <f t="shared" si="0"/>
        <v>0</v>
      </c>
      <c r="I50" s="82"/>
      <c r="J50" s="77"/>
      <c r="K50" s="100">
        <v>1</v>
      </c>
      <c r="L50" s="101">
        <v>1</v>
      </c>
      <c r="M50" s="85">
        <f t="shared" si="1"/>
        <v>1</v>
      </c>
      <c r="N50" s="102" t="s">
        <v>1087</v>
      </c>
      <c r="O50" s="77"/>
      <c r="P50" s="100">
        <v>1</v>
      </c>
      <c r="Q50" s="101">
        <v>1</v>
      </c>
      <c r="R50" s="85">
        <f t="shared" si="2"/>
        <v>1</v>
      </c>
      <c r="S50" s="102" t="s">
        <v>1087</v>
      </c>
      <c r="T50" s="77"/>
      <c r="U50" s="79"/>
      <c r="V50" s="80"/>
      <c r="W50" s="81">
        <f t="shared" si="3"/>
        <v>0</v>
      </c>
      <c r="X50" s="82"/>
      <c r="Y50" s="77"/>
      <c r="Z50" s="79"/>
      <c r="AA50" s="80"/>
      <c r="AB50" s="81">
        <f t="shared" si="4"/>
        <v>0</v>
      </c>
      <c r="AC50" s="82"/>
      <c r="AD50" s="77"/>
      <c r="AE50" s="79"/>
      <c r="AF50" s="80"/>
      <c r="AG50" s="81">
        <f t="shared" si="5"/>
        <v>0</v>
      </c>
      <c r="AH50" s="82"/>
      <c r="AI50" s="77"/>
      <c r="AJ50" s="79"/>
      <c r="AK50" s="80"/>
      <c r="AL50" s="81">
        <f t="shared" si="6"/>
        <v>0</v>
      </c>
      <c r="AM50" s="82"/>
      <c r="AN50" s="77"/>
      <c r="AO50" s="100">
        <v>1</v>
      </c>
      <c r="AP50" s="101">
        <v>1</v>
      </c>
      <c r="AQ50" s="85">
        <f t="shared" si="7"/>
        <v>1</v>
      </c>
      <c r="AR50" s="122" t="s">
        <v>1087</v>
      </c>
    </row>
    <row r="51" spans="1:44" ht="213.75" customHeight="1" x14ac:dyDescent="0.25">
      <c r="A51" s="77">
        <v>48</v>
      </c>
      <c r="B51" s="78" t="s">
        <v>14</v>
      </c>
      <c r="C51" s="78" t="s">
        <v>14</v>
      </c>
      <c r="D51" s="78" t="s">
        <v>73</v>
      </c>
      <c r="E51" s="77"/>
      <c r="F51" s="79"/>
      <c r="G51" s="80"/>
      <c r="H51" s="81">
        <f t="shared" si="0"/>
        <v>0</v>
      </c>
      <c r="I51" s="82"/>
      <c r="J51" s="77"/>
      <c r="K51" s="100">
        <v>1</v>
      </c>
      <c r="L51" s="101">
        <v>0.85</v>
      </c>
      <c r="M51" s="85">
        <f t="shared" si="1"/>
        <v>0.85</v>
      </c>
      <c r="N51" s="102" t="s">
        <v>1094</v>
      </c>
      <c r="O51" s="77"/>
      <c r="P51" s="100">
        <v>1</v>
      </c>
      <c r="Q51" s="101">
        <v>0.75</v>
      </c>
      <c r="R51" s="85">
        <f t="shared" si="2"/>
        <v>0.75</v>
      </c>
      <c r="S51" s="102" t="s">
        <v>1104</v>
      </c>
      <c r="T51" s="77"/>
      <c r="U51" s="79"/>
      <c r="V51" s="80"/>
      <c r="W51" s="81">
        <f t="shared" si="3"/>
        <v>0</v>
      </c>
      <c r="X51" s="82"/>
      <c r="Y51" s="77"/>
      <c r="Z51" s="79"/>
      <c r="AA51" s="80"/>
      <c r="AB51" s="81">
        <f t="shared" si="4"/>
        <v>0</v>
      </c>
      <c r="AC51" s="82"/>
      <c r="AD51" s="77"/>
      <c r="AE51" s="79"/>
      <c r="AF51" s="80"/>
      <c r="AG51" s="81">
        <f t="shared" si="5"/>
        <v>0</v>
      </c>
      <c r="AH51" s="82"/>
      <c r="AI51" s="77"/>
      <c r="AJ51" s="79"/>
      <c r="AK51" s="80"/>
      <c r="AL51" s="81">
        <f t="shared" si="6"/>
        <v>0</v>
      </c>
      <c r="AM51" s="82"/>
      <c r="AN51" s="77"/>
      <c r="AO51" s="100">
        <v>1</v>
      </c>
      <c r="AP51" s="101">
        <v>0.4</v>
      </c>
      <c r="AQ51" s="85">
        <f t="shared" si="7"/>
        <v>0.4</v>
      </c>
      <c r="AR51" s="102" t="s">
        <v>1311</v>
      </c>
    </row>
    <row r="52" spans="1:44" ht="236.25" x14ac:dyDescent="0.25">
      <c r="A52" s="77">
        <v>49</v>
      </c>
      <c r="B52" s="78" t="s">
        <v>14</v>
      </c>
      <c r="C52" s="78" t="s">
        <v>14</v>
      </c>
      <c r="D52" s="78" t="s">
        <v>74</v>
      </c>
      <c r="E52" s="77"/>
      <c r="F52" s="79"/>
      <c r="G52" s="80"/>
      <c r="H52" s="81">
        <f t="shared" si="0"/>
        <v>0</v>
      </c>
      <c r="I52" s="82"/>
      <c r="J52" s="77"/>
      <c r="K52" s="100">
        <v>1</v>
      </c>
      <c r="L52" s="101">
        <v>0.9</v>
      </c>
      <c r="M52" s="85">
        <f t="shared" si="1"/>
        <v>0.9</v>
      </c>
      <c r="N52" s="102" t="s">
        <v>1120</v>
      </c>
      <c r="O52" s="77"/>
      <c r="P52" s="100">
        <v>1</v>
      </c>
      <c r="Q52" s="101">
        <v>0.7</v>
      </c>
      <c r="R52" s="85">
        <f t="shared" si="2"/>
        <v>0.7</v>
      </c>
      <c r="S52" s="102" t="s">
        <v>1121</v>
      </c>
      <c r="T52" s="77"/>
      <c r="U52" s="79"/>
      <c r="V52" s="80"/>
      <c r="W52" s="81">
        <f t="shared" si="3"/>
        <v>0</v>
      </c>
      <c r="X52" s="82"/>
      <c r="Y52" s="77"/>
      <c r="Z52" s="79"/>
      <c r="AA52" s="80"/>
      <c r="AB52" s="81">
        <f t="shared" si="4"/>
        <v>0</v>
      </c>
      <c r="AC52" s="82"/>
      <c r="AD52" s="77"/>
      <c r="AE52" s="79"/>
      <c r="AF52" s="80"/>
      <c r="AG52" s="81">
        <f t="shared" si="5"/>
        <v>0</v>
      </c>
      <c r="AH52" s="82"/>
      <c r="AI52" s="77"/>
      <c r="AJ52" s="79"/>
      <c r="AK52" s="80"/>
      <c r="AL52" s="81">
        <f t="shared" si="6"/>
        <v>0</v>
      </c>
      <c r="AM52" s="82"/>
      <c r="AN52" s="77"/>
      <c r="AO52" s="100">
        <v>1</v>
      </c>
      <c r="AP52" s="101">
        <v>0.7</v>
      </c>
      <c r="AQ52" s="85">
        <f t="shared" si="7"/>
        <v>0.7</v>
      </c>
      <c r="AR52" s="102" t="s">
        <v>1378</v>
      </c>
    </row>
    <row r="53" spans="1:44" ht="138" customHeight="1" x14ac:dyDescent="0.25">
      <c r="A53" s="77">
        <v>50</v>
      </c>
      <c r="B53" s="78" t="s">
        <v>14</v>
      </c>
      <c r="C53" s="78" t="s">
        <v>14</v>
      </c>
      <c r="D53" s="78" t="s">
        <v>75</v>
      </c>
      <c r="E53" s="77"/>
      <c r="F53" s="79"/>
      <c r="G53" s="80"/>
      <c r="H53" s="81">
        <f t="shared" si="0"/>
        <v>0</v>
      </c>
      <c r="I53" s="82"/>
      <c r="J53" s="77"/>
      <c r="K53" s="100">
        <v>1</v>
      </c>
      <c r="L53" s="101">
        <v>1</v>
      </c>
      <c r="M53" s="85">
        <f t="shared" si="1"/>
        <v>1</v>
      </c>
      <c r="N53" s="102" t="s">
        <v>1087</v>
      </c>
      <c r="O53" s="77"/>
      <c r="P53" s="100">
        <v>1</v>
      </c>
      <c r="Q53" s="101">
        <v>1</v>
      </c>
      <c r="R53" s="85">
        <f t="shared" si="2"/>
        <v>1</v>
      </c>
      <c r="S53" s="102" t="s">
        <v>1087</v>
      </c>
      <c r="T53" s="77"/>
      <c r="U53" s="79"/>
      <c r="V53" s="80"/>
      <c r="W53" s="81">
        <f t="shared" si="3"/>
        <v>0</v>
      </c>
      <c r="X53" s="82"/>
      <c r="Y53" s="77"/>
      <c r="Z53" s="79"/>
      <c r="AA53" s="80"/>
      <c r="AB53" s="81">
        <f t="shared" si="4"/>
        <v>0</v>
      </c>
      <c r="AC53" s="82"/>
      <c r="AD53" s="77"/>
      <c r="AE53" s="79"/>
      <c r="AF53" s="80"/>
      <c r="AG53" s="81">
        <f t="shared" si="5"/>
        <v>0</v>
      </c>
      <c r="AH53" s="82"/>
      <c r="AI53" s="77"/>
      <c r="AJ53" s="79"/>
      <c r="AK53" s="80"/>
      <c r="AL53" s="81">
        <f t="shared" si="6"/>
        <v>0</v>
      </c>
      <c r="AM53" s="82"/>
      <c r="AN53" s="77"/>
      <c r="AO53" s="100">
        <v>1</v>
      </c>
      <c r="AP53" s="101">
        <v>1</v>
      </c>
      <c r="AQ53" s="85">
        <f t="shared" si="7"/>
        <v>1</v>
      </c>
      <c r="AR53" s="102" t="s">
        <v>1087</v>
      </c>
    </row>
    <row r="54" spans="1:44" ht="109.5" customHeight="1" x14ac:dyDescent="0.25">
      <c r="A54" s="77">
        <v>51</v>
      </c>
      <c r="B54" s="78" t="s">
        <v>14</v>
      </c>
      <c r="C54" s="78" t="s">
        <v>14</v>
      </c>
      <c r="D54" s="78" t="s">
        <v>76</v>
      </c>
      <c r="E54" s="77"/>
      <c r="F54" s="79"/>
      <c r="G54" s="80"/>
      <c r="H54" s="81">
        <f t="shared" si="0"/>
        <v>0</v>
      </c>
      <c r="I54" s="82"/>
      <c r="J54" s="77"/>
      <c r="K54" s="100">
        <v>1</v>
      </c>
      <c r="L54" s="101">
        <v>1</v>
      </c>
      <c r="M54" s="85">
        <f t="shared" si="1"/>
        <v>1</v>
      </c>
      <c r="N54" s="102" t="s">
        <v>1087</v>
      </c>
      <c r="O54" s="77"/>
      <c r="P54" s="100">
        <v>1</v>
      </c>
      <c r="Q54" s="101">
        <v>1</v>
      </c>
      <c r="R54" s="85">
        <f t="shared" si="2"/>
        <v>1</v>
      </c>
      <c r="S54" s="102" t="s">
        <v>1087</v>
      </c>
      <c r="T54" s="77"/>
      <c r="U54" s="79"/>
      <c r="V54" s="80"/>
      <c r="W54" s="81">
        <f t="shared" si="3"/>
        <v>0</v>
      </c>
      <c r="X54" s="82"/>
      <c r="Y54" s="77"/>
      <c r="Z54" s="79"/>
      <c r="AA54" s="80"/>
      <c r="AB54" s="81">
        <f t="shared" si="4"/>
        <v>0</v>
      </c>
      <c r="AC54" s="82"/>
      <c r="AD54" s="77"/>
      <c r="AE54" s="79"/>
      <c r="AF54" s="80"/>
      <c r="AG54" s="81">
        <f t="shared" si="5"/>
        <v>0</v>
      </c>
      <c r="AH54" s="82"/>
      <c r="AI54" s="77"/>
      <c r="AJ54" s="79"/>
      <c r="AK54" s="80"/>
      <c r="AL54" s="81">
        <f t="shared" si="6"/>
        <v>0</v>
      </c>
      <c r="AM54" s="82"/>
      <c r="AN54" s="77"/>
      <c r="AO54" s="100">
        <v>1</v>
      </c>
      <c r="AP54" s="101">
        <v>1</v>
      </c>
      <c r="AQ54" s="85">
        <f t="shared" si="7"/>
        <v>1</v>
      </c>
      <c r="AR54" s="102" t="s">
        <v>1087</v>
      </c>
    </row>
    <row r="55" spans="1:44" ht="110.25" x14ac:dyDescent="0.25">
      <c r="A55" s="77">
        <v>52</v>
      </c>
      <c r="B55" s="78" t="s">
        <v>14</v>
      </c>
      <c r="C55" s="78" t="s">
        <v>14</v>
      </c>
      <c r="D55" s="78" t="s">
        <v>77</v>
      </c>
      <c r="E55" s="77"/>
      <c r="F55" s="79"/>
      <c r="G55" s="80"/>
      <c r="H55" s="81">
        <f t="shared" si="0"/>
        <v>0</v>
      </c>
      <c r="I55" s="82"/>
      <c r="J55" s="77"/>
      <c r="K55" s="100">
        <v>1</v>
      </c>
      <c r="L55" s="101">
        <v>1</v>
      </c>
      <c r="M55" s="85">
        <f t="shared" si="1"/>
        <v>1</v>
      </c>
      <c r="N55" s="102" t="s">
        <v>1087</v>
      </c>
      <c r="O55" s="77"/>
      <c r="P55" s="100">
        <v>1</v>
      </c>
      <c r="Q55" s="101">
        <v>0.9</v>
      </c>
      <c r="R55" s="85">
        <f t="shared" si="2"/>
        <v>0.9</v>
      </c>
      <c r="S55" s="102" t="s">
        <v>1090</v>
      </c>
      <c r="T55" s="77"/>
      <c r="U55" s="79"/>
      <c r="V55" s="80"/>
      <c r="W55" s="81">
        <f t="shared" si="3"/>
        <v>0</v>
      </c>
      <c r="X55" s="82"/>
      <c r="Y55" s="77"/>
      <c r="Z55" s="79"/>
      <c r="AA55" s="80"/>
      <c r="AB55" s="81">
        <f t="shared" si="4"/>
        <v>0</v>
      </c>
      <c r="AC55" s="82"/>
      <c r="AD55" s="77"/>
      <c r="AE55" s="79"/>
      <c r="AF55" s="80"/>
      <c r="AG55" s="81">
        <f t="shared" si="5"/>
        <v>0</v>
      </c>
      <c r="AH55" s="82"/>
      <c r="AI55" s="77"/>
      <c r="AJ55" s="79"/>
      <c r="AK55" s="80"/>
      <c r="AL55" s="81">
        <f t="shared" si="6"/>
        <v>0</v>
      </c>
      <c r="AM55" s="82"/>
      <c r="AN55" s="77"/>
      <c r="AO55" s="100">
        <v>1</v>
      </c>
      <c r="AP55" s="101">
        <v>0.75</v>
      </c>
      <c r="AQ55" s="85">
        <f t="shared" si="7"/>
        <v>0.75</v>
      </c>
      <c r="AR55" s="102" t="s">
        <v>1092</v>
      </c>
    </row>
    <row r="56" spans="1:44" ht="108" customHeight="1" x14ac:dyDescent="0.25">
      <c r="A56" s="77">
        <v>53</v>
      </c>
      <c r="B56" s="78" t="s">
        <v>14</v>
      </c>
      <c r="C56" s="78" t="s">
        <v>14</v>
      </c>
      <c r="D56" s="78" t="s">
        <v>78</v>
      </c>
      <c r="E56" s="77"/>
      <c r="F56" s="79">
        <v>1</v>
      </c>
      <c r="G56" s="80"/>
      <c r="H56" s="81">
        <f t="shared" si="0"/>
        <v>0</v>
      </c>
      <c r="I56" s="82"/>
      <c r="J56" s="77"/>
      <c r="K56" s="100">
        <v>1</v>
      </c>
      <c r="L56" s="101">
        <v>1</v>
      </c>
      <c r="M56" s="85">
        <f t="shared" si="1"/>
        <v>1</v>
      </c>
      <c r="N56" s="102" t="s">
        <v>1087</v>
      </c>
      <c r="O56" s="77"/>
      <c r="P56" s="100">
        <v>1</v>
      </c>
      <c r="Q56" s="101">
        <v>0.9</v>
      </c>
      <c r="R56" s="85">
        <f t="shared" si="2"/>
        <v>0.9</v>
      </c>
      <c r="S56" s="102" t="s">
        <v>1106</v>
      </c>
      <c r="T56" s="77"/>
      <c r="U56" s="79"/>
      <c r="V56" s="80"/>
      <c r="W56" s="81">
        <f t="shared" si="3"/>
        <v>0</v>
      </c>
      <c r="X56" s="77"/>
      <c r="Y56" s="77"/>
      <c r="Z56" s="79"/>
      <c r="AA56" s="80"/>
      <c r="AB56" s="81">
        <f t="shared" si="4"/>
        <v>0</v>
      </c>
      <c r="AC56" s="77"/>
      <c r="AD56" s="77"/>
      <c r="AE56" s="79"/>
      <c r="AF56" s="80"/>
      <c r="AG56" s="81">
        <f t="shared" si="5"/>
        <v>0</v>
      </c>
      <c r="AH56" s="77"/>
      <c r="AI56" s="77"/>
      <c r="AJ56" s="79"/>
      <c r="AK56" s="80"/>
      <c r="AL56" s="81">
        <f t="shared" si="6"/>
        <v>0</v>
      </c>
      <c r="AM56" s="77"/>
      <c r="AN56" s="77"/>
      <c r="AO56" s="100">
        <v>1</v>
      </c>
      <c r="AP56" s="101">
        <v>1</v>
      </c>
      <c r="AQ56" s="85">
        <f t="shared" si="7"/>
        <v>1</v>
      </c>
      <c r="AR56" s="143" t="s">
        <v>1087</v>
      </c>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A079F54D-09DB-4568-8F4B-30882F7C4305}">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36FCDAD2-59BF-40EA-B7A5-DAD67CBFB3DD}">
          <x14:formula1>
            <xm:f>'C:\Users\michele.cerqueira\AppData\Local\Microsoft\Windows\INetCache\Content.Outlook\CUTOBPMD\[ESTUDOS DE MERCADO - AVALIAÇÕES FINAIS.xlsx]Parâmetros'!#REF!</xm:f>
          </x14:formula1>
          <xm:sqref>K4:K15 P4:P15 AO4:AO15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23</vt:i4>
      </vt:variant>
    </vt:vector>
  </HeadingPairs>
  <TitlesOfParts>
    <vt:vector size="23" baseType="lpstr">
      <vt:lpstr>Resumo</vt:lpstr>
      <vt:lpstr>Curitiba SBCT</vt:lpstr>
      <vt:lpstr>Foz do Iguaçú SBFI</vt:lpstr>
      <vt:lpstr>Navegantes SBNF</vt:lpstr>
      <vt:lpstr>Londrina SBLO</vt:lpstr>
      <vt:lpstr>Joinville SBJV</vt:lpstr>
      <vt:lpstr>Bacacheri SBBI</vt:lpstr>
      <vt:lpstr>Pelotas SBPK</vt:lpstr>
      <vt:lpstr>Uruguaiana SBUG</vt:lpstr>
      <vt:lpstr>Bagé SBBG</vt:lpstr>
      <vt:lpstr>Manaus SBEG</vt:lpstr>
      <vt:lpstr>Porto Velho SBPV</vt:lpstr>
      <vt:lpstr>Rio Branco SBRB</vt:lpstr>
      <vt:lpstr>Cruzeiro do Sul SBCZ</vt:lpstr>
      <vt:lpstr>Tabatinga SBTT</vt:lpstr>
      <vt:lpstr>Tefé SBTF</vt:lpstr>
      <vt:lpstr>Boa Vista SBBV</vt:lpstr>
      <vt:lpstr>Goiânia SBGO</vt:lpstr>
      <vt:lpstr>São Luiz SBSL</vt:lpstr>
      <vt:lpstr>Teresina SBTE</vt:lpstr>
      <vt:lpstr>Palmas SBPJ</vt:lpstr>
      <vt:lpstr>Petrolina SBPL</vt:lpstr>
      <vt:lpstr>Imperatriz SBIZ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Thiago Costa Monteiro Caldeira</dc:creator>
  <cp:lastModifiedBy>Victor Melo Freire</cp:lastModifiedBy>
  <cp:lastPrinted>2015-11-16T13:02:37Z</cp:lastPrinted>
  <dcterms:created xsi:type="dcterms:W3CDTF">2015-10-23T14:17:12Z</dcterms:created>
  <dcterms:modified xsi:type="dcterms:W3CDTF">2019-12-20T18:00:27Z</dcterms:modified>
</cp:coreProperties>
</file>