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41"/>
  <workbookPr codeName="EstaPastaDeTrabalho"/>
  <mc:AlternateContent xmlns:mc="http://schemas.openxmlformats.org/markup-compatibility/2006">
    <mc:Choice Requires="x15">
      <x15ac:absPath xmlns:x15ac="http://schemas.microsoft.com/office/spreadsheetml/2010/11/ac" url="C:\Users\marisa.mm\Documents\"/>
    </mc:Choice>
  </mc:AlternateContent>
  <xr:revisionPtr revIDLastSave="0" documentId="8_{BEF1D34E-B782-4BD5-B507-FEA8379D8800}" xr6:coauthVersionLast="36" xr6:coauthVersionMax="36" xr10:uidLastSave="{00000000-0000-0000-0000-000000000000}"/>
  <bookViews>
    <workbookView xWindow="0" yWindow="0" windowWidth="17250" windowHeight="4545" tabRatio="832" xr2:uid="{00000000-000D-0000-FFFF-FFFF00000000}"/>
  </bookViews>
  <sheets>
    <sheet name="Dados do Licitante" sheetId="153" r:id="rId1"/>
    <sheet name="Uniformes e EPIs" sheetId="155" r:id="rId2"/>
    <sheet name="Equipamentos" sheetId="161" r:id="rId3"/>
    <sheet name="Hora Homem" sheetId="166" r:id="rId4"/>
    <sheet name="Peças e Materiais de Consumo" sheetId="157" r:id="rId5"/>
    <sheet name="Postos Fixos" sheetId="147" r:id="rId6"/>
    <sheet name="Modelo de Proposta" sheetId="159" r:id="rId7"/>
    <sheet name="Memória de Cálculo" sheetId="167" r:id="rId8"/>
    <sheet name="Planilha1" sheetId="160" state="hidden" r:id="rId9"/>
    <sheet name="STS-Republica" sheetId="74" state="hidden" r:id="rId10"/>
    <sheet name="Embarcações" sheetId="165" r:id="rId11"/>
    <sheet name="Memória de Cálculos" sheetId="141" state="hidden" r:id="rId12"/>
    <sheet name="Nr Empregados e Produtividade" sheetId="72" state="hidden" r:id="rId13"/>
  </sheets>
  <definedNames>
    <definedName name="_xlnm.Print_Area" localSheetId="6">'Modelo de Proposta'!$B$14:$G$16</definedName>
    <definedName name="_xlnm.Print_Area" localSheetId="5">'Postos Fixos'!$A$2:$J$119</definedName>
    <definedName name="SHARED_FORMULA_11_49_11_49_1">"[.K50]*[.$L$30]"</definedName>
    <definedName name="SHARED_FORMULA_11_65_11_65_1">"[.K66]*[.$L$30]"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 i="157" l="1"/>
  <c r="E3" i="157"/>
  <c r="H15" i="159" l="1"/>
  <c r="G15" i="159"/>
  <c r="F15" i="159"/>
  <c r="F436" i="157"/>
  <c r="F435" i="157"/>
  <c r="F434" i="157"/>
  <c r="F433" i="157"/>
  <c r="F432" i="157"/>
  <c r="AH432" i="157"/>
  <c r="F431" i="157"/>
  <c r="F430" i="157"/>
  <c r="F429" i="157"/>
  <c r="F428" i="157"/>
  <c r="F427" i="157"/>
  <c r="F426" i="157"/>
  <c r="AD426" i="157"/>
  <c r="AC426" i="157"/>
  <c r="AB426" i="157"/>
  <c r="F425" i="157"/>
  <c r="F424" i="157"/>
  <c r="F423" i="157"/>
  <c r="F422" i="157"/>
  <c r="F421" i="157"/>
  <c r="F420" i="157"/>
  <c r="F419" i="157"/>
  <c r="AD419" i="157"/>
  <c r="AC419" i="157"/>
  <c r="F418" i="157"/>
  <c r="F417" i="157"/>
  <c r="F416" i="157"/>
  <c r="F415" i="157"/>
  <c r="F414" i="157"/>
  <c r="F413" i="157"/>
  <c r="F412" i="157"/>
  <c r="F411" i="157"/>
  <c r="F410" i="157"/>
  <c r="F437" i="157" l="1"/>
  <c r="E9" i="157"/>
  <c r="F9" i="157"/>
  <c r="E11" i="157"/>
  <c r="F11" i="157"/>
  <c r="F23" i="157" s="1"/>
  <c r="E16" i="157"/>
  <c r="F16" i="157"/>
  <c r="M44" i="161"/>
  <c r="M43" i="161"/>
  <c r="M42" i="161"/>
  <c r="M41" i="161"/>
  <c r="M40" i="161"/>
  <c r="M39" i="161"/>
  <c r="M38" i="161"/>
  <c r="M37" i="161"/>
  <c r="M36" i="161"/>
  <c r="M35" i="161"/>
  <c r="M34" i="161"/>
  <c r="M33" i="161"/>
  <c r="M32" i="161"/>
  <c r="M31" i="161"/>
  <c r="M30" i="161"/>
  <c r="M29" i="161"/>
  <c r="M28" i="161"/>
  <c r="M27" i="161"/>
  <c r="M26" i="161"/>
  <c r="M25" i="161"/>
  <c r="M24" i="161"/>
  <c r="M23" i="161"/>
  <c r="M22" i="161"/>
  <c r="M21" i="161"/>
  <c r="M20" i="161"/>
  <c r="M19" i="161"/>
  <c r="M18" i="161"/>
  <c r="M17" i="161"/>
  <c r="M16" i="161"/>
  <c r="N42" i="147"/>
  <c r="L42" i="147"/>
  <c r="K42" i="147"/>
  <c r="E403" i="157"/>
  <c r="E402" i="157"/>
  <c r="E401" i="157"/>
  <c r="E400" i="157"/>
  <c r="E399" i="157"/>
  <c r="E398" i="157"/>
  <c r="E397" i="157"/>
  <c r="E396" i="157"/>
  <c r="E395" i="157"/>
  <c r="E394" i="157"/>
  <c r="E393" i="157"/>
  <c r="E392" i="157"/>
  <c r="E391" i="157"/>
  <c r="E390" i="157"/>
  <c r="E389" i="157"/>
  <c r="E388" i="157"/>
  <c r="E387" i="157"/>
  <c r="E386" i="157"/>
  <c r="E385" i="157"/>
  <c r="E384" i="157"/>
  <c r="E383" i="157"/>
  <c r="E382" i="157"/>
  <c r="E381" i="157"/>
  <c r="E380" i="157"/>
  <c r="E379" i="157"/>
  <c r="E378" i="157"/>
  <c r="E377" i="157"/>
  <c r="E376" i="157"/>
  <c r="E375" i="157"/>
  <c r="E374" i="157"/>
  <c r="E373" i="157"/>
  <c r="E372" i="157"/>
  <c r="E371" i="157"/>
  <c r="E370" i="157"/>
  <c r="E369" i="157"/>
  <c r="E368" i="157"/>
  <c r="E367" i="157"/>
  <c r="E366" i="157"/>
  <c r="E365" i="157"/>
  <c r="E362" i="157"/>
  <c r="E361" i="157"/>
  <c r="E360" i="157"/>
  <c r="E359" i="157"/>
  <c r="E358" i="157"/>
  <c r="E357" i="157"/>
  <c r="E356" i="157"/>
  <c r="E355" i="157"/>
  <c r="E354" i="157"/>
  <c r="E353" i="157"/>
  <c r="E352" i="157"/>
  <c r="E351" i="157"/>
  <c r="E350" i="157"/>
  <c r="E349" i="157"/>
  <c r="E348" i="157"/>
  <c r="E347" i="157"/>
  <c r="E346" i="157"/>
  <c r="E345" i="157"/>
  <c r="E344" i="157"/>
  <c r="E343" i="157"/>
  <c r="E342" i="157"/>
  <c r="E341" i="157"/>
  <c r="E340" i="157"/>
  <c r="E339" i="157"/>
  <c r="E338" i="157"/>
  <c r="E337" i="157"/>
  <c r="E336" i="157"/>
  <c r="E335" i="157"/>
  <c r="E334" i="157"/>
  <c r="E333" i="157"/>
  <c r="E332" i="157"/>
  <c r="E331" i="157"/>
  <c r="E330" i="157"/>
  <c r="E327" i="157"/>
  <c r="E326" i="157"/>
  <c r="E325" i="157"/>
  <c r="E324" i="157"/>
  <c r="E323" i="157"/>
  <c r="E322" i="157"/>
  <c r="E321" i="157"/>
  <c r="E320" i="157"/>
  <c r="E319" i="157"/>
  <c r="E318" i="157"/>
  <c r="E317" i="157"/>
  <c r="E316" i="157"/>
  <c r="E315" i="157"/>
  <c r="E314" i="157"/>
  <c r="E313" i="157"/>
  <c r="E312" i="157"/>
  <c r="E311" i="157"/>
  <c r="E310" i="157"/>
  <c r="E309" i="157"/>
  <c r="E308" i="157"/>
  <c r="E307" i="157"/>
  <c r="E306" i="157"/>
  <c r="E305" i="157"/>
  <c r="E304" i="157"/>
  <c r="E303" i="157"/>
  <c r="E302" i="157"/>
  <c r="E301" i="157"/>
  <c r="E300" i="157"/>
  <c r="E299" i="157"/>
  <c r="E298" i="157"/>
  <c r="E297" i="157"/>
  <c r="E296" i="157"/>
  <c r="E295" i="157"/>
  <c r="E294" i="157"/>
  <c r="E293" i="157"/>
  <c r="E292" i="157"/>
  <c r="E291" i="157"/>
  <c r="E290" i="157"/>
  <c r="E289" i="157"/>
  <c r="E286" i="157"/>
  <c r="E285" i="157"/>
  <c r="E284" i="157"/>
  <c r="E283" i="157"/>
  <c r="E282" i="157"/>
  <c r="E281" i="157"/>
  <c r="E280" i="157"/>
  <c r="E279" i="157"/>
  <c r="E278" i="157"/>
  <c r="E277" i="157"/>
  <c r="E276" i="157"/>
  <c r="E275" i="157"/>
  <c r="E274" i="157"/>
  <c r="E273" i="157"/>
  <c r="E272" i="157"/>
  <c r="E271" i="157"/>
  <c r="E270" i="157"/>
  <c r="E269" i="157"/>
  <c r="E268" i="157"/>
  <c r="E267" i="157"/>
  <c r="E266" i="157"/>
  <c r="E265" i="157"/>
  <c r="E264" i="157"/>
  <c r="E263" i="157"/>
  <c r="E262" i="157"/>
  <c r="E261" i="157"/>
  <c r="E260" i="157"/>
  <c r="E259" i="157"/>
  <c r="E256" i="157"/>
  <c r="E255" i="157"/>
  <c r="E254" i="157"/>
  <c r="E253" i="157"/>
  <c r="E252" i="157"/>
  <c r="E251" i="157"/>
  <c r="E250" i="157"/>
  <c r="E249" i="157"/>
  <c r="E248" i="157"/>
  <c r="E247" i="157"/>
  <c r="E246" i="157"/>
  <c r="E245" i="157"/>
  <c r="E244" i="157"/>
  <c r="E243" i="157"/>
  <c r="E242" i="157"/>
  <c r="E241" i="157"/>
  <c r="E240" i="157"/>
  <c r="E239" i="157"/>
  <c r="E238" i="157"/>
  <c r="E237" i="157"/>
  <c r="E236" i="157"/>
  <c r="E235" i="157"/>
  <c r="E234" i="157"/>
  <c r="E233" i="157"/>
  <c r="E232" i="157"/>
  <c r="E231" i="157"/>
  <c r="E230" i="157"/>
  <c r="E229" i="157"/>
  <c r="E223" i="157"/>
  <c r="E222" i="157"/>
  <c r="E221" i="157"/>
  <c r="E220" i="157"/>
  <c r="E219" i="157"/>
  <c r="E218" i="157"/>
  <c r="E217" i="157"/>
  <c r="E216" i="157"/>
  <c r="E215" i="157"/>
  <c r="E214" i="157"/>
  <c r="E213" i="157"/>
  <c r="E212" i="157"/>
  <c r="E211" i="157"/>
  <c r="E210" i="157"/>
  <c r="E209" i="157"/>
  <c r="E208" i="157"/>
  <c r="E205" i="157"/>
  <c r="E204" i="157"/>
  <c r="E203" i="157"/>
  <c r="E202" i="157"/>
  <c r="E201" i="157"/>
  <c r="E200" i="157"/>
  <c r="E199" i="157"/>
  <c r="E198" i="157"/>
  <c r="E197" i="157"/>
  <c r="E196" i="157"/>
  <c r="E195" i="157"/>
  <c r="E194" i="157"/>
  <c r="E193" i="157"/>
  <c r="E192" i="157"/>
  <c r="E191" i="157"/>
  <c r="E190" i="157"/>
  <c r="E189" i="157"/>
  <c r="E188" i="157"/>
  <c r="E187" i="157"/>
  <c r="E186" i="157"/>
  <c r="E185" i="157"/>
  <c r="E184" i="157"/>
  <c r="E183" i="157"/>
  <c r="E182" i="157"/>
  <c r="E181" i="157"/>
  <c r="E180" i="157"/>
  <c r="E179" i="157"/>
  <c r="E178" i="157"/>
  <c r="E177" i="157"/>
  <c r="E176" i="157"/>
  <c r="E175" i="157"/>
  <c r="E174" i="157"/>
  <c r="E173" i="157"/>
  <c r="E172" i="157"/>
  <c r="E171" i="157"/>
  <c r="E170" i="157"/>
  <c r="E169" i="157"/>
  <c r="E168" i="157"/>
  <c r="E167" i="157"/>
  <c r="E164" i="157"/>
  <c r="E163" i="157"/>
  <c r="E162" i="157"/>
  <c r="E161" i="157"/>
  <c r="E160" i="157"/>
  <c r="E159" i="157"/>
  <c r="E158" i="157"/>
  <c r="E157" i="157"/>
  <c r="E156" i="157"/>
  <c r="E155" i="157"/>
  <c r="E154" i="157"/>
  <c r="E153" i="157"/>
  <c r="E152" i="157"/>
  <c r="E151" i="157"/>
  <c r="E150" i="157"/>
  <c r="E149" i="157"/>
  <c r="E148" i="157"/>
  <c r="E147" i="157"/>
  <c r="E146" i="157"/>
  <c r="E145" i="157"/>
  <c r="E144" i="157"/>
  <c r="E143" i="157"/>
  <c r="E142" i="157"/>
  <c r="E141" i="157"/>
  <c r="E140" i="157"/>
  <c r="E139" i="157"/>
  <c r="E138" i="157"/>
  <c r="E137" i="157"/>
  <c r="E136" i="157"/>
  <c r="E133" i="157"/>
  <c r="E132" i="157"/>
  <c r="E131" i="157"/>
  <c r="E130" i="157"/>
  <c r="E129" i="157"/>
  <c r="E128" i="157"/>
  <c r="E127" i="157"/>
  <c r="E126" i="157"/>
  <c r="E125" i="157"/>
  <c r="E124" i="157"/>
  <c r="E123" i="157"/>
  <c r="E122" i="157"/>
  <c r="E121" i="157"/>
  <c r="E120" i="157"/>
  <c r="E119" i="157"/>
  <c r="E118" i="157"/>
  <c r="E117" i="157"/>
  <c r="E116" i="157"/>
  <c r="E115" i="157"/>
  <c r="E114" i="157"/>
  <c r="E113" i="157"/>
  <c r="E112" i="157"/>
  <c r="E111" i="157"/>
  <c r="E110" i="157"/>
  <c r="E109" i="157"/>
  <c r="E108" i="157"/>
  <c r="E107" i="157"/>
  <c r="E106" i="157"/>
  <c r="E105" i="157"/>
  <c r="E104" i="157"/>
  <c r="E103" i="157"/>
  <c r="E102" i="157"/>
  <c r="E101" i="157"/>
  <c r="E100" i="157"/>
  <c r="E99" i="157"/>
  <c r="E98" i="157"/>
  <c r="E97" i="157"/>
  <c r="E96" i="157"/>
  <c r="E95" i="157"/>
  <c r="E94" i="157"/>
  <c r="E93" i="157"/>
  <c r="E92" i="157"/>
  <c r="E91" i="157"/>
  <c r="E90" i="157"/>
  <c r="E89" i="157"/>
  <c r="E88" i="157"/>
  <c r="E87" i="157"/>
  <c r="E86" i="157"/>
  <c r="E85" i="157"/>
  <c r="E82" i="157"/>
  <c r="E81" i="157"/>
  <c r="E80" i="157"/>
  <c r="E79" i="157"/>
  <c r="E78" i="157"/>
  <c r="E77" i="157"/>
  <c r="E76" i="157"/>
  <c r="E75" i="157"/>
  <c r="E74" i="157"/>
  <c r="E73" i="157"/>
  <c r="E72" i="157"/>
  <c r="E71" i="157"/>
  <c r="E70" i="157"/>
  <c r="E69" i="157"/>
  <c r="E68" i="157"/>
  <c r="E67" i="157"/>
  <c r="E66" i="157"/>
  <c r="E65" i="157"/>
  <c r="E64" i="157"/>
  <c r="E63" i="157"/>
  <c r="E62" i="157"/>
  <c r="E61" i="157"/>
  <c r="E60" i="157"/>
  <c r="E59" i="157"/>
  <c r="E58" i="157"/>
  <c r="E57" i="157"/>
  <c r="E56" i="157"/>
  <c r="E55" i="157"/>
  <c r="E54" i="157"/>
  <c r="E53" i="157"/>
  <c r="E52" i="157"/>
  <c r="E51" i="157"/>
  <c r="E50" i="157"/>
  <c r="E49" i="157"/>
  <c r="E48" i="157"/>
  <c r="E47" i="157"/>
  <c r="E46" i="157"/>
  <c r="E45" i="157"/>
  <c r="E44" i="157"/>
  <c r="E43" i="157"/>
  <c r="E42" i="157"/>
  <c r="E41" i="157"/>
  <c r="E40" i="157"/>
  <c r="E39" i="157"/>
  <c r="E38" i="157"/>
  <c r="E37" i="157"/>
  <c r="E36" i="157"/>
  <c r="E35" i="157"/>
  <c r="E34" i="157"/>
  <c r="E33" i="157"/>
  <c r="E32" i="157"/>
  <c r="F5" i="166"/>
  <c r="F4" i="166"/>
  <c r="G4" i="166" l="1"/>
  <c r="H4" i="166"/>
  <c r="G5" i="166"/>
  <c r="H5" i="166"/>
  <c r="E23" i="157"/>
  <c r="F18" i="159"/>
  <c r="F19" i="159"/>
  <c r="H19" i="159" s="1"/>
  <c r="D16" i="157"/>
  <c r="D11" i="157"/>
  <c r="D9" i="157"/>
  <c r="H18" i="159" l="1"/>
  <c r="H20" i="159" s="1"/>
  <c r="F20" i="159"/>
  <c r="F25" i="166"/>
  <c r="F26" i="166"/>
  <c r="F403" i="157"/>
  <c r="F402" i="157"/>
  <c r="F401" i="157"/>
  <c r="F400" i="157"/>
  <c r="F399" i="157"/>
  <c r="F398" i="157"/>
  <c r="F397" i="157"/>
  <c r="F396" i="157"/>
  <c r="F395" i="157"/>
  <c r="F394" i="157"/>
  <c r="F393" i="157"/>
  <c r="F392" i="157"/>
  <c r="F391" i="157"/>
  <c r="F390" i="157"/>
  <c r="F389" i="157"/>
  <c r="F388" i="157"/>
  <c r="F387" i="157"/>
  <c r="F386" i="157"/>
  <c r="F385" i="157"/>
  <c r="F384" i="157"/>
  <c r="F383" i="157"/>
  <c r="F382" i="157"/>
  <c r="F381" i="157"/>
  <c r="F380" i="157"/>
  <c r="F379" i="157"/>
  <c r="F378" i="157"/>
  <c r="F377" i="157"/>
  <c r="F376" i="157"/>
  <c r="F375" i="157"/>
  <c r="F374" i="157"/>
  <c r="F373" i="157"/>
  <c r="F372" i="157"/>
  <c r="F371" i="157"/>
  <c r="F370" i="157"/>
  <c r="F369" i="157"/>
  <c r="F368" i="157"/>
  <c r="F367" i="157"/>
  <c r="F366" i="157"/>
  <c r="F365" i="157"/>
  <c r="F362" i="157"/>
  <c r="F361" i="157"/>
  <c r="F360" i="157"/>
  <c r="F359" i="157"/>
  <c r="F358" i="157"/>
  <c r="F357" i="157"/>
  <c r="F356" i="157"/>
  <c r="F355" i="157"/>
  <c r="F354" i="157"/>
  <c r="F353" i="157"/>
  <c r="F352" i="157"/>
  <c r="F351" i="157"/>
  <c r="F350" i="157"/>
  <c r="F349" i="157"/>
  <c r="F348" i="157"/>
  <c r="F347" i="157"/>
  <c r="F346" i="157"/>
  <c r="F345" i="157"/>
  <c r="F344" i="157"/>
  <c r="F343" i="157"/>
  <c r="F342" i="157"/>
  <c r="F341" i="157"/>
  <c r="F340" i="157"/>
  <c r="F339" i="157"/>
  <c r="F338" i="157"/>
  <c r="F337" i="157"/>
  <c r="F336" i="157"/>
  <c r="F335" i="157"/>
  <c r="F334" i="157"/>
  <c r="F333" i="157"/>
  <c r="F332" i="157"/>
  <c r="F331" i="157"/>
  <c r="F330" i="157"/>
  <c r="F327" i="157"/>
  <c r="F326" i="157"/>
  <c r="F325" i="157"/>
  <c r="F324" i="157"/>
  <c r="F323" i="157"/>
  <c r="F322" i="157"/>
  <c r="F321" i="157"/>
  <c r="F320" i="157"/>
  <c r="F319" i="157"/>
  <c r="F318" i="157"/>
  <c r="F317" i="157"/>
  <c r="F316" i="157"/>
  <c r="F315" i="157"/>
  <c r="F314" i="157"/>
  <c r="F313" i="157"/>
  <c r="F312" i="157"/>
  <c r="F311" i="157"/>
  <c r="F310" i="157"/>
  <c r="F309" i="157"/>
  <c r="F308" i="157"/>
  <c r="F307" i="157"/>
  <c r="F306" i="157"/>
  <c r="F305" i="157"/>
  <c r="F304" i="157"/>
  <c r="F303" i="157"/>
  <c r="F302" i="157"/>
  <c r="F301" i="157"/>
  <c r="F300" i="157"/>
  <c r="F299" i="157"/>
  <c r="F298" i="157"/>
  <c r="F297" i="157"/>
  <c r="F296" i="157"/>
  <c r="F295" i="157"/>
  <c r="F294" i="157"/>
  <c r="F293" i="157"/>
  <c r="F292" i="157"/>
  <c r="F291" i="157"/>
  <c r="F290" i="157"/>
  <c r="F289" i="157"/>
  <c r="F286" i="157"/>
  <c r="F285" i="157"/>
  <c r="F284" i="157"/>
  <c r="F283" i="157"/>
  <c r="F282" i="157"/>
  <c r="F281" i="157"/>
  <c r="F280" i="157"/>
  <c r="F279" i="157"/>
  <c r="F278" i="157"/>
  <c r="F277" i="157"/>
  <c r="F276" i="157"/>
  <c r="F275" i="157"/>
  <c r="F274" i="157"/>
  <c r="F273" i="157"/>
  <c r="F272" i="157"/>
  <c r="F271" i="157"/>
  <c r="F270" i="157"/>
  <c r="F269" i="157"/>
  <c r="F268" i="157"/>
  <c r="F267" i="157"/>
  <c r="F266" i="157"/>
  <c r="F265" i="157"/>
  <c r="F264" i="157"/>
  <c r="F263" i="157"/>
  <c r="F262" i="157"/>
  <c r="F261" i="157"/>
  <c r="F260" i="157"/>
  <c r="F259" i="157"/>
  <c r="F256" i="157"/>
  <c r="F255" i="157"/>
  <c r="F254" i="157"/>
  <c r="F253" i="157"/>
  <c r="F252" i="157"/>
  <c r="F251" i="157"/>
  <c r="F250" i="157"/>
  <c r="F249" i="157"/>
  <c r="F248" i="157"/>
  <c r="F247" i="157"/>
  <c r="F246" i="157"/>
  <c r="F245" i="157"/>
  <c r="F244" i="157"/>
  <c r="F243" i="157"/>
  <c r="F242" i="157"/>
  <c r="F241" i="157"/>
  <c r="F240" i="157"/>
  <c r="F239" i="157"/>
  <c r="F238" i="157"/>
  <c r="F237" i="157"/>
  <c r="F236" i="157"/>
  <c r="F235" i="157"/>
  <c r="F234" i="157"/>
  <c r="F233" i="157"/>
  <c r="F232" i="157"/>
  <c r="F231" i="157"/>
  <c r="F230" i="157"/>
  <c r="F229" i="157"/>
  <c r="F223" i="157"/>
  <c r="F222" i="157"/>
  <c r="F221" i="157"/>
  <c r="F220" i="157"/>
  <c r="F219" i="157"/>
  <c r="F218" i="157"/>
  <c r="F217" i="157"/>
  <c r="F216" i="157"/>
  <c r="F215" i="157"/>
  <c r="F214" i="157"/>
  <c r="F213" i="157"/>
  <c r="F212" i="157"/>
  <c r="F211" i="157"/>
  <c r="F210" i="157"/>
  <c r="F209" i="157"/>
  <c r="F208" i="157"/>
  <c r="F205" i="157"/>
  <c r="F204" i="157"/>
  <c r="F203" i="157"/>
  <c r="F202" i="157"/>
  <c r="F201" i="157"/>
  <c r="F200" i="157"/>
  <c r="F199" i="157"/>
  <c r="F198" i="157"/>
  <c r="F197" i="157"/>
  <c r="F196" i="157"/>
  <c r="F195" i="157"/>
  <c r="F194" i="157"/>
  <c r="F193" i="157"/>
  <c r="F192" i="157"/>
  <c r="F191" i="157"/>
  <c r="F190" i="157"/>
  <c r="F189" i="157"/>
  <c r="F188" i="157"/>
  <c r="F187" i="157"/>
  <c r="F186" i="157"/>
  <c r="F185" i="157"/>
  <c r="F184" i="157"/>
  <c r="F183" i="157"/>
  <c r="F182" i="157"/>
  <c r="F181" i="157"/>
  <c r="F180" i="157"/>
  <c r="F179" i="157"/>
  <c r="F178" i="157"/>
  <c r="F177" i="157"/>
  <c r="F176" i="157"/>
  <c r="F175" i="157"/>
  <c r="F174" i="157"/>
  <c r="F173" i="157"/>
  <c r="F172" i="157"/>
  <c r="F171" i="157"/>
  <c r="F170" i="157"/>
  <c r="F169" i="157"/>
  <c r="F168" i="157"/>
  <c r="F167" i="157"/>
  <c r="F164" i="157"/>
  <c r="F163" i="157"/>
  <c r="F162" i="157"/>
  <c r="F161" i="157"/>
  <c r="F160" i="157"/>
  <c r="F159" i="157"/>
  <c r="F158" i="157"/>
  <c r="F157" i="157"/>
  <c r="F156" i="157"/>
  <c r="F155" i="157"/>
  <c r="F154" i="157"/>
  <c r="F153" i="157"/>
  <c r="F152" i="157"/>
  <c r="F151" i="157"/>
  <c r="F150" i="157"/>
  <c r="F149" i="157"/>
  <c r="F148" i="157"/>
  <c r="F147" i="157"/>
  <c r="F146" i="157"/>
  <c r="F145" i="157"/>
  <c r="F144" i="157"/>
  <c r="F143" i="157"/>
  <c r="F142" i="157"/>
  <c r="F141" i="157"/>
  <c r="F140" i="157"/>
  <c r="F139" i="157"/>
  <c r="F138" i="157"/>
  <c r="F137" i="157"/>
  <c r="F136" i="157"/>
  <c r="F133" i="157"/>
  <c r="F132" i="157"/>
  <c r="F131" i="157"/>
  <c r="F130" i="157"/>
  <c r="F129" i="157"/>
  <c r="F128" i="157"/>
  <c r="F127" i="157"/>
  <c r="F126" i="157"/>
  <c r="F125" i="157"/>
  <c r="F124" i="157"/>
  <c r="F123" i="157"/>
  <c r="F122" i="157"/>
  <c r="F121" i="157"/>
  <c r="F120" i="157"/>
  <c r="F119" i="157"/>
  <c r="F118" i="157"/>
  <c r="F117" i="157"/>
  <c r="F116" i="157"/>
  <c r="F115" i="157"/>
  <c r="F114" i="157"/>
  <c r="F113" i="157"/>
  <c r="F112" i="157"/>
  <c r="F111" i="157"/>
  <c r="F110" i="157"/>
  <c r="F109" i="157"/>
  <c r="F108" i="157"/>
  <c r="F107" i="157"/>
  <c r="F106" i="157"/>
  <c r="F105" i="157"/>
  <c r="F104" i="157"/>
  <c r="F103" i="157"/>
  <c r="F102" i="157"/>
  <c r="F101" i="157"/>
  <c r="F100" i="157"/>
  <c r="F99" i="157"/>
  <c r="F98" i="157"/>
  <c r="F97" i="157"/>
  <c r="F96" i="157"/>
  <c r="F95" i="157"/>
  <c r="F94" i="157"/>
  <c r="F93" i="157"/>
  <c r="F92" i="157"/>
  <c r="F91" i="157"/>
  <c r="F90" i="157"/>
  <c r="F89" i="157"/>
  <c r="F88" i="157"/>
  <c r="F87" i="157"/>
  <c r="F86" i="157"/>
  <c r="F85" i="157"/>
  <c r="F82" i="157"/>
  <c r="F81" i="157"/>
  <c r="F80" i="157"/>
  <c r="F79" i="157"/>
  <c r="F78" i="157"/>
  <c r="F77" i="157"/>
  <c r="F76" i="157"/>
  <c r="F75" i="157"/>
  <c r="F74" i="157"/>
  <c r="F73" i="157"/>
  <c r="F72" i="157"/>
  <c r="F71" i="157"/>
  <c r="F70" i="157"/>
  <c r="F69" i="157"/>
  <c r="F68" i="157"/>
  <c r="F67" i="157"/>
  <c r="F66" i="157"/>
  <c r="F65" i="157"/>
  <c r="F64" i="157"/>
  <c r="F63" i="157"/>
  <c r="F62" i="157"/>
  <c r="F61" i="157"/>
  <c r="F60" i="157"/>
  <c r="F59" i="157"/>
  <c r="F58" i="157"/>
  <c r="F57" i="157"/>
  <c r="F56" i="157"/>
  <c r="F55" i="157"/>
  <c r="F54" i="157"/>
  <c r="F53" i="157"/>
  <c r="F52" i="157"/>
  <c r="F51" i="157"/>
  <c r="F50" i="157"/>
  <c r="F49" i="157"/>
  <c r="F48" i="157"/>
  <c r="F47" i="157"/>
  <c r="F46" i="157"/>
  <c r="F45" i="157"/>
  <c r="F44" i="157"/>
  <c r="F43" i="157"/>
  <c r="F42" i="157"/>
  <c r="F41" i="157"/>
  <c r="F40" i="157"/>
  <c r="F39" i="157"/>
  <c r="F38" i="157"/>
  <c r="F37" i="157"/>
  <c r="F36" i="157"/>
  <c r="F35" i="157"/>
  <c r="F34" i="157"/>
  <c r="F33" i="157"/>
  <c r="F32" i="157"/>
  <c r="F224" i="157" l="1"/>
  <c r="F3" i="157" s="1"/>
  <c r="F404" i="157"/>
  <c r="F4" i="157" s="1"/>
  <c r="G4" i="157" s="1"/>
  <c r="G21" i="159" l="1"/>
  <c r="G3" i="157"/>
  <c r="G22" i="159"/>
  <c r="F22" i="159" s="1"/>
  <c r="H22" i="159" s="1"/>
  <c r="F21" i="159"/>
  <c r="D68" i="153"/>
  <c r="D65" i="153"/>
  <c r="F23" i="159" l="1"/>
  <c r="G23" i="159"/>
  <c r="H21" i="159"/>
  <c r="H23" i="159" s="1"/>
  <c r="C68" i="167"/>
  <c r="C67" i="167"/>
  <c r="C69" i="167" s="1"/>
  <c r="C64" i="167"/>
  <c r="C63" i="167"/>
  <c r="C28" i="167"/>
  <c r="C12" i="167"/>
  <c r="C11" i="167"/>
  <c r="C13" i="167" s="1"/>
  <c r="G20" i="155" l="1"/>
  <c r="F20" i="155"/>
  <c r="E20" i="155"/>
  <c r="E19" i="155"/>
  <c r="G9" i="155"/>
  <c r="F9" i="155"/>
  <c r="E9" i="155"/>
  <c r="E8" i="155"/>
  <c r="M8" i="161" l="1"/>
  <c r="M9" i="161"/>
  <c r="M10" i="161"/>
  <c r="M7" i="161"/>
  <c r="M5" i="161"/>
  <c r="M6" i="161"/>
  <c r="M4" i="161"/>
  <c r="P27" i="155"/>
  <c r="P28" i="155"/>
  <c r="P29" i="155"/>
  <c r="P30" i="155"/>
  <c r="P31" i="155"/>
  <c r="P32" i="155"/>
  <c r="P33" i="155"/>
  <c r="P26" i="155"/>
  <c r="P4" i="155"/>
  <c r="F59" i="153" l="1"/>
  <c r="H40" i="153" l="1"/>
  <c r="G40" i="153"/>
  <c r="H39" i="153"/>
  <c r="G39" i="153"/>
  <c r="F116" i="147" l="1"/>
  <c r="J114" i="147" l="1"/>
  <c r="J115" i="147"/>
  <c r="J116" i="147"/>
  <c r="J112" i="147"/>
  <c r="J111" i="147"/>
  <c r="J79" i="147"/>
  <c r="F81" i="153"/>
  <c r="J62" i="147"/>
  <c r="I42" i="147"/>
  <c r="I46" i="147"/>
  <c r="I45" i="147"/>
  <c r="I44" i="147"/>
  <c r="I40" i="147"/>
  <c r="F40" i="147"/>
  <c r="F41" i="147"/>
  <c r="F42" i="147"/>
  <c r="F43" i="147"/>
  <c r="F44" i="147"/>
  <c r="F39" i="147"/>
  <c r="I34" i="147"/>
  <c r="I35" i="147"/>
  <c r="I36" i="147"/>
  <c r="I37" i="147"/>
  <c r="I38" i="147"/>
  <c r="I33" i="147"/>
  <c r="I22" i="147"/>
  <c r="J22" i="147" s="1"/>
  <c r="J25" i="147"/>
  <c r="J26" i="147"/>
  <c r="J27" i="147"/>
  <c r="J28" i="147"/>
  <c r="J24" i="147"/>
  <c r="J21" i="147"/>
  <c r="J20" i="147"/>
  <c r="G47" i="153"/>
  <c r="G54" i="153" s="1"/>
  <c r="G18" i="159"/>
  <c r="G19" i="159" l="1"/>
  <c r="G20" i="159" s="1"/>
  <c r="K39" i="147"/>
  <c r="M42" i="147" l="1"/>
  <c r="M39" i="147"/>
  <c r="P34" i="155" l="1"/>
  <c r="P35" i="155"/>
  <c r="P36" i="155"/>
  <c r="P37" i="155"/>
  <c r="M117" i="147"/>
  <c r="N117" i="147"/>
  <c r="M89" i="147"/>
  <c r="M33" i="147"/>
  <c r="M8" i="147"/>
  <c r="M9" i="147" l="1"/>
  <c r="M10" i="147" s="1"/>
  <c r="M122" i="147" s="1"/>
  <c r="M70" i="147" l="1"/>
  <c r="M59" i="147"/>
  <c r="M102" i="147"/>
  <c r="L39" i="147" l="1"/>
  <c r="N39" i="147"/>
  <c r="M11" i="161" l="1"/>
  <c r="N96" i="147" s="1"/>
  <c r="M45" i="161"/>
  <c r="K96" i="147" l="1"/>
  <c r="M96" i="147"/>
  <c r="L96" i="147"/>
  <c r="P38" i="155" l="1"/>
  <c r="M95" i="147" s="1"/>
  <c r="N95" i="147" l="1"/>
  <c r="K95" i="147"/>
  <c r="L95" i="147"/>
  <c r="L117" i="147" l="1"/>
  <c r="K117" i="147"/>
  <c r="N8" i="147"/>
  <c r="L8" i="147"/>
  <c r="L9" i="147" s="1"/>
  <c r="K8" i="147"/>
  <c r="M47" i="147" l="1"/>
  <c r="K33" i="147"/>
  <c r="N33" i="147" l="1"/>
  <c r="L33" i="147"/>
  <c r="N89" i="147"/>
  <c r="L89" i="147"/>
  <c r="K89" i="147"/>
  <c r="J80" i="147"/>
  <c r="I63" i="147"/>
  <c r="M63" i="147" s="1"/>
  <c r="I60" i="147"/>
  <c r="M60" i="147" s="1"/>
  <c r="J45" i="147"/>
  <c r="M45" i="147" s="1"/>
  <c r="J37" i="147"/>
  <c r="M37" i="147" s="1"/>
  <c r="J35" i="147"/>
  <c r="M35" i="147" s="1"/>
  <c r="J15" i="147"/>
  <c r="M15" i="147" s="1"/>
  <c r="J14" i="147"/>
  <c r="M14" i="147" s="1"/>
  <c r="M135" i="147" l="1"/>
  <c r="M16" i="147"/>
  <c r="M49" i="147"/>
  <c r="M55" i="147" s="1"/>
  <c r="M61" i="147"/>
  <c r="M62" i="147" s="1"/>
  <c r="J29" i="147"/>
  <c r="M22" i="147"/>
  <c r="K35" i="147"/>
  <c r="L35" i="147"/>
  <c r="K45" i="147"/>
  <c r="N45" i="147"/>
  <c r="L45" i="147"/>
  <c r="K37" i="147"/>
  <c r="N37" i="147"/>
  <c r="L37" i="147"/>
  <c r="J16" i="147"/>
  <c r="N35" i="147"/>
  <c r="M136" i="147" l="1"/>
  <c r="M137" i="147" s="1"/>
  <c r="M20" i="147"/>
  <c r="M26" i="147"/>
  <c r="M24" i="147"/>
  <c r="M53" i="147"/>
  <c r="M28" i="147"/>
  <c r="M65" i="147" s="1"/>
  <c r="M27" i="147"/>
  <c r="M25" i="147"/>
  <c r="M21" i="147"/>
  <c r="I64" i="147"/>
  <c r="M64" i="147" s="1"/>
  <c r="K9" i="147"/>
  <c r="K10" i="147" s="1"/>
  <c r="K122" i="147" s="1"/>
  <c r="M29" i="147" l="1"/>
  <c r="M54" i="147" s="1"/>
  <c r="M56" i="147" s="1"/>
  <c r="M103" i="147" s="1"/>
  <c r="M66" i="147"/>
  <c r="M67" i="147" s="1"/>
  <c r="M104" i="147" s="1"/>
  <c r="M123" i="147"/>
  <c r="K102" i="147"/>
  <c r="K70" i="147"/>
  <c r="K59" i="147"/>
  <c r="K14" i="147"/>
  <c r="K63" i="147"/>
  <c r="K15" i="147"/>
  <c r="L10" i="147"/>
  <c r="M72" i="147" l="1"/>
  <c r="M71" i="147"/>
  <c r="M73" i="147" s="1"/>
  <c r="M79" i="147" s="1"/>
  <c r="M138" i="147"/>
  <c r="M134" i="147" s="1"/>
  <c r="M124" i="147"/>
  <c r="L122" i="147"/>
  <c r="L102" i="147"/>
  <c r="L70" i="147"/>
  <c r="L59" i="147"/>
  <c r="L14" i="147"/>
  <c r="L135" i="147" s="1"/>
  <c r="L63" i="147"/>
  <c r="L15" i="147"/>
  <c r="K60" i="147"/>
  <c r="K61" i="147" s="1"/>
  <c r="K64" i="147"/>
  <c r="K135" i="147"/>
  <c r="K16" i="147"/>
  <c r="N9" i="147"/>
  <c r="N10" i="147" s="1"/>
  <c r="M78" i="147" l="1"/>
  <c r="M80" i="147" s="1"/>
  <c r="M88" i="147" s="1"/>
  <c r="M90" i="147" s="1"/>
  <c r="M105" i="147" s="1"/>
  <c r="K62" i="147"/>
  <c r="N70" i="147"/>
  <c r="N102" i="147"/>
  <c r="N59" i="147"/>
  <c r="N122" i="147"/>
  <c r="N14" i="147"/>
  <c r="N15" i="147"/>
  <c r="N63" i="147"/>
  <c r="K136" i="147"/>
  <c r="K137" i="147" s="1"/>
  <c r="K53" i="147"/>
  <c r="K26" i="147"/>
  <c r="K28" i="147"/>
  <c r="K65" i="147" s="1"/>
  <c r="K66" i="147" s="1"/>
  <c r="K22" i="147"/>
  <c r="K25" i="147"/>
  <c r="K24" i="147"/>
  <c r="K27" i="147"/>
  <c r="K21" i="147"/>
  <c r="K20" i="147"/>
  <c r="L64" i="147"/>
  <c r="L16" i="147"/>
  <c r="L60" i="147"/>
  <c r="L61" i="147" s="1"/>
  <c r="M125" i="147" l="1"/>
  <c r="L136" i="147"/>
  <c r="L20" i="147"/>
  <c r="K67" i="147"/>
  <c r="K104" i="147" s="1"/>
  <c r="K29" i="147"/>
  <c r="K54" i="147" s="1"/>
  <c r="N135" i="147"/>
  <c r="N16" i="147"/>
  <c r="N60" i="147"/>
  <c r="N61" i="147" s="1"/>
  <c r="L53" i="147"/>
  <c r="L28" i="147"/>
  <c r="L65" i="147" s="1"/>
  <c r="L66" i="147" s="1"/>
  <c r="L22" i="147"/>
  <c r="L25" i="147"/>
  <c r="L26" i="147"/>
  <c r="L24" i="147"/>
  <c r="L21" i="147"/>
  <c r="L27" i="147"/>
  <c r="L62" i="147"/>
  <c r="N64" i="147"/>
  <c r="L137" i="147" l="1"/>
  <c r="K138" i="147"/>
  <c r="K134" i="147" s="1"/>
  <c r="K72" i="147"/>
  <c r="K124" i="147"/>
  <c r="N62" i="147"/>
  <c r="L29" i="147"/>
  <c r="L54" i="147" s="1"/>
  <c r="L67" i="147"/>
  <c r="L138" i="147" s="1"/>
  <c r="L134" i="147" s="1"/>
  <c r="N136" i="147"/>
  <c r="N53" i="147"/>
  <c r="N27" i="147"/>
  <c r="N21" i="147"/>
  <c r="N20" i="147"/>
  <c r="N22" i="147"/>
  <c r="N26" i="147"/>
  <c r="N24" i="147"/>
  <c r="N25" i="147"/>
  <c r="N28" i="147"/>
  <c r="N65" i="147" s="1"/>
  <c r="N66" i="147" s="1"/>
  <c r="N67" i="147" l="1"/>
  <c r="N124" i="147" s="1"/>
  <c r="L124" i="147"/>
  <c r="L72" i="147"/>
  <c r="L104" i="147"/>
  <c r="N29" i="147"/>
  <c r="N54" i="147" s="1"/>
  <c r="N137" i="147"/>
  <c r="N138" i="147" l="1"/>
  <c r="N134" i="147" s="1"/>
  <c r="N72" i="147"/>
  <c r="N104" i="147"/>
  <c r="P20" i="155"/>
  <c r="P19" i="155"/>
  <c r="P18" i="155"/>
  <c r="P17" i="155"/>
  <c r="P16" i="155"/>
  <c r="P15" i="155"/>
  <c r="P9" i="155"/>
  <c r="P8" i="155"/>
  <c r="P7" i="155"/>
  <c r="P6" i="155"/>
  <c r="P5" i="155"/>
  <c r="P21" i="155" l="1"/>
  <c r="P10" i="155"/>
  <c r="L47" i="147"/>
  <c r="L49" i="147" s="1"/>
  <c r="L55" i="147" s="1"/>
  <c r="L56" i="147" s="1"/>
  <c r="N47" i="147"/>
  <c r="N49" i="147" s="1"/>
  <c r="N55" i="147" s="1"/>
  <c r="N56" i="147" s="1"/>
  <c r="K94" i="147" l="1"/>
  <c r="K99" i="147" s="1"/>
  <c r="M94" i="147"/>
  <c r="M99" i="147" s="1"/>
  <c r="L94" i="147"/>
  <c r="L99" i="147" s="1"/>
  <c r="N94" i="147"/>
  <c r="N99" i="147" s="1"/>
  <c r="N103" i="147"/>
  <c r="N123" i="147"/>
  <c r="N71" i="147"/>
  <c r="N73" i="147" s="1"/>
  <c r="K47" i="147"/>
  <c r="K49" i="147" s="1"/>
  <c r="K55" i="147" s="1"/>
  <c r="K56" i="147" s="1"/>
  <c r="K103" i="147" s="1"/>
  <c r="L123" i="147"/>
  <c r="L71" i="147"/>
  <c r="L73" i="147" s="1"/>
  <c r="L103" i="147"/>
  <c r="M106" i="147" l="1"/>
  <c r="M107" i="147" s="1"/>
  <c r="M111" i="147" s="1"/>
  <c r="M126" i="147"/>
  <c r="M127" i="147" s="1"/>
  <c r="K123" i="147"/>
  <c r="N78" i="147"/>
  <c r="N79" i="147"/>
  <c r="K71" i="147"/>
  <c r="K73" i="147" s="1"/>
  <c r="K78" i="147" s="1"/>
  <c r="N106" i="147"/>
  <c r="N126" i="147"/>
  <c r="L106" i="147"/>
  <c r="L126" i="147"/>
  <c r="K126" i="147"/>
  <c r="K106" i="147"/>
  <c r="L79" i="147"/>
  <c r="L78" i="147"/>
  <c r="D30" i="141"/>
  <c r="D14" i="141"/>
  <c r="D13" i="141"/>
  <c r="D15" i="141" s="1"/>
  <c r="M112" i="147" l="1"/>
  <c r="M113" i="147" s="1"/>
  <c r="L80" i="147"/>
  <c r="L88" i="147" s="1"/>
  <c r="L90" i="147" s="1"/>
  <c r="L105" i="147" s="1"/>
  <c r="L107" i="147" s="1"/>
  <c r="N80" i="147"/>
  <c r="N88" i="147" s="1"/>
  <c r="N90" i="147" s="1"/>
  <c r="N105" i="147" s="1"/>
  <c r="N107" i="147" s="1"/>
  <c r="N111" i="147" s="1"/>
  <c r="N112" i="147" s="1"/>
  <c r="N113" i="147" s="1"/>
  <c r="N119" i="147" s="1"/>
  <c r="N128" i="147" s="1"/>
  <c r="K79" i="147"/>
  <c r="K80" i="147" s="1"/>
  <c r="K88" i="147" s="1"/>
  <c r="K90" i="147" s="1"/>
  <c r="K125" i="147" s="1"/>
  <c r="K127" i="147" s="1"/>
  <c r="J76" i="74"/>
  <c r="J74" i="74"/>
  <c r="J6" i="74"/>
  <c r="I116" i="74"/>
  <c r="I114" i="74"/>
  <c r="J109" i="74"/>
  <c r="J108" i="74"/>
  <c r="N85" i="74"/>
  <c r="N89" i="74" s="1"/>
  <c r="M85" i="74"/>
  <c r="M89" i="74" s="1"/>
  <c r="L85" i="74"/>
  <c r="L89" i="74" s="1"/>
  <c r="K85" i="74"/>
  <c r="K89" i="74" s="1"/>
  <c r="I76" i="74"/>
  <c r="I75" i="74"/>
  <c r="I74" i="74"/>
  <c r="I73" i="74"/>
  <c r="I72" i="74"/>
  <c r="I71" i="74"/>
  <c r="J37" i="74"/>
  <c r="J36" i="74"/>
  <c r="J35" i="74"/>
  <c r="J34" i="74"/>
  <c r="J33" i="74"/>
  <c r="J31" i="74"/>
  <c r="J30" i="74"/>
  <c r="J22" i="74"/>
  <c r="J21" i="74"/>
  <c r="N15" i="74"/>
  <c r="M15" i="74"/>
  <c r="L15" i="74"/>
  <c r="K15" i="74"/>
  <c r="N12" i="74"/>
  <c r="L12" i="74"/>
  <c r="J10" i="74"/>
  <c r="J9" i="74"/>
  <c r="J8" i="74"/>
  <c r="J73" i="74"/>
  <c r="M6" i="72"/>
  <c r="P5" i="72" s="1"/>
  <c r="E14" i="72"/>
  <c r="I14" i="72" s="1"/>
  <c r="E15" i="72"/>
  <c r="I15" i="72" s="1"/>
  <c r="E16" i="72"/>
  <c r="I16" i="72" s="1"/>
  <c r="I17" i="72"/>
  <c r="H18" i="72"/>
  <c r="E20" i="72"/>
  <c r="I20" i="72"/>
  <c r="E21" i="72"/>
  <c r="I21" i="72"/>
  <c r="E22" i="72"/>
  <c r="I22" i="72"/>
  <c r="H23" i="72"/>
  <c r="E25" i="72"/>
  <c r="I25" i="72"/>
  <c r="E26" i="72"/>
  <c r="I26" i="72"/>
  <c r="E27" i="72"/>
  <c r="I27" i="72"/>
  <c r="H28" i="72"/>
  <c r="E30" i="72"/>
  <c r="I30" i="72"/>
  <c r="E31" i="72"/>
  <c r="I31" i="72"/>
  <c r="E32" i="72"/>
  <c r="I32" i="72"/>
  <c r="H33" i="72"/>
  <c r="E35" i="72"/>
  <c r="I35" i="72"/>
  <c r="E36" i="72"/>
  <c r="I36" i="72"/>
  <c r="E37" i="72"/>
  <c r="I37" i="72"/>
  <c r="H38" i="72"/>
  <c r="E40" i="72"/>
  <c r="I40" i="72"/>
  <c r="E41" i="72"/>
  <c r="I41" i="72"/>
  <c r="E42" i="72"/>
  <c r="I42" i="72"/>
  <c r="H43" i="72"/>
  <c r="E45" i="72"/>
  <c r="I45" i="72"/>
  <c r="E46" i="72"/>
  <c r="I46" i="72"/>
  <c r="E47" i="72"/>
  <c r="I47" i="72"/>
  <c r="H48" i="72"/>
  <c r="E50" i="72"/>
  <c r="I50" i="72"/>
  <c r="E51" i="72"/>
  <c r="I51" i="72"/>
  <c r="E52" i="72"/>
  <c r="I52" i="72"/>
  <c r="H53" i="72"/>
  <c r="E55" i="72"/>
  <c r="I55" i="72"/>
  <c r="E56" i="72"/>
  <c r="I56" i="72"/>
  <c r="E57" i="72"/>
  <c r="I57" i="72"/>
  <c r="H58" i="72"/>
  <c r="E60" i="72"/>
  <c r="I60" i="72"/>
  <c r="E61" i="72"/>
  <c r="I61" i="72"/>
  <c r="E62" i="72"/>
  <c r="I62" i="72"/>
  <c r="H63" i="72"/>
  <c r="E65" i="72"/>
  <c r="I65" i="72"/>
  <c r="E66" i="72"/>
  <c r="I66" i="72"/>
  <c r="E67" i="72"/>
  <c r="I67" i="72"/>
  <c r="H68" i="72"/>
  <c r="E70" i="72"/>
  <c r="I70" i="72"/>
  <c r="E71" i="72"/>
  <c r="I71" i="72"/>
  <c r="E72" i="72"/>
  <c r="I72" i="72"/>
  <c r="H73" i="72"/>
  <c r="E75" i="72"/>
  <c r="I75" i="72"/>
  <c r="E76" i="72"/>
  <c r="I76" i="72"/>
  <c r="E77" i="72"/>
  <c r="I77" i="72"/>
  <c r="H78" i="72"/>
  <c r="E80" i="72"/>
  <c r="I80" i="72"/>
  <c r="E81" i="72"/>
  <c r="I81" i="72"/>
  <c r="E82" i="72"/>
  <c r="I82" i="72"/>
  <c r="H83" i="72"/>
  <c r="E85" i="72"/>
  <c r="I85" i="72"/>
  <c r="E86" i="72"/>
  <c r="I86" i="72"/>
  <c r="E87" i="72"/>
  <c r="I87" i="72"/>
  <c r="H88" i="72"/>
  <c r="E90" i="72"/>
  <c r="I90" i="72"/>
  <c r="E91" i="72"/>
  <c r="G91" i="72" s="1"/>
  <c r="J91" i="72" s="1"/>
  <c r="I91" i="72"/>
  <c r="E92" i="72"/>
  <c r="G92" i="72" s="1"/>
  <c r="J92" i="72" s="1"/>
  <c r="I92" i="72"/>
  <c r="H93" i="72"/>
  <c r="E95" i="72"/>
  <c r="I95" i="72"/>
  <c r="E96" i="72"/>
  <c r="I96" i="72"/>
  <c r="E97" i="72"/>
  <c r="I97" i="72"/>
  <c r="H98" i="72"/>
  <c r="E100" i="72"/>
  <c r="I100" i="72"/>
  <c r="E101" i="72"/>
  <c r="I101" i="72"/>
  <c r="E102" i="72"/>
  <c r="I102" i="72"/>
  <c r="H103" i="72"/>
  <c r="E105" i="72"/>
  <c r="I105" i="72"/>
  <c r="E106" i="72"/>
  <c r="I106" i="72"/>
  <c r="E107" i="72"/>
  <c r="I107" i="72"/>
  <c r="H108" i="72"/>
  <c r="E110" i="72"/>
  <c r="I110" i="72"/>
  <c r="E111" i="72"/>
  <c r="I111" i="72"/>
  <c r="E112" i="72"/>
  <c r="I112" i="72"/>
  <c r="H113" i="72"/>
  <c r="E115" i="72"/>
  <c r="I115" i="72"/>
  <c r="E116" i="72"/>
  <c r="I116" i="72"/>
  <c r="E117" i="72"/>
  <c r="I117" i="72"/>
  <c r="H118" i="72"/>
  <c r="F57" i="72"/>
  <c r="G57" i="72" s="1"/>
  <c r="J57" i="72" s="1"/>
  <c r="F55" i="72"/>
  <c r="F56" i="72" s="1"/>
  <c r="F82" i="72"/>
  <c r="G82" i="72" s="1"/>
  <c r="J82" i="72" s="1"/>
  <c r="F80" i="72"/>
  <c r="F81" i="72" s="1"/>
  <c r="G81" i="72" s="1"/>
  <c r="J81" i="72" s="1"/>
  <c r="F70" i="72"/>
  <c r="F90" i="72"/>
  <c r="F42" i="72"/>
  <c r="G42" i="72" s="1"/>
  <c r="J42" i="72" s="1"/>
  <c r="F97" i="72"/>
  <c r="F67" i="72"/>
  <c r="F37" i="72"/>
  <c r="F32" i="72"/>
  <c r="G32" i="72" s="1"/>
  <c r="J32" i="72" s="1"/>
  <c r="F45" i="72"/>
  <c r="F46" i="72" s="1"/>
  <c r="F85" i="72"/>
  <c r="F86" i="72" s="1"/>
  <c r="G86" i="72" s="1"/>
  <c r="J86" i="72" s="1"/>
  <c r="F65" i="72"/>
  <c r="F66" i="72" s="1"/>
  <c r="F110" i="72"/>
  <c r="F111" i="72" s="1"/>
  <c r="F52" i="72"/>
  <c r="G52" i="72" s="1"/>
  <c r="J52" i="72" s="1"/>
  <c r="F107" i="72"/>
  <c r="F115" i="72"/>
  <c r="F116" i="72" s="1"/>
  <c r="F62" i="72"/>
  <c r="F60" i="72"/>
  <c r="F117" i="72"/>
  <c r="F87" i="72"/>
  <c r="F100" i="72"/>
  <c r="F101" i="72" s="1"/>
  <c r="F35" i="72"/>
  <c r="F102" i="72"/>
  <c r="F30" i="72"/>
  <c r="F95" i="72"/>
  <c r="F96" i="72" s="1"/>
  <c r="F105" i="72"/>
  <c r="F106" i="72" s="1"/>
  <c r="F112" i="72"/>
  <c r="F77" i="72"/>
  <c r="G77" i="72" s="1"/>
  <c r="J77" i="72" s="1"/>
  <c r="F40" i="72"/>
  <c r="F47" i="72"/>
  <c r="F72" i="72"/>
  <c r="F75" i="72"/>
  <c r="F76" i="72" s="1"/>
  <c r="F50" i="72"/>
  <c r="F51" i="72" s="1"/>
  <c r="F22" i="72"/>
  <c r="F25" i="72"/>
  <c r="F27" i="72"/>
  <c r="F20" i="72"/>
  <c r="F21" i="72" s="1"/>
  <c r="G21" i="72" s="1"/>
  <c r="J21" i="72" s="1"/>
  <c r="I112" i="74"/>
  <c r="I111" i="74"/>
  <c r="J110" i="74" s="1"/>
  <c r="J72" i="74"/>
  <c r="N94" i="74"/>
  <c r="M94" i="74"/>
  <c r="J75" i="74"/>
  <c r="J71" i="74"/>
  <c r="J81" i="74" s="1"/>
  <c r="J56" i="74"/>
  <c r="J59" i="74"/>
  <c r="M44" i="74"/>
  <c r="J57" i="74"/>
  <c r="J58" i="74"/>
  <c r="N43" i="74"/>
  <c r="K45" i="74"/>
  <c r="J61" i="74"/>
  <c r="J60" i="74"/>
  <c r="K44" i="74"/>
  <c r="G111" i="72" l="1"/>
  <c r="J111" i="72" s="1"/>
  <c r="G46" i="72"/>
  <c r="J46" i="72" s="1"/>
  <c r="G62" i="72"/>
  <c r="J62" i="72" s="1"/>
  <c r="M119" i="147"/>
  <c r="M128" i="147" s="1"/>
  <c r="M129" i="147" s="1"/>
  <c r="L125" i="147"/>
  <c r="L127" i="147" s="1"/>
  <c r="N125" i="147"/>
  <c r="N127" i="147" s="1"/>
  <c r="N129" i="147" s="1"/>
  <c r="F16" i="159" s="1"/>
  <c r="F17" i="159" s="1"/>
  <c r="K105" i="147"/>
  <c r="K107" i="147" s="1"/>
  <c r="K111" i="147" s="1"/>
  <c r="L111" i="147"/>
  <c r="G87" i="72"/>
  <c r="J87" i="72" s="1"/>
  <c r="G30" i="72"/>
  <c r="J30" i="72" s="1"/>
  <c r="J33" i="72" s="1"/>
  <c r="G25" i="72"/>
  <c r="J25" i="72" s="1"/>
  <c r="J28" i="72" s="1"/>
  <c r="G72" i="72"/>
  <c r="J72" i="72" s="1"/>
  <c r="G112" i="72"/>
  <c r="J112" i="72" s="1"/>
  <c r="J23" i="74"/>
  <c r="G50" i="72"/>
  <c r="J50" i="72" s="1"/>
  <c r="J53" i="72" s="1"/>
  <c r="G47" i="72"/>
  <c r="J47" i="72" s="1"/>
  <c r="G70" i="72"/>
  <c r="J70" i="72" s="1"/>
  <c r="J73" i="72" s="1"/>
  <c r="G55" i="72"/>
  <c r="J55" i="72" s="1"/>
  <c r="J58" i="72" s="1"/>
  <c r="G100" i="72"/>
  <c r="J100" i="72" s="1"/>
  <c r="J103" i="72" s="1"/>
  <c r="I88" i="72"/>
  <c r="G20" i="72"/>
  <c r="J20" i="72" s="1"/>
  <c r="J23" i="72" s="1"/>
  <c r="G105" i="72"/>
  <c r="J105" i="72" s="1"/>
  <c r="J108" i="72" s="1"/>
  <c r="G35" i="72"/>
  <c r="J35" i="72" s="1"/>
  <c r="J38" i="72" s="1"/>
  <c r="G37" i="72"/>
  <c r="J37" i="72" s="1"/>
  <c r="G45" i="72"/>
  <c r="J45" i="72" s="1"/>
  <c r="J48" i="72" s="1"/>
  <c r="I33" i="72"/>
  <c r="G80" i="72"/>
  <c r="J80" i="72" s="1"/>
  <c r="J83" i="72" s="1"/>
  <c r="I28" i="72"/>
  <c r="G22" i="72"/>
  <c r="J22" i="72" s="1"/>
  <c r="G116" i="72"/>
  <c r="J116" i="72" s="1"/>
  <c r="I53" i="72"/>
  <c r="I48" i="72"/>
  <c r="G107" i="72"/>
  <c r="J107" i="72" s="1"/>
  <c r="G65" i="72"/>
  <c r="J65" i="72" s="1"/>
  <c r="J68" i="72" s="1"/>
  <c r="G67" i="72"/>
  <c r="J67" i="72" s="1"/>
  <c r="G56" i="72"/>
  <c r="J56" i="72" s="1"/>
  <c r="I113" i="72"/>
  <c r="I103" i="72"/>
  <c r="G97" i="72"/>
  <c r="J97" i="72" s="1"/>
  <c r="I78" i="72"/>
  <c r="I58" i="72"/>
  <c r="I38" i="72"/>
  <c r="I68" i="72"/>
  <c r="I73" i="72"/>
  <c r="G96" i="72"/>
  <c r="J96" i="72" s="1"/>
  <c r="G27" i="72"/>
  <c r="J27" i="72" s="1"/>
  <c r="G76" i="72"/>
  <c r="J76" i="72" s="1"/>
  <c r="G40" i="72"/>
  <c r="J40" i="72" s="1"/>
  <c r="J43" i="72" s="1"/>
  <c r="G101" i="72"/>
  <c r="J101" i="72" s="1"/>
  <c r="G60" i="72"/>
  <c r="J60" i="72" s="1"/>
  <c r="J63" i="72" s="1"/>
  <c r="I118" i="72"/>
  <c r="I83" i="72"/>
  <c r="G66" i="72"/>
  <c r="J66" i="72" s="1"/>
  <c r="I63" i="72"/>
  <c r="I43" i="72"/>
  <c r="I23" i="72"/>
  <c r="F36" i="72"/>
  <c r="G36" i="72" s="1"/>
  <c r="J36" i="72" s="1"/>
  <c r="G75" i="72"/>
  <c r="J75" i="72" s="1"/>
  <c r="J78" i="72" s="1"/>
  <c r="F41" i="72"/>
  <c r="G41" i="72" s="1"/>
  <c r="J41" i="72" s="1"/>
  <c r="G106" i="72"/>
  <c r="J106" i="72" s="1"/>
  <c r="G117" i="72"/>
  <c r="J117" i="72" s="1"/>
  <c r="G102" i="72"/>
  <c r="J102" i="72" s="1"/>
  <c r="I98" i="72"/>
  <c r="G85" i="72"/>
  <c r="J85" i="72" s="1"/>
  <c r="J88" i="72" s="1"/>
  <c r="F71" i="72"/>
  <c r="G71" i="72" s="1"/>
  <c r="J71" i="72" s="1"/>
  <c r="G51" i="72"/>
  <c r="J51" i="72" s="1"/>
  <c r="G95" i="72"/>
  <c r="J95" i="72" s="1"/>
  <c r="J98" i="72" s="1"/>
  <c r="G110" i="72"/>
  <c r="J110" i="72" s="1"/>
  <c r="J113" i="72" s="1"/>
  <c r="I108" i="72"/>
  <c r="I93" i="72"/>
  <c r="I18" i="72"/>
  <c r="F61" i="72"/>
  <c r="G61" i="72" s="1"/>
  <c r="J61" i="72" s="1"/>
  <c r="F26" i="72"/>
  <c r="G26" i="72" s="1"/>
  <c r="J26" i="72" s="1"/>
  <c r="G115" i="72"/>
  <c r="J115" i="72" s="1"/>
  <c r="J118" i="72" s="1"/>
  <c r="J119" i="72" s="1"/>
  <c r="F31" i="72"/>
  <c r="G31" i="72" s="1"/>
  <c r="J31" i="72" s="1"/>
  <c r="G90" i="72"/>
  <c r="J90" i="72" s="1"/>
  <c r="J93" i="72" s="1"/>
  <c r="N41" i="74"/>
  <c r="L47" i="74"/>
  <c r="K46" i="74"/>
  <c r="M46" i="74"/>
  <c r="N46" i="74"/>
  <c r="M47" i="74"/>
  <c r="N47" i="74"/>
  <c r="K47" i="74"/>
  <c r="J77" i="74"/>
  <c r="J78" i="74" s="1"/>
  <c r="M41" i="74"/>
  <c r="L42" i="74"/>
  <c r="L46" i="74"/>
  <c r="N45" i="74"/>
  <c r="L45" i="74"/>
  <c r="K43" i="74"/>
  <c r="L43" i="74"/>
  <c r="K93" i="74"/>
  <c r="L93" i="74"/>
  <c r="L94" i="74"/>
  <c r="M42" i="74"/>
  <c r="K42" i="74"/>
  <c r="J32" i="74"/>
  <c r="J38" i="74" s="1"/>
  <c r="L41" i="74"/>
  <c r="K41" i="74"/>
  <c r="N44" i="74"/>
  <c r="L44" i="74"/>
  <c r="K94" i="74"/>
  <c r="N42" i="74"/>
  <c r="M45" i="74"/>
  <c r="M43" i="74"/>
  <c r="N16" i="74"/>
  <c r="N17" i="74" s="1"/>
  <c r="M16" i="74"/>
  <c r="M17" i="74" s="1"/>
  <c r="K16" i="74"/>
  <c r="K17" i="74" s="1"/>
  <c r="L16" i="74"/>
  <c r="L17" i="74" s="1"/>
  <c r="G16" i="159" l="1"/>
  <c r="H16" i="159"/>
  <c r="M115" i="147"/>
  <c r="M116" i="147"/>
  <c r="M114" i="147"/>
  <c r="M118" i="147"/>
  <c r="N116" i="147"/>
  <c r="N114" i="147"/>
  <c r="N115" i="147"/>
  <c r="N118" i="147"/>
  <c r="L112" i="147"/>
  <c r="K112" i="147"/>
  <c r="I119" i="72"/>
  <c r="N48" i="74"/>
  <c r="N53" i="74" s="1"/>
  <c r="J79" i="74"/>
  <c r="J80" i="74" s="1"/>
  <c r="K80" i="74" s="1"/>
  <c r="L48" i="74"/>
  <c r="L53" i="74" s="1"/>
  <c r="K48" i="74"/>
  <c r="K53" i="74" s="1"/>
  <c r="M93" i="74"/>
  <c r="N93" i="74"/>
  <c r="M48" i="74"/>
  <c r="M53" i="74" s="1"/>
  <c r="N72" i="74"/>
  <c r="N73" i="74"/>
  <c r="N22" i="74"/>
  <c r="N74" i="74"/>
  <c r="N100" i="74"/>
  <c r="N25" i="74"/>
  <c r="N76" i="74"/>
  <c r="N75" i="74"/>
  <c r="N77" i="74"/>
  <c r="N78" i="74"/>
  <c r="N71" i="74"/>
  <c r="N81" i="74" s="1"/>
  <c r="N88" i="74" s="1"/>
  <c r="N90" i="74" s="1"/>
  <c r="N21" i="74"/>
  <c r="N64" i="74"/>
  <c r="N119" i="74"/>
  <c r="M119" i="74"/>
  <c r="M77" i="74"/>
  <c r="M74" i="74"/>
  <c r="M21" i="74"/>
  <c r="M100" i="74"/>
  <c r="M22" i="74"/>
  <c r="M73" i="74"/>
  <c r="M76" i="74"/>
  <c r="M64" i="74"/>
  <c r="M25" i="74"/>
  <c r="M78" i="74"/>
  <c r="M71" i="74"/>
  <c r="M81" i="74" s="1"/>
  <c r="M88" i="74" s="1"/>
  <c r="M90" i="74" s="1"/>
  <c r="M75" i="74"/>
  <c r="M72" i="74"/>
  <c r="L75" i="74"/>
  <c r="L73" i="74"/>
  <c r="L76" i="74"/>
  <c r="L25" i="74"/>
  <c r="L22" i="74"/>
  <c r="L119" i="74"/>
  <c r="L21" i="74"/>
  <c r="L78" i="74"/>
  <c r="L74" i="74"/>
  <c r="L64" i="74"/>
  <c r="L100" i="74"/>
  <c r="L71" i="74"/>
  <c r="L81" i="74" s="1"/>
  <c r="L88" i="74" s="1"/>
  <c r="L90" i="74" s="1"/>
  <c r="L77" i="74"/>
  <c r="L72" i="74"/>
  <c r="K119" i="74"/>
  <c r="K22" i="74"/>
  <c r="K71" i="74"/>
  <c r="K81" i="74" s="1"/>
  <c r="K88" i="74" s="1"/>
  <c r="K90" i="74" s="1"/>
  <c r="K74" i="74"/>
  <c r="K100" i="74"/>
  <c r="K25" i="74"/>
  <c r="K73" i="74"/>
  <c r="K77" i="74"/>
  <c r="K78" i="74"/>
  <c r="K72" i="74"/>
  <c r="K64" i="74"/>
  <c r="K76" i="74"/>
  <c r="K21" i="74"/>
  <c r="K75" i="74"/>
  <c r="K113" i="147" l="1"/>
  <c r="L113" i="147"/>
  <c r="L119" i="147" s="1"/>
  <c r="L128" i="147" s="1"/>
  <c r="L129" i="147" s="1"/>
  <c r="L79" i="74"/>
  <c r="M79" i="74"/>
  <c r="K79" i="74"/>
  <c r="N79" i="74"/>
  <c r="L80" i="74"/>
  <c r="N80" i="74"/>
  <c r="M80" i="74"/>
  <c r="L23" i="74"/>
  <c r="L51" i="74" s="1"/>
  <c r="K23" i="74"/>
  <c r="K51" i="74" s="1"/>
  <c r="N23" i="74"/>
  <c r="N51" i="74" s="1"/>
  <c r="M122" i="74"/>
  <c r="M103" i="74"/>
  <c r="N103" i="74"/>
  <c r="N122" i="74"/>
  <c r="M23" i="74"/>
  <c r="L103" i="74"/>
  <c r="L122" i="74"/>
  <c r="K122" i="74"/>
  <c r="K103" i="74"/>
  <c r="M96" i="74"/>
  <c r="N96" i="74"/>
  <c r="L96" i="74"/>
  <c r="K96" i="74"/>
  <c r="N95" i="74"/>
  <c r="N98" i="74" s="1"/>
  <c r="M95" i="74"/>
  <c r="M98" i="74" s="1"/>
  <c r="L95" i="74"/>
  <c r="L98" i="74" s="1"/>
  <c r="K95" i="74"/>
  <c r="K98" i="74" s="1"/>
  <c r="K119" i="147" l="1"/>
  <c r="K128" i="147" s="1"/>
  <c r="K129" i="147" s="1"/>
  <c r="F24" i="159" s="1"/>
  <c r="L115" i="147"/>
  <c r="L116" i="147"/>
  <c r="L114" i="147"/>
  <c r="L118" i="147"/>
  <c r="K26" i="74"/>
  <c r="K27" i="74" s="1"/>
  <c r="K56" i="74" s="1"/>
  <c r="K61" i="74" s="1"/>
  <c r="N26" i="74"/>
  <c r="N27" i="74" s="1"/>
  <c r="N31" i="74" s="1"/>
  <c r="L26" i="74"/>
  <c r="L27" i="74" s="1"/>
  <c r="L31" i="74" s="1"/>
  <c r="M51" i="74"/>
  <c r="M26" i="74"/>
  <c r="M27" i="74" s="1"/>
  <c r="L104" i="74"/>
  <c r="L123" i="74"/>
  <c r="M104" i="74"/>
  <c r="M123" i="74"/>
  <c r="K104" i="74"/>
  <c r="K123" i="74"/>
  <c r="N104" i="74"/>
  <c r="N123" i="74"/>
  <c r="H17" i="159" l="1"/>
  <c r="K116" i="147"/>
  <c r="K114" i="147"/>
  <c r="K115" i="147"/>
  <c r="K118" i="147"/>
  <c r="L58" i="74"/>
  <c r="N37" i="74"/>
  <c r="L32" i="74"/>
  <c r="N59" i="74"/>
  <c r="K60" i="74"/>
  <c r="K59" i="74"/>
  <c r="K58" i="74"/>
  <c r="K31" i="74"/>
  <c r="L59" i="74"/>
  <c r="K32" i="74"/>
  <c r="K33" i="74"/>
  <c r="K30" i="74"/>
  <c r="N36" i="74"/>
  <c r="L60" i="74"/>
  <c r="K57" i="74"/>
  <c r="K34" i="74"/>
  <c r="N32" i="74"/>
  <c r="N33" i="74"/>
  <c r="L57" i="74"/>
  <c r="L33" i="74"/>
  <c r="K35" i="74"/>
  <c r="K36" i="74"/>
  <c r="K37" i="74"/>
  <c r="N56" i="74"/>
  <c r="N61" i="74" s="1"/>
  <c r="N102" i="74" s="1"/>
  <c r="N35" i="74"/>
  <c r="L37" i="74"/>
  <c r="L30" i="74"/>
  <c r="L35" i="74"/>
  <c r="N57" i="74"/>
  <c r="N34" i="74"/>
  <c r="N58" i="74"/>
  <c r="L56" i="74"/>
  <c r="L61" i="74" s="1"/>
  <c r="L66" i="74" s="1"/>
  <c r="L34" i="74"/>
  <c r="L36" i="74"/>
  <c r="N30" i="74"/>
  <c r="N60" i="74"/>
  <c r="M30" i="74"/>
  <c r="M59" i="74"/>
  <c r="M37" i="74"/>
  <c r="M56" i="74"/>
  <c r="M61" i="74" s="1"/>
  <c r="M35" i="74"/>
  <c r="M57" i="74"/>
  <c r="M60" i="74"/>
  <c r="M33" i="74"/>
  <c r="M32" i="74"/>
  <c r="M36" i="74"/>
  <c r="M31" i="74"/>
  <c r="M34" i="74"/>
  <c r="M58" i="74"/>
  <c r="K102" i="74"/>
  <c r="K66" i="74"/>
  <c r="K121" i="74"/>
  <c r="G17" i="159" l="1"/>
  <c r="N66" i="74"/>
  <c r="N121" i="74"/>
  <c r="K38" i="74"/>
  <c r="K52" i="74" s="1"/>
  <c r="K54" i="74" s="1"/>
  <c r="K101" i="74" s="1"/>
  <c r="K105" i="74" s="1"/>
  <c r="N38" i="74"/>
  <c r="N52" i="74" s="1"/>
  <c r="N54" i="74" s="1"/>
  <c r="N120" i="74" s="1"/>
  <c r="N124" i="74" s="1"/>
  <c r="L121" i="74"/>
  <c r="L38" i="74"/>
  <c r="L52" i="74" s="1"/>
  <c r="L54" i="74" s="1"/>
  <c r="L101" i="74" s="1"/>
  <c r="L105" i="74" s="1"/>
  <c r="L102" i="74"/>
  <c r="M66" i="74"/>
  <c r="M121" i="74"/>
  <c r="M102" i="74"/>
  <c r="M38" i="74"/>
  <c r="M52" i="74" s="1"/>
  <c r="M54" i="74" s="1"/>
  <c r="H24" i="159" l="1"/>
  <c r="G24" i="159"/>
  <c r="K120" i="74"/>
  <c r="K124" i="74" s="1"/>
  <c r="K65" i="74"/>
  <c r="K67" i="74" s="1"/>
  <c r="N101" i="74"/>
  <c r="N105" i="74" s="1"/>
  <c r="N108" i="74" s="1"/>
  <c r="N117" i="74" s="1"/>
  <c r="N125" i="74" s="1"/>
  <c r="N126" i="74" s="1"/>
  <c r="N127" i="74" s="1"/>
  <c r="L120" i="74"/>
  <c r="L124" i="74" s="1"/>
  <c r="N65" i="74"/>
  <c r="N67" i="74" s="1"/>
  <c r="L65" i="74"/>
  <c r="L67" i="74" s="1"/>
  <c r="M101" i="74"/>
  <c r="M105" i="74" s="1"/>
  <c r="M120" i="74"/>
  <c r="M124" i="74" s="1"/>
  <c r="M65" i="74"/>
  <c r="M67" i="74" s="1"/>
  <c r="K108" i="74"/>
  <c r="K117" i="74" s="1"/>
  <c r="K125" i="74" s="1"/>
  <c r="L108" i="74"/>
  <c r="L117" i="74" s="1"/>
  <c r="L125" i="74" s="1"/>
  <c r="L126" i="74" l="1"/>
  <c r="L127" i="74" s="1"/>
  <c r="K126" i="74"/>
  <c r="K127" i="74" s="1"/>
  <c r="K109" i="74"/>
  <c r="K110" i="74" s="1"/>
  <c r="M108" i="74"/>
  <c r="M117" i="74" s="1"/>
  <c r="M125" i="74" s="1"/>
  <c r="M126" i="74" s="1"/>
  <c r="M127" i="74" s="1"/>
  <c r="N109" i="74"/>
  <c r="N110" i="74" s="1"/>
  <c r="L109" i="74"/>
  <c r="L110" i="74" s="1"/>
  <c r="M109" i="74" l="1"/>
  <c r="M110" i="74" s="1"/>
  <c r="F14" i="72" l="1"/>
  <c r="G14" i="72" s="1"/>
  <c r="J14" i="72" s="1"/>
  <c r="F17" i="72" l="1"/>
  <c r="J17" i="72" s="1"/>
  <c r="F15" i="72"/>
  <c r="G15" i="72" s="1"/>
  <c r="J15" i="72" s="1"/>
  <c r="F16" i="72"/>
  <c r="G16" i="72" s="1"/>
  <c r="J16" i="72" s="1"/>
  <c r="J18" i="7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Marisa de Moraes</author>
  </authors>
  <commentList>
    <comment ref="D26" authorId="0" shapeId="0" xr:uid="{32DD2A35-B456-4B4B-AF3A-3778AAE3FCDB}">
      <text>
        <r>
          <rPr>
            <sz val="9"/>
            <color indexed="81"/>
            <rFont val="Segoe UI"/>
            <family val="2"/>
          </rPr>
          <t xml:space="preserve">
1. CCT adotada não estabelece piso salarial para a função. 
2. Foi pesquisada a média salarial nacional para a função no CAGED = R$ 3.486,52, aplicado índice de reajuste previsto para 2024, de 5,10% &gt;&gt; R$ 3.664,33
CAGED: https://app.powerbi.com/view?r=eyJrIjoiMzZkMzYzNmYtN2RhZC00OTJlLTgwODYtMTY3ODczNmY2NWU4IiwidCI6IjNlYzkyOTY5LTVhNTEtNGYxOC04YWM5LWVmOThmYmFmYTk3OCJ9&amp;pageName=ReportSectionde650100b92052c99c5a
</t>
        </r>
      </text>
    </comment>
    <comment ref="D27" authorId="0" shapeId="0" xr:uid="{5FD467DB-0AB2-41E3-B18A-806B75A303E6}">
      <text>
        <r>
          <rPr>
            <sz val="9"/>
            <color indexed="81"/>
            <rFont val="Segoe UI"/>
            <family val="2"/>
          </rPr>
          <t xml:space="preserve">
1. CCT adotada não estabelece piso salarial para a função. 
2. Foi pesquisada a média salarial nacional para a função no CAGED = R$ 3.486,52, aplicado índice de reajuste previsto para 2024, de 5,10% &gt;&gt; R$ 3.664,33
CAGED: https://app.powerbi.com/view?r=eyJrIjoiMzZkMzYzNmYtN2RhZC00OTJlLTgwODYtMTY3ODczNmY2NWU4IiwidCI6IjNlYzkyOTY5LTVhNTEtNGYxOC04YWM5LWVmOThmYmFmYTk3OCJ9&amp;pageName=ReportSectionde650100b92052c99c5a
</t>
        </r>
      </text>
    </comment>
    <comment ref="D65" authorId="0" shapeId="0" xr:uid="{FB9AED51-1BBB-46B6-9847-EF17608418E5}">
      <text>
        <r>
          <rPr>
            <sz val="9"/>
            <color indexed="81"/>
            <rFont val="Segoe UI"/>
            <family val="2"/>
          </rPr>
          <t xml:space="preserve">
1. CCT adotada não estabelece piso salarial para a função. 
2. Foi pesquisada a média salarial nacional para a função no CAGED = R$ 3.486,52, aplicado índice de reajuste previsto para 2024, de 5,10% &gt;&gt; R$ 3.664,33
CAGED: https://app.powerbi.com/view?r=eyJrIjoiMzZkMzYzNmYtN2RhZC00OTJlLTgwODYtMTY3ODczNmY2NWU4IiwidCI6IjNlYzkyOTY5LTVhNTEtNGYxOC04YWM5LWVmOThmYmFmYTk3OCJ9&amp;pageName=ReportSectionde650100b92052c99c5a
</t>
        </r>
      </text>
    </comment>
    <comment ref="D68" authorId="0" shapeId="0" xr:uid="{24A6F72E-8A0E-40CD-B77D-483F146B992A}">
      <text>
        <r>
          <rPr>
            <sz val="9"/>
            <color indexed="81"/>
            <rFont val="Segoe UI"/>
            <family val="2"/>
          </rPr>
          <t xml:space="preserve">
1. CCT adotada não estabelece piso salarial para a função. 
2. Foi pesquisada a média salarial nacional para a função no CAGED = R$ 3.486,52, aplicado índice de reajuste previsto para 2024, de 5,10% &gt;&gt; R$ 3.664,33
CAGED: https://app.powerbi.com/view?r=eyJrIjoiMzZkMzYzNmYtN2RhZC00OTJlLTgwODYtMTY3ODczNmY2NWU4IiwidCI6IjNlYzkyOTY5LTVhNTEtNGYxOC04YWM5LWVmOThmYmFmYTk3OCJ9&amp;pageName=ReportSectionde650100b92052c99c5a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Marisa de Moraes</author>
  </authors>
  <commentList>
    <comment ref="D3" authorId="0" shapeId="0" xr:uid="{37C8FA5A-CC37-4537-ADA6-DB2CDA61764C}">
      <text>
        <r>
          <rPr>
            <b/>
            <sz val="9"/>
            <color indexed="10"/>
            <rFont val="Segoe UI"/>
            <family val="2"/>
          </rPr>
          <t xml:space="preserve">Preço Unitário (hora/homem): deve incluir todos os encargos, insumos, impostos; lucro da empresa e os custos indiretos, inclusive relacionados ao deslocamento dos profissionais, caso necessário. </t>
        </r>
        <r>
          <rPr>
            <sz val="9"/>
            <color indexed="81"/>
            <rFont val="Segoe UI"/>
            <family val="2"/>
          </rPr>
          <t xml:space="preserve">
</t>
        </r>
      </text>
    </comment>
  </commentList>
</comments>
</file>

<file path=xl/sharedStrings.xml><?xml version="1.0" encoding="utf-8"?>
<sst xmlns="http://schemas.openxmlformats.org/spreadsheetml/2006/main" count="2528" uniqueCount="1024">
  <si>
    <t>SSB</t>
  </si>
  <si>
    <t>-</t>
  </si>
  <si>
    <t>2.2</t>
  </si>
  <si>
    <t>Encargos Previdenciários, FGTS, e outras contribuições</t>
  </si>
  <si>
    <t>%</t>
  </si>
  <si>
    <t>MEMÓRIA DE CÁLCULO</t>
  </si>
  <si>
    <t>FUNDAMENTAÇÃO LEGAL</t>
  </si>
  <si>
    <t>A</t>
  </si>
  <si>
    <t>INSS</t>
  </si>
  <si>
    <t>B</t>
  </si>
  <si>
    <t>Salário Educação</t>
  </si>
  <si>
    <t>C</t>
  </si>
  <si>
    <t>Seguro Acidente do Trabalho</t>
  </si>
  <si>
    <t>D</t>
  </si>
  <si>
    <t>SESI ou SESC</t>
  </si>
  <si>
    <t>E</t>
  </si>
  <si>
    <t>SENAI ou SENAC</t>
  </si>
  <si>
    <t>Decreto n.º 2.318/86.</t>
  </si>
  <si>
    <t>F</t>
  </si>
  <si>
    <t>SEBRAE</t>
  </si>
  <si>
    <t>G</t>
  </si>
  <si>
    <t>INCRA</t>
  </si>
  <si>
    <t>H</t>
  </si>
  <si>
    <t>FGTS</t>
  </si>
  <si>
    <t>TOTAL</t>
  </si>
  <si>
    <t>13º Salário</t>
  </si>
  <si>
    <t>Constituição Federal de 1988 (Art. 7º, VIII).</t>
  </si>
  <si>
    <t>Férias e Adicional de Férias</t>
  </si>
  <si>
    <t>Módulo 3 - Provisão para Rescisão</t>
  </si>
  <si>
    <t>Provisão para Rescisão</t>
  </si>
  <si>
    <t>Aviso prévio indenizado</t>
  </si>
  <si>
    <t>Constituição Federal de 1988 (Art. 7º, XXI); CLT (Art. 477, 487 a 491).</t>
  </si>
  <si>
    <t>Incidência de FGTS sobre aviso prévio indenizado</t>
  </si>
  <si>
    <t>Multa do FGTS e contribuições sociais sobre o aviso prévio indenizado</t>
  </si>
  <si>
    <t>Aviso prévio trabalhado</t>
  </si>
  <si>
    <t>Multa sobre FGTS e contribuições sociais sobre o aviso prévio trabalhado</t>
  </si>
  <si>
    <t>PIS</t>
  </si>
  <si>
    <t>COFINS</t>
  </si>
  <si>
    <t>ISSQN</t>
  </si>
  <si>
    <t>CUSTOS INDIRETOS</t>
  </si>
  <si>
    <t>Página 24 do Caderno Técnico da SEGES de Limpeza para SP 2019
https://www.gov.br/compras/pt-br/agente-publico/cadernos-tecnicos-e-valores-limites/cts-2019/ct_lim_sp_2019.pdf</t>
  </si>
  <si>
    <t>LUCRO</t>
  </si>
  <si>
    <t>Preencher somente as células em amarelo</t>
  </si>
  <si>
    <t>Objeto:</t>
  </si>
  <si>
    <t>Número do Processo:</t>
  </si>
  <si>
    <t>Número da Licitação:</t>
  </si>
  <si>
    <t>Data do Pregão:</t>
  </si>
  <si>
    <t>Horário:</t>
  </si>
  <si>
    <t>Data de apresentação da proposta (dia/mês/ano)</t>
  </si>
  <si>
    <t>Número de Meses de execução contratual</t>
  </si>
  <si>
    <t>2.2 – GPS, FGTS e outras contribuições</t>
  </si>
  <si>
    <t>Salário educação</t>
  </si>
  <si>
    <t>Seguro Acidente de Trabalho (SAT)</t>
  </si>
  <si>
    <t>RAT  (Riscos Ambientais do Trabalho)</t>
  </si>
  <si>
    <t>FAP (Fator Acidentário de Prevenção)</t>
  </si>
  <si>
    <t>SESC ou SESI</t>
  </si>
  <si>
    <t>Encarregado</t>
  </si>
  <si>
    <t xml:space="preserve">Uniformes (custo mensal por empregado) </t>
  </si>
  <si>
    <t>EPIs</t>
  </si>
  <si>
    <t>Materiais de Consumo e Utensílios</t>
  </si>
  <si>
    <t xml:space="preserve">Equipamentos </t>
  </si>
  <si>
    <t>Outros (especificar)</t>
  </si>
  <si>
    <t>STS</t>
  </si>
  <si>
    <t>PLANILHA DE CUSTO E FORMAÇÃO DE PREÇOS</t>
  </si>
  <si>
    <t xml:space="preserve"> Município da Prestação de Serviços</t>
  </si>
  <si>
    <t>Auxiliar de Limpeza</t>
  </si>
  <si>
    <t>Limpador de Vidros</t>
  </si>
  <si>
    <t>COM periculosidade</t>
  </si>
  <si>
    <t>SEM periculosidade</t>
  </si>
  <si>
    <t>MÓDULO 01 – Composição da Remuneração</t>
  </si>
  <si>
    <t>Valor (R$)</t>
  </si>
  <si>
    <t>Salário Base</t>
  </si>
  <si>
    <t>Adicional de Periculosidade (30%)</t>
  </si>
  <si>
    <t>VALOR DA REMUNERAÇÃO</t>
  </si>
  <si>
    <t>MÓDULO 02 – Encargos Sociais e Trabalhistas e Benefícios Anuais, Mensais e Diários</t>
  </si>
  <si>
    <t>Índice</t>
  </si>
  <si>
    <t>2.1 – 13º Salário, Férias e Adicional de Férias</t>
  </si>
  <si>
    <t>SUBMÓDULO 2.1 – 13º (décimo terceiro) Salário, Férias e Adicional de Férias</t>
  </si>
  <si>
    <t>13º salário</t>
  </si>
  <si>
    <t>Terço constitucional de férias</t>
  </si>
  <si>
    <t>SUBMÓDULO 2.2 – Encargos Previdenciários (GPS), Fundo de Garantia por Tempo de Serviço (FGTS) e outras contribuições</t>
  </si>
  <si>
    <t xml:space="preserve">Seguro Acidente de Trabalho (SAT)           </t>
  </si>
  <si>
    <t>SUBMÓDULO 2.3 – Benefícios Mensais e Diários</t>
  </si>
  <si>
    <t>2.3 -  Benefícios Mensais e Diários</t>
  </si>
  <si>
    <t>2.3.1 Tíquete Refeição</t>
  </si>
  <si>
    <t>2.3.2 Cesta Básica - Vale Alimentação</t>
  </si>
  <si>
    <t>2.3.4 Auxílio Creche</t>
  </si>
  <si>
    <t>2.3.5 Seguro de Vida em Grupo</t>
  </si>
  <si>
    <t>2.3.6 Benefício Social Familiar (Sindical)</t>
  </si>
  <si>
    <t>2.3.7 Benefício Natalidade</t>
  </si>
  <si>
    <t>2.3.3 Vale Transporte</t>
  </si>
  <si>
    <t>QUADRO-RESUMO do MÓDULO 2 - Encargos e Benefícios anuais, mensais e diários</t>
  </si>
  <si>
    <t>2 – Encargos Sociais e Trabalhistas e Benefícios Anuais, Mensais e Diários</t>
  </si>
  <si>
    <t>Probabilidade</t>
  </si>
  <si>
    <t>Aviso Prévio Indenizado</t>
  </si>
  <si>
    <t>Incidência do FGTS sobre Aviso Prévio Indenizado</t>
  </si>
  <si>
    <t>Multa do FGTS sobre o Aviso Prévio Indenizado</t>
  </si>
  <si>
    <t>APT - Aviso Prévio Trabalhado - Com Probabilidade</t>
  </si>
  <si>
    <t>Multa do FGTS sobre o Aviso Prévio Trabalhado</t>
  </si>
  <si>
    <t xml:space="preserve">Base de Cálculo para o MÓDULO 4 = MÓDULO 1 + MÓDULO 2 + MÓDULO 3 </t>
  </si>
  <si>
    <t>MÓDULO 1  – Composição da Remuneração</t>
  </si>
  <si>
    <t>MÓDULO 2  – Encargos Sociais e Trabalhistas e Benefícios Anuais, Mensais e Diários</t>
  </si>
  <si>
    <t>MÓDULO 3  – Provisão para Rescisão</t>
  </si>
  <si>
    <t>MÓDULO 04 – Custo de Reposição do Profissional Ausente</t>
  </si>
  <si>
    <t>SUBMÓDULO 4.1 – Ausência Legais</t>
  </si>
  <si>
    <t>4.1 – Ausências Legais</t>
  </si>
  <si>
    <t>SUBMÓDULO 4.2 – Intrajornada</t>
  </si>
  <si>
    <t>4.2 – Intrajornada</t>
  </si>
  <si>
    <t>Intervalo para repouso ou alimentação</t>
  </si>
  <si>
    <t>QUADRO-RESUMO do MÓDULO 4 - Custo de Reposição do Profissional Ausente</t>
  </si>
  <si>
    <t>4 – Custo de Reposição do Profissional Ausente</t>
  </si>
  <si>
    <t>MÓDULO 05 – Insumos Diversos</t>
  </si>
  <si>
    <t>5 – Insumos Diversos</t>
  </si>
  <si>
    <t>Base de Cálculo para o MÓDULO 6 = MÓDULO 1 + MÓDULO 2 + MÓDULO 3 + MÓDULO 4 + MÓDULO 5</t>
  </si>
  <si>
    <t>MÓDULO 1 – Composição da Remuneração</t>
  </si>
  <si>
    <t>MÓDULO 2 – Encargos Sociais e Trabalhistas e Benefícios Anuais, Mensais e Diários</t>
  </si>
  <si>
    <t>MÓDULO 3 – Provisão para Rescisão</t>
  </si>
  <si>
    <t xml:space="preserve">MÓDULO 4 – Custo de Reposição do Profissional Ausente </t>
  </si>
  <si>
    <t>MÓDULO 5 – Insumos Diversos</t>
  </si>
  <si>
    <t>MÓDULO 06 – Custos Indiretos, Tributos e Lucro</t>
  </si>
  <si>
    <t>Alíquota</t>
  </si>
  <si>
    <t>6 – Custos Indiretos, Tributos e Lucro</t>
  </si>
  <si>
    <t>Tributos</t>
  </si>
  <si>
    <t>C.1</t>
  </si>
  <si>
    <t>Tributos Federais</t>
  </si>
  <si>
    <t>PIS:</t>
  </si>
  <si>
    <t>COFINS:</t>
  </si>
  <si>
    <t>C.2</t>
  </si>
  <si>
    <t>Tributos Municipais</t>
  </si>
  <si>
    <t>QUADRO RESUMO DO CUSTO POR EMPREGADO</t>
  </si>
  <si>
    <t>MÓDULO 6 – Custos Indiretos, Tributos e Lucro</t>
  </si>
  <si>
    <t>EVENTUAIS GLOSAS APLICADAS DURANTE A MEDIÇÃO MENSAL</t>
  </si>
  <si>
    <t xml:space="preserve">Licença paternidade </t>
  </si>
  <si>
    <t>Acidentes de Trabalho</t>
  </si>
  <si>
    <t>Afastamento Maternidade</t>
  </si>
  <si>
    <t xml:space="preserve">Instrução Normativa º 5/2017-SEGES/MPDG </t>
  </si>
  <si>
    <t>Dados da mão de obra para composição dos custos</t>
  </si>
  <si>
    <t>/     /2022 - Validade: 60 dias</t>
  </si>
  <si>
    <t>Unidade de Medida</t>
  </si>
  <si>
    <t>Metro quadrado</t>
  </si>
  <si>
    <t>Nº de meses de execução contratual</t>
  </si>
  <si>
    <t>Acordo, Convenção ou Sentença Normativa em Dissídio Coletivo</t>
  </si>
  <si>
    <t>SEAC-SP X SINDEEPRES-SP</t>
  </si>
  <si>
    <t>Número do registro do intrumento coletivo no sistema Mediador</t>
  </si>
  <si>
    <t xml:space="preserve">Data base da categoria </t>
  </si>
  <si>
    <t>Adicional de Periculosidade</t>
  </si>
  <si>
    <t>Adicional de 30%</t>
  </si>
  <si>
    <t>Base de Cálculo para o SUBMÓDULO 2.2 = MÓDULO 1 + SUBMÓDULO 2.1</t>
  </si>
  <si>
    <t>SUBMÓDULO 2.1  – 13º (décimo terceiro) Salário, Férias e Adicional de Férias</t>
  </si>
  <si>
    <t>MÓDULO 03 – Provisão para Rescisão</t>
  </si>
  <si>
    <t>Multa do FGTS do Aviso Prévio Indenizado (40% sobre o FGTS)</t>
  </si>
  <si>
    <r>
      <t>Aviso Prévio Trabalhado</t>
    </r>
    <r>
      <rPr>
        <b/>
        <sz val="10"/>
        <rFont val="Calibri"/>
        <family val="2"/>
      </rPr>
      <t>*</t>
    </r>
  </si>
  <si>
    <t>Multa do FGTS do Aviso Prévio Trabalhado (40% sobre o FGTS)</t>
  </si>
  <si>
    <t>Substituto na cobertura de Férias</t>
  </si>
  <si>
    <t>Dias de Afastamento</t>
  </si>
  <si>
    <t>Ausências Legais</t>
  </si>
  <si>
    <t>--</t>
  </si>
  <si>
    <t>Subtotal antes da incidencia de férias, 1/3 constitucional e 13º proporcionais.</t>
  </si>
  <si>
    <t>Proporcional de Férias, 1/3 e 13º sobre o custo de reposição</t>
  </si>
  <si>
    <t>Subtotal antes da incidencia  do submodulo 2.2 sobre o custo de reposição</t>
  </si>
  <si>
    <t>Incidencia do submodulo 2.2 sobre o custo de reposição</t>
  </si>
  <si>
    <t>SUBMÓDULO 4.2 – Intrajorada</t>
  </si>
  <si>
    <t>Custos Indiretos (percentual da empresa)</t>
  </si>
  <si>
    <t>Lucro (percentual da empresa)</t>
  </si>
  <si>
    <t>OUTROS:</t>
  </si>
  <si>
    <t>ISSQN:</t>
  </si>
  <si>
    <t>C.3</t>
  </si>
  <si>
    <t>Outros tributos</t>
  </si>
  <si>
    <t>Valor total proposto por empregado</t>
  </si>
  <si>
    <t>Importante: Todos os valores e dados registrados nas células amarelas e demais células desta planilha serão considerados como inseridos pela própria empresa proponente. Portanto as empresas devem confirmar os dados registrados através, também, de seus próprios cálculos.</t>
  </si>
  <si>
    <t>(m²)</t>
  </si>
  <si>
    <t>Área de piso interna</t>
  </si>
  <si>
    <t>Área de piso externa e terra</t>
  </si>
  <si>
    <t>Total</t>
  </si>
  <si>
    <t>TIPO DE ÁREA</t>
  </si>
  <si>
    <t>Produtividade Mínima Permitida</t>
  </si>
  <si>
    <t>Produtividade Máxima Permitida</t>
  </si>
  <si>
    <t>(m² / dia)</t>
  </si>
  <si>
    <t>ARAÇATUBA</t>
  </si>
  <si>
    <t>ARARAQUARA</t>
  </si>
  <si>
    <t>BAURU</t>
  </si>
  <si>
    <t>CAMPINAS</t>
  </si>
  <si>
    <t>CRUZEIRO</t>
  </si>
  <si>
    <t>JALES</t>
  </si>
  <si>
    <t>PIRACICABA</t>
  </si>
  <si>
    <t>PRESIDENTE PRUDENTE</t>
  </si>
  <si>
    <t>RIBEIRÃO PRETO</t>
  </si>
  <si>
    <t>SANTOS - RIACHUELO</t>
  </si>
  <si>
    <t>SANTOS - NEPOM</t>
  </si>
  <si>
    <t>SÃO JOSÉ DOS CAMPOS</t>
  </si>
  <si>
    <t>SÃO SEBASTIÃO</t>
  </si>
  <si>
    <t>SOROCABA</t>
  </si>
  <si>
    <t>Limpador de vidros</t>
  </si>
  <si>
    <t>JORNADA DE TRABALHO NO MÊS (HORAS)</t>
  </si>
  <si>
    <t>Memória de calculo do Limpador de Vidros</t>
  </si>
  <si>
    <t>MÃO DE OBRA</t>
  </si>
  <si>
    <t>PRODUTIDADE*</t>
  </si>
  <si>
    <t>FREQÜÊNCIA NO MÊS**</t>
  </si>
  <si>
    <t>= (1X2X3)</t>
  </si>
  <si>
    <t>Áreas internas</t>
  </si>
  <si>
    <t>(1/M2)</t>
  </si>
  <si>
    <t>(HORAS)</t>
  </si>
  <si>
    <t>Ki</t>
  </si>
  <si>
    <t>Áreas externas</t>
  </si>
  <si>
    <t>LIMPADOR DE VIDRO</t>
  </si>
  <si>
    <t>__1__</t>
  </si>
  <si>
    <t>___1___</t>
  </si>
  <si>
    <t xml:space="preserve">Esquadrias internas e externas </t>
  </si>
  <si>
    <t>Fachadas Envidraçadas</t>
  </si>
  <si>
    <t>Qualificação do Empregado</t>
  </si>
  <si>
    <t>Produtividade Estimada</t>
  </si>
  <si>
    <t>Ki = 1/m2</t>
  </si>
  <si>
    <t>Valor Homem/Mês</t>
  </si>
  <si>
    <t>Valor/m2</t>
  </si>
  <si>
    <t>Área Total / Localidade</t>
  </si>
  <si>
    <t>Qtdd de Empregados a serem  Disponibilizados pela Empresa</t>
  </si>
  <si>
    <t>Totais Parciais</t>
  </si>
  <si>
    <t>1/produtividade</t>
  </si>
  <si>
    <t>SR/PF/SP</t>
  </si>
  <si>
    <t>Supervisor de todas as áreas</t>
  </si>
  <si>
    <t xml:space="preserve"> Complexo ÁGUA BRANCA</t>
  </si>
  <si>
    <t xml:space="preserve">Área de piso externa </t>
  </si>
  <si>
    <t>Esquadrias Externas</t>
  </si>
  <si>
    <t>APOIO 1</t>
  </si>
  <si>
    <t>APOIO 2</t>
  </si>
  <si>
    <t>MARILIA</t>
  </si>
  <si>
    <t>SANTOS - REPÚBLICA</t>
  </si>
  <si>
    <t>SÃO JOSÉ DO RIO PRETO</t>
  </si>
  <si>
    <r>
      <t xml:space="preserve">TOTAL </t>
    </r>
    <r>
      <rPr>
        <b/>
        <u/>
        <sz val="9"/>
        <color indexed="30"/>
        <rFont val="Calibri"/>
        <family val="2"/>
      </rPr>
      <t>(SERÁ DEPOSITADO NA CONTA VINCULADA !!!)</t>
    </r>
  </si>
  <si>
    <r>
      <t xml:space="preserve">Substituto na cobertura de Férias </t>
    </r>
    <r>
      <rPr>
        <b/>
        <u/>
        <sz val="9"/>
        <color indexed="17"/>
        <rFont val="Calibri"/>
        <family val="2"/>
      </rPr>
      <t>(NÃO SERÁ OBJETO DE DISPUTA)</t>
    </r>
  </si>
  <si>
    <r>
      <t>Custos Indiretos (percentual da empresa) (</t>
    </r>
    <r>
      <rPr>
        <b/>
        <u/>
        <sz val="9"/>
        <color indexed="10"/>
        <rFont val="Calibri"/>
        <family val="2"/>
      </rPr>
      <t>OBJETO DE DISPUTA, PODE-SE INSERIR VALORES FRACIONADOS</t>
    </r>
    <r>
      <rPr>
        <sz val="9"/>
        <rFont val="Calibri"/>
        <family val="2"/>
      </rPr>
      <t>)</t>
    </r>
  </si>
  <si>
    <t>Nº de Dias</t>
  </si>
  <si>
    <t>2.3.3 Auxílio Saúde</t>
  </si>
  <si>
    <t>Alíquota de ISSQN→</t>
  </si>
  <si>
    <t>MUNICÍPIO</t>
  </si>
  <si>
    <t>Custo Mensal para o Empregador →</t>
  </si>
  <si>
    <t>Custo Mensal para o Funcionário →</t>
  </si>
  <si>
    <t>Previsão de pagamento de PERICULOSIDADE →</t>
  </si>
  <si>
    <t>Custo Unitário para o Empregador→</t>
  </si>
  <si>
    <t>Custo Unitário para o Funcionário →</t>
  </si>
  <si>
    <t>Custo Mensal para Empregador →</t>
  </si>
  <si>
    <t>% de Incidência →</t>
  </si>
  <si>
    <t>Nº de  Filhos →</t>
  </si>
  <si>
    <t>Previsão CCT →</t>
  </si>
  <si>
    <t xml:space="preserve"> Município da Prestação de Serviços →</t>
  </si>
  <si>
    <r>
      <t xml:space="preserve">TOTAL DE PROVISÃO PARA RESCISÃO  </t>
    </r>
    <r>
      <rPr>
        <b/>
        <u/>
        <sz val="9"/>
        <color indexed="30"/>
        <rFont val="Calibri"/>
        <family val="2"/>
        <scheme val="minor"/>
      </rPr>
      <t>(SERÁ DEPOSITADO NA CONTA VINCULADA !!!)</t>
    </r>
  </si>
  <si>
    <t>MÓDULO 3 - PROVISÃO PARA RESCISÃO</t>
  </si>
  <si>
    <t>EM DIAS NO ANO ↓</t>
  </si>
  <si>
    <r>
      <t xml:space="preserve">API - Aviso Prévio Indenizado - Com Probabilidade
</t>
    </r>
    <r>
      <rPr>
        <b/>
        <u/>
        <sz val="9"/>
        <color indexed="36"/>
        <rFont val="Calibri"/>
        <family val="2"/>
        <scheme val="minor"/>
      </rPr>
      <t>(</t>
    </r>
    <r>
      <rPr>
        <b/>
        <u/>
        <sz val="9"/>
        <color indexed="10"/>
        <rFont val="Calibri"/>
        <family val="2"/>
        <scheme val="minor"/>
      </rPr>
      <t>OBJETO DE DISPUTA, PODE-SE INSERIR VALORES CENTESIMAIS</t>
    </r>
    <r>
      <rPr>
        <b/>
        <u/>
        <sz val="9"/>
        <color indexed="36"/>
        <rFont val="Calibri"/>
        <family val="2"/>
        <scheme val="minor"/>
      </rPr>
      <t>)</t>
    </r>
  </si>
  <si>
    <t>A.1. Aviso Prévio Indenizado</t>
  </si>
  <si>
    <t>2.3 – Benefícios Mensais e Diários</t>
  </si>
  <si>
    <t>C.1 Tributos Federais</t>
  </si>
  <si>
    <t>C.2 Tributos Municipais</t>
  </si>
  <si>
    <t>CONTA VINCULADA</t>
  </si>
  <si>
    <t>MÓDULO 4 – Custo de Reposição do Profissional Ausente</t>
  </si>
  <si>
    <t>Função do Funcionário →</t>
  </si>
  <si>
    <r>
      <t>Ausências Legais em</t>
    </r>
    <r>
      <rPr>
        <b/>
        <sz val="9"/>
        <color rgb="FFFF0000"/>
        <rFont val="Calibri"/>
        <family val="2"/>
      </rPr>
      <t xml:space="preserve"> </t>
    </r>
    <r>
      <rPr>
        <b/>
        <u/>
        <sz val="9"/>
        <color rgb="FFFF0000"/>
        <rFont val="Calibri"/>
        <family val="2"/>
      </rPr>
      <t>DIAS ÚTEIS</t>
    </r>
    <r>
      <rPr>
        <sz val="9"/>
        <rFont val="Calibri"/>
        <family val="2"/>
      </rPr>
      <t xml:space="preserve"> (incluem todos as demais ausências como maternidade, paternidade, acidente de trabalho, etc) </t>
    </r>
    <r>
      <rPr>
        <u/>
        <sz val="9"/>
        <color indexed="36"/>
        <rFont val="Calibri"/>
        <family val="2"/>
      </rPr>
      <t>(</t>
    </r>
    <r>
      <rPr>
        <u/>
        <sz val="9"/>
        <color indexed="10"/>
        <rFont val="Calibri"/>
        <family val="2"/>
      </rPr>
      <t>OBJETO DE DISPUTA, PODE-SE INSERIR VALORES FRACIONADOS</t>
    </r>
    <r>
      <rPr>
        <u/>
        <sz val="9"/>
        <color indexed="36"/>
        <rFont val="Calibri"/>
        <family val="2"/>
      </rPr>
      <t>)</t>
    </r>
    <r>
      <rPr>
        <sz val="9"/>
        <rFont val="Calibri"/>
        <family val="2"/>
      </rPr>
      <t xml:space="preserve">
</t>
    </r>
    <r>
      <rPr>
        <sz val="9"/>
        <color indexed="36"/>
        <rFont val="Calibri"/>
        <family val="2"/>
      </rPr>
      <t>EMPRESA RECEBERÁ ESSE VALOR MENSALMENTE, INDEPENDENTEMENTE DAS OCORRÊNCIAS SEREM MAIORES OU MENORES QUE O VALOR OFERTADO</t>
    </r>
  </si>
  <si>
    <t>Equipamentos</t>
  </si>
  <si>
    <t>Unidade da PF</t>
  </si>
  <si>
    <t>Uniformes</t>
  </si>
  <si>
    <t>SANTOS</t>
  </si>
  <si>
    <t>SÃO_SEBASTIÃO</t>
  </si>
  <si>
    <t>Módulo 6 - Custos Indiretos, Tributos e Lucro</t>
  </si>
  <si>
    <t>MEMÓRIA DE CÁLCULOS</t>
  </si>
  <si>
    <t>Submódulo 2.1 - 13º Salário E Adicional de Férias</t>
  </si>
  <si>
    <t>Submódulo 2.2 - GPS, FGTS e outras contribuições</t>
  </si>
  <si>
    <t>2.1</t>
  </si>
  <si>
    <t>Módulo 1 - Composição da Remuneração</t>
  </si>
  <si>
    <t>Composição da Remuneração</t>
  </si>
  <si>
    <t>Módulo 2 - Encargos Sociais e Trabalhistas e Benefícios Anuais, Mensais e Diários</t>
  </si>
  <si>
    <t>Submódulo 2.3 - Benefícios Mensais e Diários</t>
  </si>
  <si>
    <t>Benefícios Mensais e Diários</t>
  </si>
  <si>
    <t>2.3</t>
  </si>
  <si>
    <t>2.3.1</t>
  </si>
  <si>
    <t>2.3.2</t>
  </si>
  <si>
    <t>2.3.3</t>
  </si>
  <si>
    <t>2.3.4</t>
  </si>
  <si>
    <t>2.3.5</t>
  </si>
  <si>
    <t>2.3.6</t>
  </si>
  <si>
    <t>2.3.7</t>
  </si>
  <si>
    <t>2.3.8</t>
  </si>
  <si>
    <t>Tíquete Refeição</t>
  </si>
  <si>
    <t>Cesta Básica - Vale Alimentação</t>
  </si>
  <si>
    <t>Auxílio Saúde</t>
  </si>
  <si>
    <t>Auxílio Creche</t>
  </si>
  <si>
    <t>Seguro de Vida em Grupo</t>
  </si>
  <si>
    <t>Benef. Social Familiar (Sindical)</t>
  </si>
  <si>
    <t>Benefício Alimentar Matinal</t>
  </si>
  <si>
    <t>Benefício Filho Excepcional</t>
  </si>
  <si>
    <t>2.3.9</t>
  </si>
  <si>
    <t xml:space="preserve"> Vale Transporte</t>
  </si>
  <si>
    <t>Custo Unitário para o Empregador = A</t>
  </si>
  <si>
    <t>Custo Unitário para o Empregado = B</t>
  </si>
  <si>
    <t>Média de dias trabalhados por mês em cada Unidade da PF, conforme aba "Dados do Licitante" = C</t>
  </si>
  <si>
    <t>( A - B ) x C</t>
  </si>
  <si>
    <t>Custo Mensal para o Empregador = D</t>
  </si>
  <si>
    <t>Custo Mensal para o Empregador = E</t>
  </si>
  <si>
    <t>Salário base conforme Convenção Coletiva de Trabalho da categoria na Região da prestação dos serviços</t>
  </si>
  <si>
    <t>Benefício conforme Convenção Coletiva de Trabalho da categoria na Região da prestação dos serviços.</t>
  </si>
  <si>
    <t>Previsão CCT = 30% = F</t>
  </si>
  <si>
    <t>Base de Cálculo = Salário Mínimo Nacional = G</t>
  </si>
  <si>
    <t>% de Incidência = H</t>
  </si>
  <si>
    <t>Nº de  Filhos = I</t>
  </si>
  <si>
    <t>F x G x H x I</t>
  </si>
  <si>
    <t>Custo Mensal para o Empregador = J</t>
  </si>
  <si>
    <t>Custo Mensal para o Empregado = K</t>
  </si>
  <si>
    <t>J - K</t>
  </si>
  <si>
    <t>Custo Mensal para o Empregador = L</t>
  </si>
  <si>
    <t>Custo Mensal para o Empregado = M</t>
  </si>
  <si>
    <t>L - M</t>
  </si>
  <si>
    <t>Custo Mensal para o Empregador = N</t>
  </si>
  <si>
    <t>Custo Mensal para o Empregado = O</t>
  </si>
  <si>
    <t>N - O</t>
  </si>
  <si>
    <t>Previsão CCT = 20% = P</t>
  </si>
  <si>
    <t>Base de Cálculo = Piso Salarial da Função = Q</t>
  </si>
  <si>
    <t>% de Incidência = R</t>
  </si>
  <si>
    <t>Nº de  Filhos = S</t>
  </si>
  <si>
    <t>P x Q x R x S</t>
  </si>
  <si>
    <t>Custo Unitário do Bilhete (Viagem) de Transporte Público = T</t>
  </si>
  <si>
    <t>Número de Viagens por dia = 2 viagens (Ida e Volta) = 2</t>
  </si>
  <si>
    <t>Média de dias trabalhados por mês em cada Unidade da PF, conforme aba "Dados do Licitante" = U</t>
  </si>
  <si>
    <t>Participação máxima dos empregados no custeio do VT (6% sobre o salario base da categoria) = 6%</t>
  </si>
  <si>
    <t>Salário base da categoria = V</t>
  </si>
  <si>
    <t>[( T x 2 x U ) - ( 6% x V )]</t>
  </si>
  <si>
    <t>Conforme Lei nº 7.418, de 16 de dezembro de 1985 (Institui o Vale-Transporte e dá outras providências).
https://www.planalto.gov.br/ccivil_03/leis/l7418.htm</t>
  </si>
  <si>
    <t>Probabilidade de Ocorrência</t>
  </si>
  <si>
    <t>Módulo 4 - Custo de Reposição do Profissional Ausente</t>
  </si>
  <si>
    <t>Submódulo 4.1 – Ausência Legais</t>
  </si>
  <si>
    <t>4.1</t>
  </si>
  <si>
    <t>Ausência Legais</t>
  </si>
  <si>
    <t>Dias</t>
  </si>
  <si>
    <r>
      <t xml:space="preserve">Benefício conforme Convenção Coletiva de Trabalho da categoria na Região da prestação dos serviços.
</t>
    </r>
    <r>
      <rPr>
        <sz val="9"/>
        <color rgb="FFFF0000"/>
        <rFont val="Calibri"/>
        <family val="2"/>
        <scheme val="minor"/>
      </rPr>
      <t>(Região de Ribeirão Preto/SP).</t>
    </r>
  </si>
  <si>
    <r>
      <t xml:space="preserve">Ausências Legais em </t>
    </r>
    <r>
      <rPr>
        <b/>
        <sz val="9"/>
        <color rgb="FFFF0000"/>
        <rFont val="Calibri"/>
        <family val="2"/>
        <scheme val="minor"/>
      </rPr>
      <t xml:space="preserve">DIAS ÚTEIS </t>
    </r>
    <r>
      <rPr>
        <sz val="9"/>
        <rFont val="Calibri"/>
        <family val="2"/>
        <scheme val="minor"/>
      </rPr>
      <t>(incluem todos as demais ausências como maternidade, paternidade, acidente de trabalho, etc)
(OBJETO DE DISPUTA, PODE-SE INSERIR VALORES FRACIONADOS)
EMPRESA RECEBERÁ ESSE VALOR MENSALMENTE, INDEPENDENTEMENTE DAS OCORRÊNCIAS SEREM MAIORES OU MENORES QUE O VALOR OFERTADO</t>
    </r>
  </si>
  <si>
    <t>IMPORTANTE:
O licitante deverá comprovar o valor definido nesta célula, por meio da apresentação, no Propcesso Licitatório, do documento RAIS (Relação Anual de Informações Sociais) do ano-base anterior.
O valor de referência apresentado nesta célula foi obtido pela soma de todas as linhas (exceto linha FÉRIAS) dispostas no quadro apresentado no item MÓDULO 4 – CUSTO DE REPOSIÇÃO DO PROFISSIONAL AUSENTE, na página 20, da publicação de nome "Estudo sobre a Composição dos Custos dos Valores Limites Serviços de Limpeza e Conservação - Unidade da Federação São Paulo - 2019", disponibilizada no site do Portal de Compras do Governo Federal na Internet na página do endereço eletrônico (https://www.gov.br/compras/pt-br/agente-publico/cadernos-tecnicos-e-valores-limites/cadernos-tecnicos-e-valores-limites-2019), clicando-se na linha específica para o Estado de São Paulo no quadro de LIMPEZA. 
O Estudo está disponibilizado no link (https://www.gov.br/compras/pt-br/agente-publico/cadernos-tecnicos-e-valores-limites/cts-2019/ct_lim_sp_2019.pdf)
CATEGORIA                        DIAS DE REPOSIÇÃO
Ausência justificada        1,0000
Acidente trabalho              0,9659
Afastamento por doença  3,4932
Consulta médica filho       0,2688
Óbitos na família               0,0427
Casamento                           0,0355
Doação de sangue              0,0200
Testemunho                         0,0040
Paternidade                         0,1997
Maternidade                        2,4753
Consulta pré-natal              0,0098
Total                                 =  8,5149</t>
  </si>
  <si>
    <t>Módulo 5 - Insumos Diversos</t>
  </si>
  <si>
    <t>Insumos Diversos</t>
  </si>
  <si>
    <t>Equipamentos de Limpeza e Higiene</t>
  </si>
  <si>
    <t>Utensílios de Limpeza</t>
  </si>
  <si>
    <r>
      <t>Conforme Decreto-Lei nº 5.452 de 1 de maio de 1943 (</t>
    </r>
    <r>
      <rPr>
        <i/>
        <sz val="9"/>
        <color theme="1"/>
        <rFont val="Calibri"/>
        <family val="2"/>
        <scheme val="minor"/>
      </rPr>
      <t>Aprova a Consolidação das Leis do Trabalho</t>
    </r>
    <r>
      <rPr>
        <sz val="9"/>
        <color theme="1"/>
        <rFont val="Calibri"/>
        <family val="2"/>
        <scheme val="minor"/>
      </rPr>
      <t xml:space="preserve">)
https://www.planalto.gov.br/ccivil_03/decreto-lei/del5452.htm
</t>
    </r>
  </si>
  <si>
    <t>TR</t>
  </si>
  <si>
    <t>Conforme Legislação Tributária do Município da Prestação dos Serviços</t>
  </si>
  <si>
    <t>Salário base da função = A</t>
  </si>
  <si>
    <t>A x 30%</t>
  </si>
  <si>
    <t>CLT (Art. 189 a 192) - Constituição Federal de 1988 (Art. 7º inciso XXIII)</t>
  </si>
  <si>
    <t>1/12
'(Remuneração / 12 meses)</t>
  </si>
  <si>
    <t xml:space="preserve">(1/3)/12=1/36
'(Remuneração*1/3) / 12 meses
</t>
  </si>
  <si>
    <t>Constituição Federal de 1988 (Art. 7º, XVII).</t>
  </si>
  <si>
    <t>BASE DE CÁLCULO: Módulo 1 + Submódulo 2.1</t>
  </si>
  <si>
    <t>Lei nº 8.212/91, Art. 22, Inciso I.</t>
  </si>
  <si>
    <t>Lei 9.424/1996, art. 15; Constituição Federal de 1988 (Art. 212º, § 5º).</t>
  </si>
  <si>
    <t xml:space="preserve"> RAT x FAP = 3 x 1,000 =3,000%</t>
  </si>
  <si>
    <t xml:space="preserve">RAT x FAP, em que:  
RAT – 3% ( Anexo V do Decreto n.º 3.048/1999).
FAP – 1,000 (Conforme comprovante INSS, anexo à documentação de habilitação.
RAT x FAP = 3 x 1,000 = 3,000%                                                                                                                                                                                                                                                                                                                                                                                                                                                                                                                                                                                                                                                                                                                                                                                                                                                                                                                                                                                                                                                                                                                                                                                                                                                                              </t>
  </si>
  <si>
    <t>Lei n.º 8.036/90, Art. 3º;  Decreto-Lei 9.853/1946, Art. 3º</t>
  </si>
  <si>
    <t>Lei n.º 8.029/90, Art. 8º  e Lei n.º 8.154/90.</t>
  </si>
  <si>
    <t>Decreto-Lei nº 1.146/1970 (Art. 1º, inciso I)</t>
  </si>
  <si>
    <t>Lei nº 8.036, Art. 15;  Constituição Federal de 1988, Art. 7°, inciso III.</t>
  </si>
  <si>
    <t>API = (1+1/12+1/12+1/3*1/12)</t>
  </si>
  <si>
    <t>Constituição Federal de 1988 (Art. 7º, XXI); CLT (Art. 477, 487 a 491); Lei n. 12.506/2011.</t>
  </si>
  <si>
    <t>API * SubMódulo 2.2-H</t>
  </si>
  <si>
    <t>Lei nº 8.036/1990</t>
  </si>
  <si>
    <t xml:space="preserve">API * SubMódulo 2.2-H * 40% (Multa) </t>
  </si>
  <si>
    <t>Leis nº 8.036/1990, 9.491/1997, e LC 110/2001</t>
  </si>
  <si>
    <t>(A+B+C) X 5% (probababilidade de ocorrência do API)</t>
  </si>
  <si>
    <t>Incidência dos encargos do Submódulo 2.2 sobre aviso prévio trabalhado</t>
  </si>
  <si>
    <t>APT * Σ SubMódulo 2.2</t>
  </si>
  <si>
    <t xml:space="preserve">Incidência do Submódulo 2.2 x Aviso Prévio Trabalhado, em que:   FGTS = 8%;                                                                                                                                                                                                                                                                                                                                                                                                                                                                                                                                                                                                                                                                            </t>
  </si>
  <si>
    <t xml:space="preserve">((APT x SubMódulo 2.2-H) x 40%(multa)) </t>
  </si>
  <si>
    <t>Leis nº 8.036/1990, 9.491/1997, e LC 110/2001
Lei nº 13.932/2019</t>
  </si>
  <si>
    <t>Aviso prévio trabalhado Com Probabilidade</t>
  </si>
  <si>
    <t>(E+F+G) X 95% (probababilidade de ocorrência do APT)</t>
  </si>
  <si>
    <r>
      <t xml:space="preserve">1/12 = 8,33%
'(Remuneração / 12 meses)
</t>
    </r>
    <r>
      <rPr>
        <sz val="9"/>
        <color theme="1"/>
        <rFont val="Calibri"/>
        <family val="2"/>
        <scheme val="minor"/>
      </rPr>
      <t xml:space="preserve">Base de Cálculo = MÓDULO 1 + MÓDULO 2 + MÓDULO 3 </t>
    </r>
  </si>
  <si>
    <t>Constituição Federal de 1988 (art. 7º, inc. XVII) ;
CLT (arts. 129 e 130, I)</t>
  </si>
  <si>
    <t>Faltas Justificadas: Art.131 , inciso III, da CLT. Art. 476 da CLT, art. 6º, §1º, alínea "f", da Lei n. 605, de 1949, e  art. 12, alínea "f", do Decreto n. 27.048, de 1949.
Paternidade: Art. 7º, inciso XIX da CF. §1º do artigo 10 do ADCT. Lei n. 13.527/2016; 
Acidente de Trabalho: Art. 27 do Dec. 89312/84, Art. 131 da CLT e MP. 664/2014;    
Maternidade: Art. 7º inc. XVIII, CF, Lei 8.213/91, art. 72 e Lei 11770/2008. Lei n. 13.527/2016.</t>
  </si>
  <si>
    <t>Custo Indireto = Σ (Módulo 1 a Módulo 5) * % Custos Indiretos</t>
  </si>
  <si>
    <t xml:space="preserve">Lucro = Σ (Módulo 1 a Módulo 5) + Custos Indiretos) × % Lucro
</t>
  </si>
  <si>
    <t>Σ ( Módulos 1 + 2 + 3 + 4 + 5 + 6) * % PIS</t>
  </si>
  <si>
    <t>Σ ( Módulos 1 + 2 + 3 + 4 + 5 + 6) * % COFINS</t>
  </si>
  <si>
    <t>Σ ( Módulos 1 + 2 + 3 + 4 + 5 + 6) * % ISSQN</t>
  </si>
  <si>
    <t>Σ ( Módulos 1 + 2 + 3 + 4 + 5 + Custos Indiretos + Lucro) 
______________________________________________ 
1 - (Σ % dos tributos/100)</t>
  </si>
  <si>
    <r>
      <t>Art. 488 da CLT. - Custo 7 dias a mais APT (</t>
    </r>
    <r>
      <rPr>
        <u/>
        <sz val="9"/>
        <rFont val="Calibri"/>
        <family val="2"/>
        <scheme val="minor"/>
      </rPr>
      <t>Após ano 1 reduzir para 3/30/12</t>
    </r>
    <r>
      <rPr>
        <sz val="9"/>
        <rFont val="Calibri"/>
        <family val="2"/>
        <scheme val="minor"/>
      </rPr>
      <t>)</t>
    </r>
  </si>
  <si>
    <t>Incidência do Submódulo 2.2. sobre 7 dias a mais APT</t>
  </si>
  <si>
    <r>
      <t>Deve ser 5,00% ou maior</t>
    </r>
    <r>
      <rPr>
        <sz val="8"/>
        <rFont val="Calibri"/>
        <family val="2"/>
      </rPr>
      <t>→</t>
    </r>
  </si>
  <si>
    <r>
      <t>2.1 – 13º Salário</t>
    </r>
    <r>
      <rPr>
        <b/>
        <sz val="9"/>
        <rFont val="Calibri"/>
        <family val="2"/>
      </rPr>
      <t xml:space="preserve"> e Adicional de Férias</t>
    </r>
  </si>
  <si>
    <t>TOTAL DO CUSTO POR TIPO DE FUNÇÃO DE EMPREGADO</t>
  </si>
  <si>
    <t>APT = (7/30/12) x (1+1/12+1/12+1/3*1/12)</t>
  </si>
  <si>
    <r>
      <t>Lucro (percentual da empresa) (</t>
    </r>
    <r>
      <rPr>
        <b/>
        <u/>
        <sz val="9"/>
        <color indexed="10"/>
        <rFont val="Calibri"/>
        <family val="2"/>
      </rPr>
      <t>OBJETO DE DISPUTA, PODE-SE INSERIR VALORES FRACIONADOS</t>
    </r>
    <r>
      <rPr>
        <sz val="9"/>
        <rFont val="Calibri"/>
        <family val="2"/>
      </rPr>
      <t>)</t>
    </r>
  </si>
  <si>
    <t>Vale Transporte</t>
  </si>
  <si>
    <t>Município da Unidade da PF</t>
  </si>
  <si>
    <t>Salário base</t>
  </si>
  <si>
    <t>(R$)</t>
  </si>
  <si>
    <t>UNIDADE</t>
  </si>
  <si>
    <t>(DIAS)</t>
  </si>
  <si>
    <t>Bilhetes por Dia</t>
  </si>
  <si>
    <t>(UNIDADE)</t>
  </si>
  <si>
    <t>(%)</t>
  </si>
  <si>
    <t>Custo para a Empresa descontando a participação do Empregado</t>
  </si>
  <si>
    <t>Valor Unitário</t>
  </si>
  <si>
    <t>VT</t>
  </si>
  <si>
    <t>Sindicato Patronal</t>
  </si>
  <si>
    <t>Sindicato dos Trabalhadores</t>
  </si>
  <si>
    <t>B) Valor a ser depositado na CONTA VINCULADA para 13º Salário</t>
  </si>
  <si>
    <t>C) Valor a ser depositado na CONTA VINCULADA para Férias + 1/3 Férias</t>
  </si>
  <si>
    <r>
      <t xml:space="preserve">D) Valor </t>
    </r>
    <r>
      <rPr>
        <b/>
        <sz val="9"/>
        <color rgb="FFFF0000"/>
        <rFont val="Calibri"/>
        <family val="2"/>
      </rPr>
      <t xml:space="preserve">a ser retido na Nota Fiscal mensal </t>
    </r>
    <r>
      <rPr>
        <sz val="9"/>
        <rFont val="Calibri"/>
        <family val="2"/>
      </rPr>
      <t>para Encargos Trabalhistas sobre 13º Salário + Férias + 1/3 Férias</t>
    </r>
  </si>
  <si>
    <t>E) Valor a ser depositado na CONTA VINCULADA para Rescisões</t>
  </si>
  <si>
    <t>Observação: o valor de (D) para "Encargos Trabalhistas sobre 13º Salário + Férias + 1/3 Férias" será retido, mensalmente, dretamente da Nota Fiscal.</t>
  </si>
  <si>
    <t>Mecânico Naval</t>
  </si>
  <si>
    <t>Auxiliar de Serviços Gerais</t>
  </si>
  <si>
    <t>DESCRIÇÃO DO ITEM</t>
  </si>
  <si>
    <t>TOTAL MENSAL</t>
  </si>
  <si>
    <t>litro</t>
  </si>
  <si>
    <t>Detergente neutro</t>
  </si>
  <si>
    <t>Flotador para limpeza de banco de couro</t>
  </si>
  <si>
    <t>Desengraxante alcalino</t>
  </si>
  <si>
    <t>Limpador multiuso</t>
  </si>
  <si>
    <t>Limpa vidro</t>
  </si>
  <si>
    <t>Sapolio liquido</t>
  </si>
  <si>
    <t>pt</t>
  </si>
  <si>
    <t>Sal azedo</t>
  </si>
  <si>
    <t>Desumificador</t>
  </si>
  <si>
    <t>par</t>
  </si>
  <si>
    <t>Desinfetante</t>
  </si>
  <si>
    <t>Esponja macia limpeza geral</t>
  </si>
  <si>
    <t>und</t>
  </si>
  <si>
    <t>Esponja dupla face</t>
  </si>
  <si>
    <t>Alcool gel</t>
  </si>
  <si>
    <t>Aguá sanitaria</t>
  </si>
  <si>
    <t>pc</t>
  </si>
  <si>
    <t>Limpa limo</t>
  </si>
  <si>
    <t>Pano de chão de algodão</t>
  </si>
  <si>
    <t>Silicone líquido</t>
  </si>
  <si>
    <t>kg</t>
  </si>
  <si>
    <t>Escova manual de limpeza</t>
  </si>
  <si>
    <t>Vassoura com cerdas plásticas</t>
  </si>
  <si>
    <t>Rodo</t>
  </si>
  <si>
    <t>Pincel para limpeza de painéis</t>
  </si>
  <si>
    <t>PREÇO UNITÁRIO</t>
  </si>
  <si>
    <t>VIDA ÚTIL (MESES)</t>
  </si>
  <si>
    <t>Bóia classe II</t>
  </si>
  <si>
    <t>Colete classe II</t>
  </si>
  <si>
    <t>UNIFORME - MECÂNICO</t>
  </si>
  <si>
    <t>ITEM</t>
  </si>
  <si>
    <t>QUANTIDADE MECÂNICO</t>
  </si>
  <si>
    <t>CUSTO TOTAL MENSAL DO MECÂNICO</t>
  </si>
  <si>
    <t>Short Nylon</t>
  </si>
  <si>
    <t>unidade</t>
  </si>
  <si>
    <t>Camisa polo, com logomarca da empresa</t>
  </si>
  <si>
    <t>Botina com solado de borracha e ponteira de aço</t>
  </si>
  <si>
    <t>Jaqueta de nylon</t>
  </si>
  <si>
    <t>Crachá de identificação</t>
  </si>
  <si>
    <t>Meia de algodão cor branca</t>
  </si>
  <si>
    <t>Luva em raspa de couro punho 20 cm</t>
  </si>
  <si>
    <t>Óculos de proteção</t>
  </si>
  <si>
    <t>TOTAL MENSAL UNIFORME MECÂNICO</t>
  </si>
  <si>
    <t>QUANTIDADE AUX. SERVIÇOS GERAIS</t>
  </si>
  <si>
    <t>CUSTO TOTAL MENSAL DO AUXILIAR</t>
  </si>
  <si>
    <t>TOTAL MENSAL UNIFORME AUXILIAR DE SERVIÇOS GERAIS</t>
  </si>
  <si>
    <t>Auxiliar de Serviços Gerias</t>
  </si>
  <si>
    <t>Quantidade de Postos →</t>
  </si>
  <si>
    <t xml:space="preserve">Santos/SP </t>
  </si>
  <si>
    <t>Santos/SP</t>
  </si>
  <si>
    <t>São Sebastião/SP</t>
  </si>
  <si>
    <t>QTDE MENSAL</t>
  </si>
  <si>
    <t>frasco 500ml</t>
  </si>
  <si>
    <t>galão</t>
  </si>
  <si>
    <t>frasco 300ml</t>
  </si>
  <si>
    <t>Saco de lixo 100L, pc 100 unid.</t>
  </si>
  <si>
    <t>Massa de polir, unid. 500 mg.</t>
  </si>
  <si>
    <t>unid.</t>
  </si>
  <si>
    <t>MÃO-DE-OBRA ESPECIALIZADA</t>
  </si>
  <si>
    <t>GRUPO</t>
  </si>
  <si>
    <t xml:space="preserve">VALOR MENSAL </t>
  </si>
  <si>
    <t xml:space="preserve">Shampoo Náutico com Cera </t>
  </si>
  <si>
    <t>Vaselina líquida</t>
  </si>
  <si>
    <t>Estopa de limpeza</t>
  </si>
  <si>
    <t>Luva latex</t>
  </si>
  <si>
    <t>Nome/Sigla:</t>
  </si>
  <si>
    <t>CNPJ:</t>
  </si>
  <si>
    <t xml:space="preserve">Data Base da Categoria : </t>
  </si>
  <si>
    <t xml:space="preserve">Mês e Ano da CCT/Sentença Normativa/Dissídio: </t>
  </si>
  <si>
    <t xml:space="preserve">Observação: as glosas a serem aplicadas serão subtraídas do preço mensal de serviços na Unidade da PF. Dentre outras, tem-se: glosa por posto não ativado; glosa por posto não coberto; glosa por uniformes em não conformidade; glosas por equipamentos em não conformidade; glosas por utensílios em não conformidade etc.). Após os descontos das glosas, será autorizada a emissão da Nota Fiscal. Do valor da Nota Fiscal, serão descontados INSS, impostos, tributos etc. para as retenções pertinentes. Do valor resultante após todos os descontos, serão retidos os valores a serem depositados na CONTA VINCULADA do contrato. Após a retenção dos valores da CONTA VINCULADA, o valor resultante será depositado na CONTA COMERCIAL da empresa contratada. </t>
  </si>
  <si>
    <r>
      <t xml:space="preserve">A) Valor Mensal a ser depositado na CONTA VINCULADA
</t>
    </r>
    <r>
      <rPr>
        <sz val="9"/>
        <rFont val="Calibri"/>
        <family val="2"/>
      </rPr>
      <t xml:space="preserve">Valor a ser recolhido para a </t>
    </r>
    <r>
      <rPr>
        <u/>
        <sz val="9"/>
        <color indexed="53"/>
        <rFont val="Calibri"/>
        <family val="2"/>
      </rPr>
      <t>CONTA VINCULADA</t>
    </r>
    <r>
      <rPr>
        <sz val="9"/>
        <rFont val="Calibri"/>
        <family val="2"/>
      </rPr>
      <t xml:space="preserve">, </t>
    </r>
    <r>
      <rPr>
        <u/>
        <sz val="9"/>
        <color indexed="36"/>
        <rFont val="Calibri"/>
        <family val="2"/>
      </rPr>
      <t xml:space="preserve">CASO NÃO OCORRAM GLOSAS: </t>
    </r>
    <r>
      <rPr>
        <sz val="9"/>
        <rFont val="Calibri"/>
        <family val="2"/>
      </rPr>
      <t xml:space="preserve"> (A) = (B) + (C) + (E)
(Detelhamento abaixo ↓)</t>
    </r>
  </si>
  <si>
    <t>(preencher apenas células com fundo amarelo)</t>
  </si>
  <si>
    <t xml:space="preserve">EQUIPAMENTOS FIXOS (MECÂNICO NAVAL)                                                                                             </t>
  </si>
  <si>
    <t xml:space="preserve"> (preencher apenas células com fundo amarelo)</t>
  </si>
  <si>
    <t>Outros: especificar</t>
  </si>
  <si>
    <t>QTDD</t>
  </si>
  <si>
    <t>UNIFORME - AUXILIAR DE SERVIÇOS GERAIS</t>
  </si>
  <si>
    <t xml:space="preserve"> PREÇO UNITÁRIO
(hora/homem)</t>
  </si>
  <si>
    <r>
      <rPr>
        <b/>
        <sz val="11"/>
        <color theme="1"/>
        <rFont val="Calibri"/>
        <family val="2"/>
        <scheme val="minor"/>
      </rPr>
      <t>SERVIÇOS  DE MANUTENÇÃO ESPECIALIZADA</t>
    </r>
    <r>
      <rPr>
        <sz val="11"/>
        <color theme="1"/>
        <rFont val="Calibri"/>
        <family val="2"/>
        <scheme val="minor"/>
      </rPr>
      <t xml:space="preserve"> - mão-de-obra especializada, para manutenção preventiva e corretiva, em diversas áreas, tendo como exemplo: elétrica e eletrônica, tornearia mecânica, técnico de refrigeração, estrutura naval das embarcações da flotilha, com motores de combustão a diesel ou gasolina, incluindo limpeza de cascos e casarios em fibra de vidro, estrutura metálica, madeira naval e pneumático, e, inclusive, daquelas que estiverem sob a guarda ou responsabilidade da Polícia Federal.</t>
    </r>
  </si>
  <si>
    <t xml:space="preserve">EQUIPAMENTOS FIXOS (AUXILIAR DE SERVIÇOS GERAIS)                                                                                             </t>
  </si>
  <si>
    <t>CBO: 5143-25</t>
  </si>
  <si>
    <t>CBO: 9142-05</t>
  </si>
  <si>
    <t>ITEM OU SERVIÇO</t>
  </si>
  <si>
    <t>LOCAL DE EXECUÇÃO</t>
  </si>
  <si>
    <t>CBO</t>
  </si>
  <si>
    <t>CARGA HORÁRIA</t>
  </si>
  <si>
    <t>44 horas semanais</t>
  </si>
  <si>
    <t xml:space="preserve">1 posto </t>
  </si>
  <si>
    <t>QTDD. POSTOS</t>
  </si>
  <si>
    <t>Utensílios/Materiais de Consumo</t>
  </si>
  <si>
    <t>2.3.4 Auxílio Funeral</t>
  </si>
  <si>
    <t>2.3.5 Auxílio Creche</t>
  </si>
  <si>
    <t>2.3.6 Seguro de Vida em Grupo</t>
  </si>
  <si>
    <t>2.3.7 Vale Transporte</t>
  </si>
  <si>
    <t>Flanela em tecido, 100% algodão.</t>
  </si>
  <si>
    <t>Bomba de drenagem de óleo no carter</t>
  </si>
  <si>
    <t>Arco de serra</t>
  </si>
  <si>
    <t>Aplicador de sikaflex</t>
  </si>
  <si>
    <t>Furadeira elétrica</t>
  </si>
  <si>
    <t>Parafusadeira elétrica</t>
  </si>
  <si>
    <t>Politriz</t>
  </si>
  <si>
    <t>Lixadeira elétrica</t>
  </si>
  <si>
    <t>Ferro de solda</t>
  </si>
  <si>
    <t>Alicate prensa terminais pré-isolados 7 pol</t>
  </si>
  <si>
    <t>Espátula para borracheiro chata de 24 pol</t>
  </si>
  <si>
    <t>Trena professional 5m x 19mm</t>
  </si>
  <si>
    <t>Paquímetro analógico em aço de até 6 pol.</t>
  </si>
  <si>
    <t>Espátula de aço inoxidável lisa de 120mm</t>
  </si>
  <si>
    <t>Alicate amperímetro digital</t>
  </si>
  <si>
    <t xml:space="preserve">Lixadeira roto orbital 6 pol </t>
  </si>
  <si>
    <t>Chave grifo profissional de 36 pol</t>
  </si>
  <si>
    <t>UNIDADE DE MEDIDA</t>
  </si>
  <si>
    <t xml:space="preserve">Local, data </t>
  </si>
  <si>
    <t>__________________________________________</t>
  </si>
  <si>
    <t xml:space="preserve">Assinatura </t>
  </si>
  <si>
    <t xml:space="preserve">Nome do Representante Legal da Empresa: </t>
  </si>
  <si>
    <t xml:space="preserve">RG: </t>
  </si>
  <si>
    <t xml:space="preserve">CPF: </t>
  </si>
  <si>
    <t>Nome da Empresa:</t>
  </si>
  <si>
    <t>Data:</t>
  </si>
  <si>
    <t xml:space="preserve">Após tomar conhecimento de todas as condições lá estabelecidas, declaramos expressamente que: </t>
  </si>
  <si>
    <t>Objeto: Serviços continuados de manutenção preventiva e corretiva de embarcações, com fornecimento de peças, materiais e equipamentos necessários, apoio técnico operacional, inclusive serviços de controle técnico e de conservação e limpeza dos núcleos da Polícia Federal: NEPOM/DPF/STS/SP e  NEPOM/DPF/SSB/SP.</t>
  </si>
  <si>
    <t>PROPOSTA DE PREÇOS</t>
  </si>
  <si>
    <t>Telefone/fax/e-mail:</t>
  </si>
  <si>
    <t>Lancha – GAROFOLO: Marca FIBRAFORT, modelo FOCKER 255, equipada com um motor de popa YAMAHA, de 200 HP, 2 tempos, a gasolina, casco em fibra, 24,11 pés (7,35m).</t>
  </si>
  <si>
    <t>Lancha de Fiscalização Fluvial – LFF 007:Marca GESPI, equipada com um motor YAMAHA de 200 HP, 4 tempos, a gasolina, casco em alumínio naval, com estrutura metálica no casario, 20 pés (6,1m).</t>
  </si>
  <si>
    <t>Bote Inflável – MOREIA I : Marca SILLINGER, equipado com um motor de popa MERCURY, de 90 HP, 4 tempos, carburado, a gasolina, casco em fibra, 17,22 pés (5,25m).</t>
  </si>
  <si>
    <t>Moto Aquática Sea Doo GTI SE 170</t>
  </si>
  <si>
    <t>Moto Aquática Sea Doo GTI SE 130</t>
  </si>
  <si>
    <t>Embarcação</t>
  </si>
  <si>
    <t>Ano</t>
  </si>
  <si>
    <t>2003/2003</t>
  </si>
  <si>
    <t>2012/2012</t>
  </si>
  <si>
    <t>2019/2020</t>
  </si>
  <si>
    <t>Lancha de Patrulha Costeira - LPC TITAN: Marca SPIRIT FERRETTI, em fibra de vidro, blindagem, equipada com dois motores SCANIA de 575 hp cada, 4 tempos, diesel, casco e casario em fibra, estrutura metálica e vidros blindados, 45 pés (13,7m).</t>
  </si>
  <si>
    <t>Moto Aquática Yamaha VX Cruizer 1100;</t>
  </si>
  <si>
    <t>Moto Aquática Seadoo RXP 300 RS</t>
  </si>
  <si>
    <t>2005/2005</t>
  </si>
  <si>
    <t>2015/2015</t>
  </si>
  <si>
    <t>Unidade</t>
  </si>
  <si>
    <t>Lancha de Fiscalização Fluvial – LFF 012: Marca GESPI, equipada com um motor MERCURY de 200 HP, 2 tempos, a gasolina, casco em alumínio naval, com estrutura metálica no casario, 20 pés (6,1m).</t>
  </si>
  <si>
    <t>Marreta 4kg cabo longo</t>
  </si>
  <si>
    <t>Engraxadeira</t>
  </si>
  <si>
    <t>Serviços continuados de manutenção preventiva e corretiva de embarcações, com fornecimento de peças, materiais e equipamentos necessários, apoio técnico operacional, inclusive serviços de controle técnico e de conservação e limpeza dos Núcleos Especiais de Polícia Marítima da Polícia Federal nos municípios de Santos/SP e São Sebastião/SP.</t>
  </si>
  <si>
    <t>AUXILIAR DE SERVIÇOS GERAIS</t>
  </si>
  <si>
    <t>MECÂNICO NAVAL</t>
  </si>
  <si>
    <t xml:space="preserve">CBO: </t>
  </si>
  <si>
    <t>Máscara descartável pó</t>
  </si>
  <si>
    <t>Macacão descartável G</t>
  </si>
  <si>
    <t>Kit de ferramentas (jogos de chaves combinadas, alicates,chaves de fenda, caixa de ferramentas, etc)</t>
  </si>
  <si>
    <t>Lavadora de Pressão uso profissional diário</t>
  </si>
  <si>
    <t>Aspirador de pó e água profissional</t>
  </si>
  <si>
    <t>Saca para hélices eixo 55mm 4 pás</t>
  </si>
  <si>
    <t>Carregador de baterias 80 amperes 12 e 24V</t>
  </si>
  <si>
    <t>Compressor de ar, com pistola e calibrador</t>
  </si>
  <si>
    <t>Lancha de Patrulha e Interceptação – LPI TAMBAQUI: Marca FLEXBOAT, modelo SR-760 geração II, equipado com dois motores de popa MERCURY, de 200 hp cada, 2 tempos, a gasolina, casco em fibra e boias pneumáticas, casario em fibra e estrutura metálica, toldo em lona naval, 27 pés (8,30m).</t>
  </si>
  <si>
    <t>Jogo de soquetes 08mm até 32mm 1/2</t>
  </si>
  <si>
    <t>Jogo de soquetes 22mm até 50mm 3/4</t>
  </si>
  <si>
    <t>Jogo de soquetes 06 mm até 14mm 1/4</t>
  </si>
  <si>
    <t>Base de Cálculo Auxiliar Serviços Gerais→</t>
  </si>
  <si>
    <t>Base de Cálculo Mecânico Naval→</t>
  </si>
  <si>
    <t xml:space="preserve">Esta proposta é válida por 60 (sessenta) dias, a contar da data estabelecida para a sua apresentação. </t>
  </si>
  <si>
    <t>Tributo Municipal
ISSQN</t>
  </si>
  <si>
    <t>Outros, especificar</t>
  </si>
  <si>
    <t>% de Incidência →
(chance de que ocorra com o funcinário)</t>
  </si>
  <si>
    <t>Protetor auricular</t>
  </si>
  <si>
    <t>Mangueira de jardim 50m</t>
  </si>
  <si>
    <t>Multímetro  portátil - MA-120A - digital</t>
  </si>
  <si>
    <t>Salário-Base da Categoria</t>
  </si>
  <si>
    <t>&gt;&gt;&gt;&gt;&gt;&gt;&gt;&gt;&gt;&gt;&gt;&gt;&gt;&gt;&gt;</t>
  </si>
  <si>
    <t>Participação máxima dos empregados no custeio do VT          &gt;&gt;&gt;&gt;&gt;&gt;
(até 6% sobre o salario da categoria)</t>
  </si>
  <si>
    <t>60.012.168/0001-49</t>
  </si>
  <si>
    <t>SITSMMMEC - Sindicato dos Siderúrgicos e Metalúrgicos da Baixada Santista</t>
  </si>
  <si>
    <t>SIMMES - Sindicato das Indústrias Metalúrgicas Eletro Eletrônicas da Baixada Santista</t>
  </si>
  <si>
    <t>SIMMES -  Sindicato dos Siderúrgicos e Metalúrgicos da Baixada Santista</t>
  </si>
  <si>
    <t>58.194.333/0001-89</t>
  </si>
  <si>
    <t>Previsão CCT → Qtdd benefício (nr de salários)</t>
  </si>
  <si>
    <t>Previsão CCT →  Qtdd benefício (percentual)</t>
  </si>
  <si>
    <t>Moto Aquática Seadoo GTR 230</t>
  </si>
  <si>
    <t xml:space="preserve">PEÇAS  VARIÁVEIS PARA AS EMBARCAÇÕES </t>
  </si>
  <si>
    <t>MARINAUTICA</t>
  </si>
  <si>
    <t>HELECAPE</t>
  </si>
  <si>
    <t>PROMARINE</t>
  </si>
  <si>
    <t>QTDE</t>
  </si>
  <si>
    <t xml:space="preserve"> PREÇO UNIT. </t>
  </si>
  <si>
    <t>KITE REPARO PISTÃO LEME 02 GAXETA 172115 PU - 02 O-RING 1126 C-101</t>
  </si>
  <si>
    <t xml:space="preserve"> und </t>
  </si>
  <si>
    <t>BATERIAS 100 AMPERES 12V HE</t>
  </si>
  <si>
    <t>BOMBA NÁUTICA DE CIRCULAÇÃO SYLLENT AQQUANT SMP3000ZBR 1 CV MONOFÁSICA 220V</t>
  </si>
  <si>
    <t>AUTOMATICO BOMBA DE PORÃO RULLER 35A</t>
  </si>
  <si>
    <t>BOMBA DE PORÃO DE VAZÃO 3700 GPH 24V</t>
  </si>
  <si>
    <t>BOMBA DE PRESSURIZAÇÃO ÁGUA DOCE JABSCO PAR-MAX 4.3 GPM 24V AUTOMÁTICA</t>
  </si>
  <si>
    <t>MOTOR DO LIMPADOR DE PARA BRISA DOGA MODELO 316486530DOE 24V</t>
  </si>
  <si>
    <t>BOMBA DE PORÃO 2000 GPH 12V</t>
  </si>
  <si>
    <t>BRAÇO DUPLO DO LIMPADOR DE PRARABRISA DOGA</t>
  </si>
  <si>
    <t>PAR</t>
  </si>
  <si>
    <t>BUZINA ARAPONGACOM COMPRESSOR AR 24V</t>
  </si>
  <si>
    <t>PALHETA DO LIMPADOR DE PARABRISA 17 CM</t>
  </si>
  <si>
    <t>CHAVE DE BATERIA 2 BANCOS 380 AMP PERKO</t>
  </si>
  <si>
    <t>SELO MECANICO DO EIXO 55MM- DA HÉLICE</t>
  </si>
  <si>
    <t>PÇ</t>
  </si>
  <si>
    <t>VALVULA ENTRADA ÁGUA DOS MOTORES - VALVULA ESFERA DIVERS. EM ACO CLASS 300 DIV#300 CF8M+6 PP-I TP BSP 2" AL-1 S/OC. PV 316138 0000000001 %RBC: 73.334 VERTICAL</t>
  </si>
  <si>
    <t>BUCHA DO PÉ DE GALINHA EIXO 55MM</t>
  </si>
  <si>
    <t>BUCHA DO PÉ DE PINTO EIXO 55MM</t>
  </si>
  <si>
    <t>EIXO DA HÉLICE INOX 316L 55MM X 2,70MT</t>
  </si>
  <si>
    <t>MANCAIS DO EIXO DO HÉLICE ("PÉS DE GALINHA")</t>
  </si>
  <si>
    <t>HÉLICE DE NIBRAL 04 PÁS 25'X32' EIXO 55MM</t>
  </si>
  <si>
    <t>LEME DE NIBRAL 40CM DE LARGURA X 55CM ALTURA COM ASTE DE 04CM</t>
  </si>
  <si>
    <t>PORCA BRONZE DE FIXAÇÃO DOS HÉLICES PARA EIXO 55MM</t>
  </si>
  <si>
    <t xml:space="preserve">SELO MECÂNICO DO EIXO DO HÉLICE PARA EIXO 55MM </t>
  </si>
  <si>
    <t>CAIXA DE PRIMEIROS SOCORROS DE ACORDO COM AS RECOMENDAÇÕES DA NORMAM 3</t>
  </si>
  <si>
    <t>EXTINTOR ABC 1KG</t>
  </si>
  <si>
    <t>EXTINTOR ABC 2KG</t>
  </si>
  <si>
    <t>EXTINTOR ABC 4,5 KG</t>
  </si>
  <si>
    <t>PAINEL INDICADOR DE POSIÇÃO FLAP BENNETT 2 ESTAÇÕES</t>
  </si>
  <si>
    <t>REPOSIÇÃO PISTÃO DE BOMBORDO E BORESTE PARA FLAP BENNETT DIGITAL BE10</t>
  </si>
  <si>
    <t>GUINCHO NÁUTICO ELÉTRICO PARA ANCORAS PACIFIC 1500W 24V CORRENTE 8 MM LANCHAS</t>
  </si>
  <si>
    <t>SOLENOIDE 3 PINOS P/ GUINCHOS ANCORA 1500 WATTS 24V</t>
  </si>
  <si>
    <t>MANETE ELETRÔNICO ZF MODELO MC 2000-1.</t>
  </si>
  <si>
    <t>TOMADA CAIS STECK 3+T 32A MACHO</t>
  </si>
  <si>
    <t>TOMACA DE CAIS STECK 3+T 32A FEMEA</t>
  </si>
  <si>
    <t xml:space="preserve"> uu </t>
  </si>
  <si>
    <t>FUZÍVEIS VIDRO MINI 05, 10,20 A</t>
  </si>
  <si>
    <t>CABO PP 2X2,5MM</t>
  </si>
  <si>
    <t>MT</t>
  </si>
  <si>
    <t>CABO PP 4X8MM</t>
  </si>
  <si>
    <t>BARRA DE BENDAL 12 CONECTORES</t>
  </si>
  <si>
    <t>BOLACHA LAMPADA DE LED 110V</t>
  </si>
  <si>
    <t>FITA ISOLANTE VERDE 10m</t>
  </si>
  <si>
    <t>RL</t>
  </si>
  <si>
    <t>FITA ISOLANTE VERMELHA 10m</t>
  </si>
  <si>
    <t>FITA ISOLANTE PRETA 20m</t>
  </si>
  <si>
    <t>TERMINAL PARA FIOS DIVERSOS DIVERSOS</t>
  </si>
  <si>
    <t>TERMINAL PARA POLO DE BATERIAS</t>
  </si>
  <si>
    <t>LUZ DE TOP DUPLA COM ATRACAÇÃO E ALCANÇADO LUZ ESTROBO E CONTINUA - (AQUA SIGNAL OU SIMILAR) 24V</t>
  </si>
  <si>
    <t xml:space="preserve">LUZ NAVEGACAO BRANCA BOMBORDO 24V </t>
  </si>
  <si>
    <t xml:space="preserve">LUZ NAVEGACAO BRANCA BORESTE 24V </t>
  </si>
  <si>
    <t>LUMIRARIA SALA DE MAQUINAS 220V 40CM</t>
  </si>
  <si>
    <t>LUMINÁRIAS SALA DE MAQUINAS 24 LED'S 10W 24V</t>
  </si>
  <si>
    <t>FITA ISOLANTE AUTO FUSÃO</t>
  </si>
  <si>
    <t>PARAFUSOS INOX DIVERSOS</t>
  </si>
  <si>
    <t>ELEMENTO SEPARADOR (CÓDIGO FABRICANTE R26A50 – RACOR)</t>
  </si>
  <si>
    <t>MATERIAL MOTOR SCANIA DI 12 57M / REVERSOR ZF</t>
  </si>
  <si>
    <t>JUNTA (CÓDIGO SCANIA 1374326)</t>
  </si>
  <si>
    <t>ANEL-O 22X3 (CÓDIGO SCANIA 348993)</t>
  </si>
  <si>
    <t>ANEL-O 19 2X3 (CÓDIGO SCANIA 392702)</t>
  </si>
  <si>
    <t>ANEL (CÓDIGO SCANIA 804672)</t>
  </si>
  <si>
    <t>ANEL-O (CÓDIGO SCANIA 804730)</t>
  </si>
  <si>
    <t>ANEL-O-RING (CÓDIGO SCANIA 1320691)</t>
  </si>
  <si>
    <t>FILTRO DE AR (CÓDIGO SCANIA 1332341)</t>
  </si>
  <si>
    <t>MANGUEIRA (CÓDIGO SCANIA *1 1341741)</t>
  </si>
  <si>
    <t>JUNTA (CÓDIGO SCANIA 1350795)</t>
  </si>
  <si>
    <t>JUNTA (CÓDIGO SCANIA 1421825)</t>
  </si>
  <si>
    <t>TERMOSTATO (CÓDIGO SCANIA 1431979)</t>
  </si>
  <si>
    <t>TERMOSTATO (CÓDIGO SCANIA 1434770)</t>
  </si>
  <si>
    <t>ELEMENTO (CÓDIGO SCANIA 1518512)</t>
  </si>
  <si>
    <t>JUNTA (CÓDIGO SCANIA 1529974)</t>
  </si>
  <si>
    <t>JUNTA (CÓDIGO SCANIA 1536824)</t>
  </si>
  <si>
    <t>ANEL DE VEDAÇÃO (CÓDIGO SCANIA 1748157)</t>
  </si>
  <si>
    <t>ANEL VEDACAO-O (CÓDIGO SCANIA 1769799)</t>
  </si>
  <si>
    <t>ANEL VEDACAO-O (CÓDIGO SCANIA 1769800)</t>
  </si>
  <si>
    <t>JUNTA (CÓDIGO SCANIA 1793349)</t>
  </si>
  <si>
    <t>CORREIA POLY-V (CÓDIGO SCANIA 1 1800548)</t>
  </si>
  <si>
    <t>CORREIA POLY-V (CÓDIGO SCANIA 1 1803331)</t>
  </si>
  <si>
    <t>GLICOL ANTICONGELANTE (CÓDIGO SCANIA 1894324)</t>
  </si>
  <si>
    <t>JOGO DE REPARO (CÓDIGO SCANIA *1 2295719)</t>
  </si>
  <si>
    <t>FILTRO DE OLEO (CÓDIGO SCANIA 1 2059778)</t>
  </si>
  <si>
    <t>SCANIA OIL E7 20L (CÓDIGO SCANIA 2325659)</t>
  </si>
  <si>
    <t>UNID</t>
  </si>
  <si>
    <t>ABRACADEIRA V (CÓDIGO SCANIA 1 1863831)</t>
  </si>
  <si>
    <t xml:space="preserve">PASTA MONTAGEM (CÓDIGO SCANIA 1373091) </t>
  </si>
  <si>
    <t>JG.PCS.ELEMENTO (CÓDIGO SCANIA 1675795)</t>
  </si>
  <si>
    <t>TAMPA PRESSAO (CÓDIGO SCANIA 1403954)</t>
  </si>
  <si>
    <t>FLUIDO EMBREAGEM (CÓDIGO SCANIA 1958807)</t>
  </si>
  <si>
    <t xml:space="preserve">SILICONE VEDAÇÃO (CÓDIGO SCANIA 816064) </t>
  </si>
  <si>
    <t>ANEL VEDAÇÃO (CÓDIGO SCANIA 1374839)</t>
  </si>
  <si>
    <t xml:space="preserve">ANEL-O (CÓDIGO SCANIA *1 1320691) </t>
  </si>
  <si>
    <t xml:space="preserve">JUNTA (CÓDIGO SCANIA 1529969) </t>
  </si>
  <si>
    <t>VEDANTE (CÓDIGO SCANIA 2302652)</t>
  </si>
  <si>
    <t>TUBO DE ESCAPE (CÓDIGO SCANIA 1937258)</t>
  </si>
  <si>
    <t>TURBO COMPRESSOR DO MOTOR (CODIGO SCANIA 1423020 )</t>
  </si>
  <si>
    <t>SUPORTE ALTERNADOR (CÓDIGO SCANIA 1791161)</t>
  </si>
  <si>
    <t xml:space="preserve">TACÔMETRO (CÓDIGO SCANIA 1386900) </t>
  </si>
  <si>
    <t>RELE DE PARTIDA 24V</t>
  </si>
  <si>
    <t>JUNTA (CODIGO SCANIA 1 2640000)</t>
  </si>
  <si>
    <t>JUNTA (CODIGO SCANIA1 1424668)</t>
  </si>
  <si>
    <t>RELOGIO TEMPERATURA (CODIGO SCANIA *1 2051861)</t>
  </si>
  <si>
    <t>JOGO DE REPARO (MOLA/PINO/DISCO) SCANIA 14859</t>
  </si>
  <si>
    <t>JG</t>
  </si>
  <si>
    <t>BICO INJETOR (CODIGO SCANIA 1433446)</t>
  </si>
  <si>
    <t>ANEL VEDACAO-O (CODIGO SCANIA 1340615)</t>
  </si>
  <si>
    <t>JUNTA (CODIGO SCANIA 2042940)</t>
  </si>
  <si>
    <t>FILTRO REVERSOR ZF 331020000009</t>
  </si>
  <si>
    <t>ÓLEO REVERSOR SAE 40</t>
  </si>
  <si>
    <t>LT</t>
  </si>
  <si>
    <t>MATERIAL USO GERAL</t>
  </si>
  <si>
    <t xml:space="preserve">SELANTE PU PARA USO NAVAL 300ML </t>
  </si>
  <si>
    <t>SILICONE ACÉTICO BRANCO 280G</t>
  </si>
  <si>
    <t>SPRAY ANTIFERRUGEM WD 40 OU SIMILAR 500 ML</t>
  </si>
  <si>
    <t>LIMPA CONTATO SPRAY</t>
  </si>
  <si>
    <t>VASELINA SÓLIDA (PASTA) 440grs</t>
  </si>
  <si>
    <t>PT</t>
  </si>
  <si>
    <t>COLA CONTATO SPRAY 340 G</t>
  </si>
  <si>
    <t>ABRAÇADEIRA 64-83 LARGA INOX</t>
  </si>
  <si>
    <t>ABRAÇADEIRA 44-57 LARGA INOX</t>
  </si>
  <si>
    <t>ABRAÇADEIRA 12-16 INOX FINA</t>
  </si>
  <si>
    <t>ABRAÇADEIRA 13-19 LARGA INOX</t>
  </si>
  <si>
    <t xml:space="preserve">ABRAÇADEIRA NYLON 4,8 X 300 </t>
  </si>
  <si>
    <t>ABRAÇADEIRA NYLON 4,8 X 250</t>
  </si>
  <si>
    <t>BANDEIRA BRASIL 1/2 0,22 X 0,33 PEQUENA BORDADA</t>
  </si>
  <si>
    <t>MANGUEIRA TRANÇADA TRANSPARENTE PT 250 5/8</t>
  </si>
  <si>
    <t>ABRAÇADEIRA 14-22 LARGA INOX</t>
  </si>
  <si>
    <t>MANGOTE ARAMADO 2 R4 COM 800MM</t>
  </si>
  <si>
    <t xml:space="preserve">ABRAÇADEIRA 51-64 INOX </t>
  </si>
  <si>
    <t>MAGOTE ESCAPAMENTO 3 POLEGADAS 60CM FX</t>
  </si>
  <si>
    <t>MANGOTE ESCAPAMENTO 6 POLEGADAS 60 CM</t>
  </si>
  <si>
    <t>CARPETE NÁUTICO AZUL 1,20 LARGURA</t>
  </si>
  <si>
    <t>JOGO DE MANGUEIRAS DA DIREÇÃO HIDRAULICA</t>
  </si>
  <si>
    <t>CJ</t>
  </si>
  <si>
    <t xml:space="preserve">DEFENSA AZUL E BRANBA – REF. F5  </t>
  </si>
  <si>
    <t>RALO N04 BRONZE</t>
  </si>
  <si>
    <t>ANTENA VHF 2,40MT 6 dB 50 ohms;</t>
  </si>
  <si>
    <t>TAMPA LATERAL SAIDA DE AGUA INOX</t>
  </si>
  <si>
    <t>MAGUEIRA COMBUSTIVEL DIESEL 1/2 POLEGADA</t>
  </si>
  <si>
    <t>KIT REPARO FILTRO RACOR 2040 ESFERA KR11027</t>
  </si>
  <si>
    <t>KIT</t>
  </si>
  <si>
    <t>KIT REPARO FILTRO RACOR 2040  DRENO  KR11780</t>
  </si>
  <si>
    <t>TAMPA FILTRO RACOR 2040</t>
  </si>
  <si>
    <t xml:space="preserve">MATERIAL PINTURA </t>
  </si>
  <si>
    <t>TINTA PU KIT BRANCO 900ML</t>
  </si>
  <si>
    <t>TINTA PRETO FOSCO VINILICO 600ML</t>
  </si>
  <si>
    <t>CATALISADOR PARA PRIMER 2:1 PRETO FOSCO VINÍLICO 300ML</t>
  </si>
  <si>
    <t xml:space="preserve">ROLO DE ESPUMA 9CM </t>
  </si>
  <si>
    <t>ROLO DE ESPUMA 15CM</t>
  </si>
  <si>
    <t xml:space="preserve">TRINCHA 2" 500 </t>
  </si>
  <si>
    <t xml:space="preserve">TRINCHA 500 3 SIMPLES </t>
  </si>
  <si>
    <t>TRINCHA 1 POLEGADA</t>
  </si>
  <si>
    <t xml:space="preserve">THINNER DE LIMPEZA 16 C/ 5 LTS </t>
  </si>
  <si>
    <t>GL</t>
  </si>
  <si>
    <t>LONA TRANSPARENTE C/ 4ML LARGURA 50 METROS</t>
  </si>
  <si>
    <t xml:space="preserve">DISCO DE CORTE 11/5 1,2X22,2 BNA 12 INOX </t>
  </si>
  <si>
    <t xml:space="preserve">DISCO DE LIXA 4 1/2 GR 16 </t>
  </si>
  <si>
    <t xml:space="preserve">DISCO DE LIXA 4 1/2 GR 50 </t>
  </si>
  <si>
    <t xml:space="preserve">DISCO DE LIXA 4 1/2 GR 100 </t>
  </si>
  <si>
    <t>ESTOPA BRANCA P/ POLIMENTO 1KG</t>
  </si>
  <si>
    <t>PC</t>
  </si>
  <si>
    <t>BANDEJA P/ PINTURA PEQUENA PRETA</t>
  </si>
  <si>
    <t>TINTA MICRON PREMIUM PRETO 3,6LTS INTERNACIONAL OU SIMILAR</t>
  </si>
  <si>
    <t>PRIMER INTERTUF VINIL BRONZE JVA 003 3,6LTS</t>
  </si>
  <si>
    <t>PRIMER INTERGART EPA 632 3,6L COMPONENTE A + B</t>
  </si>
  <si>
    <t xml:space="preserve">ROLO DE LÃ 15CM </t>
  </si>
  <si>
    <t>BANDEJA P/ PINTURA GRANDE</t>
  </si>
  <si>
    <t xml:space="preserve">DISCO HOOKIT P 80 </t>
  </si>
  <si>
    <t xml:space="preserve">FITA CREPE AUTOMOTIVA PREMIUM 24X50 VERDE </t>
  </si>
  <si>
    <t xml:space="preserve">FITA CREPE AUTOMOTIVA PREMIUM 48X50 VERDE </t>
  </si>
  <si>
    <t xml:space="preserve">LIXA DE FERRO 36 </t>
  </si>
  <si>
    <t>REMOVEDOR PASTOSO 3.6LTS</t>
  </si>
  <si>
    <t>TECIDO DE LAMINAÇÃO Fibra Vidro 200 M2</t>
  </si>
  <si>
    <t>M²</t>
  </si>
  <si>
    <t>RESINA LAMINAÇÃO R0913 5KG</t>
  </si>
  <si>
    <t>CATALISADOR BUTANOX M-50 100ML</t>
  </si>
  <si>
    <t xml:space="preserve">GEL NÁUTICO </t>
  </si>
  <si>
    <t>KG</t>
  </si>
  <si>
    <t>MASSA POLIESTER 900GR</t>
  </si>
  <si>
    <t>LIXA D'ÁGUA 1200</t>
  </si>
  <si>
    <t>TINTA CINZA PU 2.700GL</t>
  </si>
  <si>
    <t>PRIMER PU</t>
  </si>
  <si>
    <t>TINTA PU PRETA 2,700GL</t>
  </si>
  <si>
    <t>ENDURECEDOR PU 1/4</t>
  </si>
  <si>
    <t>TINTA SPRAY COLORIDA</t>
  </si>
  <si>
    <t>ZARCÃO ¼ 900ml</t>
  </si>
  <si>
    <t>REMOVEDOR NEUTRALIZADOR DE FERRUGEM 900ML</t>
  </si>
  <si>
    <t>MATERIAL MOTORES DE POPA E JET SKI</t>
  </si>
  <si>
    <t>FILTRO DE COMB ENGATE RAPIDO VERADO 300</t>
  </si>
  <si>
    <t>KIT REPARO DO ROTOR  VERADO 300</t>
  </si>
  <si>
    <t>FILTRO DE OLEO VERADO 300</t>
  </si>
  <si>
    <t>FILTRO COMBUSTIVEL CASTELO VERADO 300</t>
  </si>
  <si>
    <t>OLEO DE RABETA HIGH PERFORMANCE</t>
  </si>
  <si>
    <t xml:space="preserve">GALÃO DE OLEO MOTOR VERADO </t>
  </si>
  <si>
    <t>GALÃO ÓLEO XPS 5W40 SEA DOO ORIGINAL</t>
  </si>
  <si>
    <t>FILTRO DE ÓLEO SEA DOO TELA ORIGINAL</t>
  </si>
  <si>
    <t>VELA NGK ORIGINAL</t>
  </si>
  <si>
    <t>CAPA P/ SEA DOO RXP (2 LUGARES)</t>
  </si>
  <si>
    <t>FILTRO DE ÓLEO 200HP V6 MERCURY</t>
  </si>
  <si>
    <t>FILTRO DE COMBUSTÍVEL  200HP V6 MERCURY</t>
  </si>
  <si>
    <t>FILTRO DE COMBUSTÍVEL SEPARADOR  200HP V6 MERCURY</t>
  </si>
  <si>
    <t>ÓLEO MOTOR 25W40   200HP V6 MERCURY</t>
  </si>
  <si>
    <t>VEDAÇÃO DO ÓLEO RABETA</t>
  </si>
  <si>
    <t>KIT REPARO DO ROTOR  200HP V6 MERCURY</t>
  </si>
  <si>
    <t>Protetor solar com repelente uso profissional 300ml</t>
  </si>
  <si>
    <t>Amazon</t>
  </si>
  <si>
    <t>Magazine Luiza</t>
  </si>
  <si>
    <t>CAEDU</t>
  </si>
  <si>
    <t>Papermix</t>
  </si>
  <si>
    <t>EPIOnline</t>
  </si>
  <si>
    <t>Campomar Nautica</t>
  </si>
  <si>
    <t>Porto Nautica</t>
  </si>
  <si>
    <t>Regatta</t>
  </si>
  <si>
    <t>Dutra Maquinas</t>
  </si>
  <si>
    <t>Loja do Mecânico</t>
  </si>
  <si>
    <t>LF</t>
  </si>
  <si>
    <t>Radical Peças</t>
  </si>
  <si>
    <t>Extra</t>
  </si>
  <si>
    <t>FK</t>
  </si>
  <si>
    <t>Turbojet</t>
  </si>
  <si>
    <t>Mercado Livre</t>
  </si>
  <si>
    <t>728,00 </t>
  </si>
  <si>
    <t>797,91 </t>
  </si>
  <si>
    <t>196,56 </t>
  </si>
  <si>
    <t>355,44 </t>
  </si>
  <si>
    <t>Braslimpo</t>
  </si>
  <si>
    <t>E-Dona</t>
  </si>
  <si>
    <t>Catarina Náutica</t>
  </si>
  <si>
    <t>VelaNautica</t>
  </si>
  <si>
    <t>Barco Novo</t>
  </si>
  <si>
    <t>Dutra Máquinas</t>
  </si>
  <si>
    <t>Artwax</t>
  </si>
  <si>
    <t>Esportimar</t>
  </si>
  <si>
    <t>[( T x 2 x U ) - ( 3% x V )]</t>
  </si>
  <si>
    <t>Auxílio Funeral</t>
  </si>
  <si>
    <t>Previsão CCT = 20% = F</t>
  </si>
  <si>
    <t>Base de Cálculo = Salário Piso</t>
  </si>
  <si>
    <t xml:space="preserve">F x G x H </t>
  </si>
  <si>
    <r>
      <t xml:space="preserve">Benefício conforme Convenção Coletiva de Trabalho da categoria na Região da prestação dos serviços </t>
    </r>
    <r>
      <rPr>
        <b/>
        <sz val="9"/>
        <color theme="1"/>
        <rFont val="Calibri"/>
        <family val="2"/>
        <scheme val="minor"/>
      </rPr>
      <t>ou Seguro de Vida</t>
    </r>
  </si>
  <si>
    <t>Previsão CCT = 2,5 salarios = F</t>
  </si>
  <si>
    <t>Participação máxima dos empregados no custeio do VT (3% sobre o salario base da categoria) = 3%</t>
  </si>
  <si>
    <t>Benefício conforme Convenção Coletiva de Trabalho da categoria na Região da prestação dos serviços.
Conforme Lei nº 7.418, de 16 de dezembro de 1985 (Institui o Vale-Transporte e dá outras providências).
https://www.planalto.gov.br/ccivil_03/leis/l7418.htm</t>
  </si>
  <si>
    <t>(R$) - Pago pela Empresa</t>
  </si>
  <si>
    <t>GRUPO A</t>
  </si>
  <si>
    <t>1.1</t>
  </si>
  <si>
    <t>ADMINISTRAÇÃO CENTRAL</t>
  </si>
  <si>
    <t>GRUPO B</t>
  </si>
  <si>
    <t>DESPESAS FINANCEIRAS</t>
  </si>
  <si>
    <t>GARANTIA + SEGURO</t>
  </si>
  <si>
    <t>GRUPO C</t>
  </si>
  <si>
    <t>3.1</t>
  </si>
  <si>
    <t>3.2</t>
  </si>
  <si>
    <t>PIS/PASEP</t>
  </si>
  <si>
    <t>3.3</t>
  </si>
  <si>
    <t>(**)</t>
  </si>
  <si>
    <t>BDI DIFERENCIADO - BONIFICAÇÕES E DESPESAS INDIRETAS - INCIDENTE SOBRE O FORNECIMENTO DE PEÇAS DE REPOSIÇÃO</t>
  </si>
  <si>
    <t>2.4</t>
  </si>
  <si>
    <t>RISCO</t>
  </si>
  <si>
    <t>Outros:  Indique</t>
  </si>
  <si>
    <t>3.4</t>
  </si>
  <si>
    <t>3.5</t>
  </si>
  <si>
    <t>NEPOM STS</t>
  </si>
  <si>
    <t xml:space="preserve"> VALOR MÉDIO  ESTIMADO</t>
  </si>
  <si>
    <t xml:space="preserve">QTD </t>
  </si>
  <si>
    <t>NEPOM SSB</t>
  </si>
  <si>
    <t>BATERIA M95QD HE</t>
  </si>
  <si>
    <t>BOMBA DE PRESSURIZAÇÃO PARA ÁGUA DOCE JABSCO PAR MAX 3.0 GPM 12 V</t>
  </si>
  <si>
    <t>BOMBA DE PORÃO RULE M-27DA 12V 1100GPH</t>
  </si>
  <si>
    <t>BOMBAS DE PORÃO 2000 GPH 12V</t>
  </si>
  <si>
    <t>BUZINA ARAPONGA COM COMPRESSOR AR 12V</t>
  </si>
  <si>
    <t>PALHETA DO LIMPADOR DE PARABRISA 35 CM</t>
  </si>
  <si>
    <t>EXTINTORES ABC 1KG</t>
  </si>
  <si>
    <t>EXTINTORES ABC 2KG</t>
  </si>
  <si>
    <t>RADIO VHF MARITIMO 12V UNIDEM</t>
  </si>
  <si>
    <t>MANGUEIRA TRANÇADA TRANSPARENTE PT 250 1/2</t>
  </si>
  <si>
    <t>CARPETE NÁUTICO  1,20 LARGURA</t>
  </si>
  <si>
    <t>TAMPA DE INSPEÇÃO EM PVC 4 ANTI-DERRAPANTE E VEDAÇÃO</t>
  </si>
  <si>
    <t>MAGUEIRA COMBUSTIVEL gasolina 3/8 POLEGADA</t>
  </si>
  <si>
    <t>FILTRO COMBUSTÍVEL GOL G2 G3 G4 ENTRADA E SAIDA 3/8</t>
  </si>
  <si>
    <t>BULBO 3/8 MERCURY</t>
  </si>
  <si>
    <t>DEFENSA F2</t>
  </si>
  <si>
    <t>CABO AMARRAÇÃO 18MM</t>
  </si>
  <si>
    <t>KIT DIREÇÃO HIDRÁULICA MOTOR POPA YAMAHA ATÉ 100-250-350 HP</t>
  </si>
  <si>
    <t>Primer IntergardEPA 632 3,6L COMPONENTE A + B</t>
  </si>
  <si>
    <t>MATERIAL MOTORES DE POPA YAMAHA E JET SKI</t>
  </si>
  <si>
    <t>HELICE INOX YAMAHA P/N 68F-45974-20</t>
  </si>
  <si>
    <t>ANODO DIRECIONAL YAMAHA 200</t>
  </si>
  <si>
    <t>ANODO CAVALETE YAMAHA 200</t>
  </si>
  <si>
    <t>FILTRO OLEO MOTOR YAMAHA 200</t>
  </si>
  <si>
    <t>OLEO DE RABETA</t>
  </si>
  <si>
    <t>OLEO YAMALUBE 4T 20W50</t>
  </si>
  <si>
    <t>Óleo Motores de Popa 2 T Yamalube TCW3 1L Original Yamaha</t>
  </si>
  <si>
    <t>FILTRO DE ÓLEO SEA DOO TELA ORIGINAL  GTI 130</t>
  </si>
  <si>
    <t>VELA DE IGNIÇÃO NGK DCPR&amp;E</t>
  </si>
  <si>
    <t>HELICE SEA  DOO 130HP ORIGINAL</t>
  </si>
  <si>
    <t>CINTA DA TURBINA ORIGINAL JET SEA DOO GTI 130</t>
  </si>
  <si>
    <t>KIT DA BUCHA DE CARBONO JET SEA DOO GTI 130</t>
  </si>
  <si>
    <t>ANODO DA TURBINA JET GTI 130</t>
  </si>
  <si>
    <t>ANTI CORROSIVO CORROSION X HD</t>
  </si>
  <si>
    <t xml:space="preserve"> VELA NGK ORIGINAL YAMHA 200HP</t>
  </si>
  <si>
    <t>CAPA P/ SEA DOO(2 LUGARES)</t>
  </si>
  <si>
    <t>IMPULSOR BOMBA DAGUA</t>
  </si>
  <si>
    <t>ELEMENTO DO FILTRO DE OLEO CONJUNTO</t>
  </si>
  <si>
    <t>GAXETA DA BOMBA DE AGUA YAMAHA 200</t>
  </si>
  <si>
    <t>Vedação do óleo rabeta YAMAHA 200</t>
  </si>
  <si>
    <t>ESPACADOR DO EIXO DO MOTOR YAMAHA 200</t>
  </si>
  <si>
    <t>ESPACADOR CAIXA BOMBA DE AGUA YAMAHA 200</t>
  </si>
  <si>
    <t>ARRUELA PLANA (22,5 X 27,2) YAMAHA 200</t>
  </si>
  <si>
    <t>ARRUELA ONDULADA (22,5 X 27,2)</t>
  </si>
  <si>
    <t>AMORTIZADOR BORRACHA 1 YAMAHA 200</t>
  </si>
  <si>
    <t>ELEMENTO DO FILTRO YAMAHA 200</t>
  </si>
  <si>
    <t>GAXETA YAMAHA 200</t>
  </si>
  <si>
    <t>Bateria JET Moura MV19-D</t>
  </si>
  <si>
    <t>FILTRO OLEO JET SEA DOO  GTI 170</t>
  </si>
  <si>
    <t>HELICE SEA DOO GTI 170 ORIGINAL</t>
  </si>
  <si>
    <t>CINTA TURBINA ORIGINAL JET SEA DOO GTI 170</t>
  </si>
  <si>
    <t>KIT REPARO CARBURADOR MOTOR 2T YAMAHA 200, JUNTAS BOIAS, AGULHA E GIGLE</t>
  </si>
  <si>
    <t>Embarcação de 5,25 m – SILINGE MOTOR MERCURY 90 HP CARBURADO 2003 N/SERIE 90ELPT 4S</t>
  </si>
  <si>
    <t>VELA IGNIÇÃO ( CADA )</t>
  </si>
  <si>
    <t>FILTRO GASOLINA COMPLETO  PENERA</t>
  </si>
  <si>
    <t>BOMBA GASOLINA</t>
  </si>
  <si>
    <t>JOGO CABO VELA</t>
  </si>
  <si>
    <t>CORREIA DENTADA</t>
  </si>
  <si>
    <t>RETIFICADOR DE VOLTAGEM</t>
  </si>
  <si>
    <t>ROTOR</t>
  </si>
  <si>
    <t>ÓLEO DE RABETA LITRO</t>
  </si>
  <si>
    <t>ÓLEO DE MOTOR LITRO</t>
  </si>
  <si>
    <t>FILTRO DE ÓLEO LUBRIFICANTE</t>
  </si>
  <si>
    <t>KIT DE JUNTA DOS CARBURADORES</t>
  </si>
  <si>
    <t>KIT DOS GICLES DOS CARBURADORES</t>
  </si>
  <si>
    <t>MOTOR DO TRIM COMPLETO</t>
  </si>
  <si>
    <t>VALVULAS TERMOSTATICA</t>
  </si>
  <si>
    <t xml:space="preserve">HÉLICE </t>
  </si>
  <si>
    <t>BUCHA DA HÉLICE</t>
  </si>
  <si>
    <t>SENSOR DO TRIM</t>
  </si>
  <si>
    <t>ANODO DO CAVELETE</t>
  </si>
  <si>
    <t>INDICADOR DO TRIM</t>
  </si>
  <si>
    <t>HORIMETRO</t>
  </si>
  <si>
    <t>VOLTIMETRO</t>
  </si>
  <si>
    <t>TACOMETRO</t>
  </si>
  <si>
    <t>VELOCIMETRO</t>
  </si>
  <si>
    <t>BUSSOLA MARITIMA 3 POLEGADAS PRETA</t>
  </si>
  <si>
    <t>CHAVE DE BATERIA 1 MATERIA 100A</t>
  </si>
  <si>
    <t>CABO DE AMARRAÇÃO 12 MM</t>
  </si>
  <si>
    <t>TELA PARA GPS; TECLADO RETROILUMINADO PARA UMA OPERAÇÃO FÁCIL EM CONDIÇÕES DE FRACA LUMINOSIDADE. 
FUNÇÃO ULTRASCROLL™: PERMITE UMA ATUALIZAÇÃO MAIS RÁPIDA, NO DISPLAY, DA INFORMAÇÃO OBTIDA. TECNOLOGIA SEE-THRU: VISUALIZAÇÃO DE ALVOS FRACOS E FORTES SIMULTANEAMENTE. TECNOLOGIA AUTOGAIN: MELHORA SUBSTANCIALMENTE A VISIBILIDADE DOS ALVOS. TIPO DE DISPLAY: QVGA POSSUI SONAR: SIM (ACEITA SENSORES ATÉ 500 W) DIMENSÕES DO DISPLAY (NA DIAGONAL): 4"/10,16 CM; RESOLUÇÃO (PIXELS): 234 X 320; DIMENSÕES DA UNIDADE (L X A X P CM): 14,5 X 12,7 X 6,9; WAYPOINTS: 3.000; ROTAS: 100; TRACKS (REGISTRO DE PERCURSO): 10.000 PONTOS/50 ROTAS; ALARMES SONOROS: SIM; MAPA 3D: SIM</t>
  </si>
  <si>
    <t>ANTENA GPS MARITIMA</t>
  </si>
  <si>
    <t>SENSOR DE PROFUNDIDADE PARA POPA</t>
  </si>
  <si>
    <t>TECIDO HIPALON PRETO PARA REMENDO 30X30CM</t>
  </si>
  <si>
    <t>COLA P/ BOTE INFLÁVEL HYPALON BOAT 685 200G + CATALISADOR</t>
  </si>
  <si>
    <t>UNID.</t>
  </si>
  <si>
    <t>GIROFLEX REDONDO LENTE AZUL 12V</t>
  </si>
  <si>
    <t>KIT CAIXA DIREÇÃO, CABO E CILINDRO</t>
  </si>
  <si>
    <t>LUZ DE NAVEGAÇÃO TRICOLOR</t>
  </si>
  <si>
    <t>CAIXA DE PRIMEIROS SOCORROS DE ACORDO COM AS RECOMENDAÇÕES DA NORMA</t>
  </si>
  <si>
    <t>DESCRIÇÃO</t>
  </si>
  <si>
    <t>ADM</t>
  </si>
  <si>
    <t>Preço da Hora/Homem</t>
  </si>
  <si>
    <t>Pregão</t>
  </si>
  <si>
    <t>UASG</t>
  </si>
  <si>
    <t>Item</t>
  </si>
  <si>
    <t>Qtdd</t>
  </si>
  <si>
    <t>Fornecedor</t>
  </si>
  <si>
    <t>PE 01.2023</t>
  </si>
  <si>
    <t>item 1 G1</t>
  </si>
  <si>
    <t>LABORATORIO DE MECANICA SETESMAR LTDA</t>
  </si>
  <si>
    <t>item 3 G2</t>
  </si>
  <si>
    <t>SAUDI ENGENHARIA LTDA</t>
  </si>
  <si>
    <t>item 5 G3</t>
  </si>
  <si>
    <t>item 7 G4</t>
  </si>
  <si>
    <t>item 9 G5</t>
  </si>
  <si>
    <t>PE 03.2023</t>
  </si>
  <si>
    <t>item 1</t>
  </si>
  <si>
    <t>item3</t>
  </si>
  <si>
    <t>PE 06.2023</t>
  </si>
  <si>
    <t>PRESTENAVI SERVICOS TECNICOS NAVAIS LTDA</t>
  </si>
  <si>
    <t>item 2 G1</t>
  </si>
  <si>
    <t>PE 08.2023</t>
  </si>
  <si>
    <t>RIOMANSER SERVICO E MANUTENCAO LTDA</t>
  </si>
  <si>
    <t>Proposta 1</t>
  </si>
  <si>
    <t>Proposta 2</t>
  </si>
  <si>
    <t>MR SERVIÇOS</t>
  </si>
  <si>
    <t xml:space="preserve">Proposta 3 </t>
  </si>
  <si>
    <t xml:space="preserve">PRADO </t>
  </si>
  <si>
    <t>Valor Médio</t>
  </si>
  <si>
    <t>Valor Mediana</t>
  </si>
  <si>
    <t>TAXA TOTAL DE BDI    (*)</t>
  </si>
  <si>
    <t xml:space="preserve">OBSERVAÇÕES: POR ANALOGIA FOI UTILIZADO O ACORDÃO TCU 2622/2013 (Código eletrônico para localização na página do TCU na Internet: AC-2622-37/13-P) QUE TRATA DE BDI DIFERENCIADO PARA FORNECIMENTO EQUIPAMENTOS E PEÇAS </t>
  </si>
  <si>
    <t>DESCRIÇÃO/ESPECIFICAÇÃO</t>
  </si>
  <si>
    <t>UNIDADE 
DE 
MEDIDA</t>
  </si>
  <si>
    <t>LOCALIDADE</t>
  </si>
  <si>
    <t>Serviço</t>
  </si>
  <si>
    <t>Santos</t>
  </si>
  <si>
    <t>São Sebastião</t>
  </si>
  <si>
    <t>(*) Taxa de BDI calculada pela fórmula: BDI (%) = {[(100% + A) x (100% + B) x (100% + C)]/(100% - D)} - 100% , onde: "A" =  Total GRUPO A (%) , "B" =  Total GRUPO B (%) , "C" =  Total GRUPO C (%) e "D" = Total GRUPO D (%)</t>
  </si>
  <si>
    <t xml:space="preserve">          (**) BDI Diferenciado utilizado para composição de Simples fornecimento de materais.</t>
  </si>
  <si>
    <t>ISS</t>
  </si>
  <si>
    <t>3.6</t>
  </si>
  <si>
    <t>Mês</t>
  </si>
  <si>
    <t>Mensal</t>
  </si>
  <si>
    <t>12 Meses</t>
  </si>
  <si>
    <t>60 Meses</t>
  </si>
  <si>
    <t>Local</t>
  </si>
  <si>
    <t>VALOR ESTIMADO 12 MESES 
SEM MARGEM</t>
  </si>
  <si>
    <t>Preencher somente as células em amarelo - NÃO SERÃO ACEITAS PERCENTUAIS/ALÍQUOTAS NEGATIVOS(AS)</t>
  </si>
  <si>
    <t>QUANTIDADE
HH Mês</t>
  </si>
  <si>
    <t>CUSTO ESTIMADO 
60 MESES 
COM MARGEM</t>
  </si>
  <si>
    <t>CUSTO ESTIMADO
12 MESES 
COM MARGEM</t>
  </si>
  <si>
    <t>VALOR PARA 
12 MESES</t>
  </si>
  <si>
    <t>VALOR GLOBAL 
60 MESES</t>
  </si>
  <si>
    <t>Salário base conforme Convenção Coletiva de Trabalho da categoria na Região da prestação dos serviços ou salário pago pela empresa.</t>
  </si>
  <si>
    <t>PESQUISA DE PREÇOS JUNTO A FORNECEDORES</t>
  </si>
  <si>
    <r>
      <rPr>
        <b/>
        <sz val="11"/>
        <rFont val="Calibri"/>
        <family val="2"/>
        <scheme val="minor"/>
      </rPr>
      <t>SERVIÇOS DE FORNECIMENTO DE PEÇAS /ACESSÓRIOS /COMPONENTES /INSUMOS DIVERSOS</t>
    </r>
    <r>
      <rPr>
        <sz val="11"/>
        <rFont val="Calibri"/>
        <family val="2"/>
        <scheme val="minor"/>
      </rPr>
      <t xml:space="preserve">
</t>
    </r>
    <r>
      <rPr>
        <sz val="11"/>
        <color rgb="FFFF0000"/>
        <rFont val="Calibri"/>
        <family val="2"/>
        <scheme val="minor"/>
      </rPr>
      <t xml:space="preserve">
</t>
    </r>
    <r>
      <rPr>
        <b/>
        <sz val="11"/>
        <color rgb="FFFF0000"/>
        <rFont val="Calibri"/>
        <family val="2"/>
        <scheme val="minor"/>
      </rPr>
      <t>SERÁ PAGO QUANDO DEMANDADO</t>
    </r>
  </si>
  <si>
    <r>
      <rPr>
        <b/>
        <sz val="11"/>
        <rFont val="Calibri"/>
        <family val="2"/>
        <scheme val="minor"/>
      </rPr>
      <t>PREÇO MÉDIO UNITÁRIO</t>
    </r>
    <r>
      <rPr>
        <b/>
        <sz val="11"/>
        <color rgb="FFFF0000"/>
        <rFont val="Calibri"/>
        <family val="2"/>
        <scheme val="minor"/>
      </rPr>
      <t xml:space="preserve"> 
DE REFERÊNCIA</t>
    </r>
  </si>
  <si>
    <r>
      <rPr>
        <b/>
        <sz val="11"/>
        <rFont val="Calibri"/>
        <family val="2"/>
        <scheme val="minor"/>
      </rPr>
      <t>PREÇO MÉDIO UNITÁRIO</t>
    </r>
    <r>
      <rPr>
        <b/>
        <sz val="11"/>
        <color rgb="FFFF0000"/>
        <rFont val="Calibri"/>
        <family val="2"/>
        <scheme val="minor"/>
      </rPr>
      <t xml:space="preserve"> - VALOR MÁXIMO de REFERENCIA</t>
    </r>
  </si>
  <si>
    <r>
      <t xml:space="preserve">CABO DO ACELERADOR </t>
    </r>
    <r>
      <rPr>
        <b/>
        <sz val="11"/>
        <color rgb="FF000000"/>
        <rFont val="Calibri"/>
        <family val="2"/>
        <scheme val="minor"/>
      </rPr>
      <t>10 PÉS</t>
    </r>
  </si>
  <si>
    <r>
      <t>CABO DO ENGATE</t>
    </r>
    <r>
      <rPr>
        <b/>
        <sz val="11"/>
        <color rgb="FF000000"/>
        <rFont val="Calibri"/>
        <family val="2"/>
        <scheme val="minor"/>
      </rPr>
      <t xml:space="preserve"> 10 PÉS</t>
    </r>
  </si>
  <si>
    <r>
      <t>MANETE DO ACELERADOR</t>
    </r>
    <r>
      <rPr>
        <b/>
        <sz val="11"/>
        <color rgb="FF000000"/>
        <rFont val="Calibri"/>
        <family val="2"/>
        <scheme val="minor"/>
      </rPr>
      <t xml:space="preserve"> ( CAIXA DE COMNADO )</t>
    </r>
  </si>
  <si>
    <r>
      <t>ANODOS DO MOTOR</t>
    </r>
    <r>
      <rPr>
        <b/>
        <sz val="11"/>
        <color rgb="FF000000"/>
        <rFont val="Calibri"/>
        <family val="2"/>
        <scheme val="minor"/>
      </rPr>
      <t xml:space="preserve"> ( JOGO 3 PEÇAS ) </t>
    </r>
  </si>
  <si>
    <r>
      <t>ANODOS DA RABETA</t>
    </r>
    <r>
      <rPr>
        <b/>
        <sz val="11"/>
        <color rgb="FF000000"/>
        <rFont val="Calibri"/>
        <family val="2"/>
        <scheme val="minor"/>
      </rPr>
      <t xml:space="preserve"> ( JOGO 2 LATERAL ) </t>
    </r>
  </si>
  <si>
    <r>
      <t>Pregão n</t>
    </r>
    <r>
      <rPr>
        <sz val="9"/>
        <color theme="1"/>
        <rFont val="Calibri"/>
        <family val="2"/>
      </rPr>
      <t>º:</t>
    </r>
  </si>
  <si>
    <r>
      <rPr>
        <b/>
        <sz val="9"/>
        <rFont val="Calibri"/>
        <family val="2"/>
        <scheme val="minor"/>
      </rPr>
      <t>SERVIÇOS BÁSICOS DE MANUTENÇÃO GERAL</t>
    </r>
    <r>
      <rPr>
        <sz val="9"/>
        <rFont val="Calibri"/>
        <family val="2"/>
        <scheme val="minor"/>
      </rPr>
      <t xml:space="preserve">: Fornecimento de mão-de-obra com dedicação exclusiva para 3 POSTOS de Trabalho, com fornecimento insumos diversos.
</t>
    </r>
  </si>
  <si>
    <r>
      <rPr>
        <b/>
        <sz val="9"/>
        <color theme="1"/>
        <rFont val="Calibri"/>
        <family val="2"/>
        <scheme val="minor"/>
      </rPr>
      <t>SERVIÇOS  DE MANUTENÇÃO ESPECIALIZADA</t>
    </r>
    <r>
      <rPr>
        <sz val="9"/>
        <color theme="1"/>
        <rFont val="Calibri"/>
        <family val="2"/>
        <scheme val="minor"/>
      </rPr>
      <t xml:space="preserve"> - mão-de-obra especializada, para manutenção preventiva e corretiva, em diversas áreas, tendo como exemplo: elétrica e eletrônica, tornearia mecânica, técnico de refrigeração, lançamento e docagem, estrutura naval das embarcações da flotilha, com motores de combustão a diesel ou gasolina, incluindo limpeza de cascos e casarios em fibra de vidro, estrutura metálica, madeira naval e pneumático, e, inclusive, daquelas que estiverem sob a guarda ou responsabilidade da Polícia Federal.
</t>
    </r>
    <r>
      <rPr>
        <sz val="9"/>
        <color rgb="FFFF0000"/>
        <rFont val="Calibri"/>
        <family val="2"/>
        <scheme val="minor"/>
      </rPr>
      <t>VALOR MÁXIMO DE REFERÊNCIA - SERÁ PAGO QUANDO DEMANDADO</t>
    </r>
  </si>
  <si>
    <r>
      <rPr>
        <b/>
        <sz val="9"/>
        <rFont val="Calibri"/>
        <family val="2"/>
        <scheme val="minor"/>
      </rPr>
      <t>PEÇAS /ACESSÓRIOS /COMPONENTES /INSUMOS DIVERSOS</t>
    </r>
    <r>
      <rPr>
        <sz val="9"/>
        <rFont val="Calibri"/>
        <family val="2"/>
        <scheme val="minor"/>
      </rPr>
      <t xml:space="preserve">: Fornecimento de peças, acessórios, componentes e de todos os insumos necessários para a manutenção preventiva e corretiva da flotilha de embarcações (Santos e São Sebastião). 
</t>
    </r>
    <r>
      <rPr>
        <sz val="9"/>
        <color rgb="FFFF0000"/>
        <rFont val="Calibri"/>
        <family val="2"/>
        <scheme val="minor"/>
      </rPr>
      <t>VALOR MÁXIMO DE REFERÊNCIA - SERÁ PAGO QUANDO DEMANDADO</t>
    </r>
  </si>
  <si>
    <t>A disputa no ITEM 2 se dará pela apresentação do preço unitário da hora homem 
pela licitante nas células em amarelo abaixo.</t>
  </si>
  <si>
    <t>A disputa no ITEM 3 ocorrerá mediante a apresentação dos percentuais/alíquotas, pela licitante, nas células em amarelo destacadas abaixo</t>
  </si>
  <si>
    <t>PLANILHA DE CUSTO E FORMAÇÃO DE PREÇOS DOS POSTOS DE TRABALHO</t>
  </si>
  <si>
    <t>MATERIAIS DE CONSUMO</t>
  </si>
  <si>
    <r>
      <t>RELAÇÃO DE PEÇAS DE REPOSIÇÃO (</t>
    </r>
    <r>
      <rPr>
        <b/>
        <sz val="11"/>
        <color rgb="FF7030A0"/>
        <rFont val="Calibri"/>
        <family val="2"/>
        <scheme val="minor"/>
      </rPr>
      <t>EXEMPLIFICATIVA</t>
    </r>
    <r>
      <rPr>
        <b/>
        <sz val="11"/>
        <color theme="1"/>
        <rFont val="Calibri"/>
        <family val="2"/>
        <scheme val="minor"/>
      </rPr>
      <t xml:space="preserve"> - </t>
    </r>
    <r>
      <rPr>
        <b/>
        <sz val="11"/>
        <color rgb="FFFF0000"/>
        <rFont val="Calibri"/>
        <family val="2"/>
        <scheme val="minor"/>
      </rPr>
      <t>NÃO</t>
    </r>
    <r>
      <rPr>
        <b/>
        <sz val="11"/>
        <color theme="1"/>
        <rFont val="Calibri"/>
        <family val="2"/>
        <scheme val="minor"/>
      </rPr>
      <t xml:space="preserve"> É EXAUSTIVA)
LISTA MERAMENTE PARA FUNDAMENTAÇÃO DO VALOR ANUAL ESTIMADO DE GASTO, PODENDO SER MENOR DURANTE A EXECUÇÃO DO CONTRATO.
AS PEÇAS SERÃO ADQUIRIDAS QUANDO E SE DEMANDADAS
 OS ITENS A SEREM ADQUIRIDOS QUE NÃO CONSTEM DA RELAÇÃO NECESSITARÃO DE, NO MÍNIMO 3 ORÇAMENTOS, PARA ANCORAR O VALOR DE AQUISIÇÃO E ADMINISTRAÇÃO PAGARÁ O MENOR. CONFORME PREVISTO NO ITENS 5.17 e 5.20 DO TERMO DE REFERÊNCIA
</t>
    </r>
    <r>
      <rPr>
        <b/>
        <sz val="11"/>
        <color rgb="FF00B050"/>
        <rFont val="Calibri"/>
        <family val="2"/>
        <scheme val="minor"/>
      </rPr>
      <t>Deverão ser emitidas NFs, pela empresa vencedora,  sobre o valor do menor orçamento, adicionando-se estritamente os Percentuais acima, o que totalizará o valor final da Nota Fiscal a ser paga pela administração</t>
    </r>
  </si>
  <si>
    <t>As alíquotas da tributação incidente sobre o fornecimento das peças de reposição deverão ser comprovadas pela licitante.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</si>
</sst>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8">
    <numFmt numFmtId="7" formatCode="&quot;R$&quot;\ #,##0.00;\-&quot;R$&quot;\ #,##0.00"/>
    <numFmt numFmtId="8" formatCode="&quot;R$&quot;\ #,##0.00;[Red]\-&quot;R$&quot;\ #,##0.00"/>
    <numFmt numFmtId="44" formatCode="_-&quot;R$&quot;\ * #,##0.00_-;\-&quot;R$&quot;\ * #,##0.00_-;_-&quot;R$&quot;\ * &quot;-&quot;??_-;_-@_-"/>
    <numFmt numFmtId="43" formatCode="_-* #,##0.00_-;\-* #,##0.00_-;_-* &quot;-&quot;??_-;_-@_-"/>
    <numFmt numFmtId="164" formatCode="[$R$-416]&quot; &quot;#,##0.00;[Red]&quot;-&quot;[$R$-416]&quot; &quot;#,##0.00"/>
    <numFmt numFmtId="165" formatCode="&quot; R$ &quot;#,##0.00&quot; &quot;;&quot; R$ (&quot;#,##0.00&quot;)&quot;;&quot; R$ -&quot;#&quot; &quot;;@&quot; &quot;"/>
    <numFmt numFmtId="166" formatCode="0.0000%"/>
    <numFmt numFmtId="167" formatCode="0.0000"/>
    <numFmt numFmtId="168" formatCode="0.000%"/>
    <numFmt numFmtId="169" formatCode="_-[$R$-416]\ * #,##0.00_-;\-[$R$-416]\ * #,##0.00_-;_-[$R$-416]\ * &quot;-&quot;??_-;_-@_-"/>
    <numFmt numFmtId="170" formatCode="_(&quot;R$ &quot;* #,##0.00_);_(&quot;R$ &quot;* \(#,##0.00\);_(&quot;R$ &quot;* &quot;-&quot;??_);_(@_)"/>
    <numFmt numFmtId="171" formatCode="0.000"/>
    <numFmt numFmtId="172" formatCode="0.0"/>
    <numFmt numFmtId="173" formatCode="0.0000000"/>
    <numFmt numFmtId="174" formatCode="_-* #,##0.00000_-;\-* #,##0.00000_-;_-* &quot;-&quot;??_-;_-@_-"/>
    <numFmt numFmtId="175" formatCode="d/m/yyyy"/>
    <numFmt numFmtId="176" formatCode="_-* #,##0_-;\-* #,##0_-;_-* &quot;-&quot;??_-;_-@_-"/>
    <numFmt numFmtId="177" formatCode="#,##0.0000_ ;\-#,##0.0000\ "/>
    <numFmt numFmtId="178" formatCode="_-* #,##0.0000_-;\-* #,##0.0000_-;_-* &quot;-&quot;??_-;_-@_-"/>
    <numFmt numFmtId="179" formatCode="#,##0_ ;\-#,##0\ "/>
    <numFmt numFmtId="180" formatCode="#,##0.0"/>
    <numFmt numFmtId="181" formatCode="&quot;R$&quot;\ #,##0.00"/>
    <numFmt numFmtId="182" formatCode="&quot;R$ &quot;#,##0.00\ ;&quot;(R$ &quot;#,##0.00\)"/>
    <numFmt numFmtId="183" formatCode="#,##0.00_ ;\-#,##0.00\ "/>
    <numFmt numFmtId="184" formatCode="_(&quot;R$ &quot;* #,##0.00_);_(&quot;R$ &quot;* \(#,##0.00\);_(&quot;R$ &quot;* \-??_);_(@_)"/>
    <numFmt numFmtId="185" formatCode="&quot;R$ &quot;#,##0.00"/>
    <numFmt numFmtId="186" formatCode="_-[$R$-416]\ * #,##0.0000_-;\-[$R$-416]\ * #,##0.0000_-;_-[$R$-416]\ * &quot;-&quot;??_-;_-@_-"/>
    <numFmt numFmtId="187" formatCode="_-&quot;R$&quot;\ * #,##0.000000_-;\-&quot;R$&quot;\ * #,##0.000000_-;_-&quot;R$&quot;\ * &quot;-&quot;??????_-;_-@_-"/>
  </numFmts>
  <fonts count="107">
    <font>
      <sz val="11"/>
      <color theme="1"/>
      <name val="Arial1"/>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1"/>
      <name val="Arial1"/>
    </font>
    <font>
      <b/>
      <sz val="11"/>
      <name val="Arial1"/>
    </font>
    <font>
      <sz val="10"/>
      <name val="Calibri"/>
      <family val="2"/>
    </font>
    <font>
      <sz val="9"/>
      <color indexed="81"/>
      <name val="Segoe UI"/>
      <family val="2"/>
    </font>
    <font>
      <b/>
      <sz val="9"/>
      <name val="Arial"/>
      <family val="2"/>
    </font>
    <font>
      <sz val="8"/>
      <name val="Arial"/>
      <family val="2"/>
    </font>
    <font>
      <sz val="10"/>
      <name val="Arial"/>
      <family val="2"/>
    </font>
    <font>
      <b/>
      <sz val="10"/>
      <name val="Arial"/>
      <family val="2"/>
    </font>
    <font>
      <b/>
      <sz val="10"/>
      <name val="Ecofont_Spranq_eco_Sans"/>
      <family val="2"/>
    </font>
    <font>
      <sz val="10"/>
      <name val="Ecofont_Spranq_eco_Sans"/>
      <family val="2"/>
    </font>
    <font>
      <b/>
      <sz val="10"/>
      <name val="Calibri"/>
      <family val="2"/>
    </font>
    <font>
      <b/>
      <sz val="8"/>
      <name val="Calibri"/>
      <family val="2"/>
    </font>
    <font>
      <b/>
      <sz val="12"/>
      <name val="Calibri"/>
      <family val="2"/>
    </font>
    <font>
      <b/>
      <sz val="6"/>
      <name val="Calibri"/>
      <family val="2"/>
    </font>
    <font>
      <b/>
      <sz val="9"/>
      <name val="Calibri"/>
      <family val="2"/>
    </font>
    <font>
      <sz val="11"/>
      <color theme="1"/>
      <name val="Arial1"/>
    </font>
    <font>
      <sz val="11"/>
      <color theme="1"/>
      <name val="Calibri"/>
      <family val="2"/>
      <scheme val="minor"/>
    </font>
    <font>
      <sz val="11"/>
      <color rgb="FF000000"/>
      <name val="Calibri"/>
      <family val="2"/>
    </font>
    <font>
      <sz val="10"/>
      <color theme="1"/>
      <name val="Arial1"/>
    </font>
    <font>
      <b/>
      <i/>
      <sz val="16"/>
      <color theme="1"/>
      <name val="Arial1"/>
    </font>
    <font>
      <sz val="8"/>
      <color rgb="FF000000"/>
      <name val="Albany AMT"/>
    </font>
    <font>
      <b/>
      <i/>
      <u/>
      <sz val="11"/>
      <color theme="1"/>
      <name val="Arial1"/>
    </font>
    <font>
      <b/>
      <sz val="18"/>
      <color rgb="FF003366"/>
      <name val="Cambria"/>
      <family val="1"/>
    </font>
    <font>
      <b/>
      <sz val="18"/>
      <color rgb="FF004586"/>
      <name val="Cambria"/>
      <family val="1"/>
    </font>
    <font>
      <b/>
      <sz val="11"/>
      <color rgb="FF000000"/>
      <name val="Calibri"/>
      <family val="2"/>
    </font>
    <font>
      <sz val="12"/>
      <color theme="1"/>
      <name val="Arial"/>
      <family val="2"/>
    </font>
    <font>
      <sz val="10"/>
      <color theme="1"/>
      <name val="Arial"/>
      <family val="2"/>
    </font>
    <font>
      <b/>
      <sz val="10"/>
      <color theme="1"/>
      <name val="Arial"/>
      <family val="2"/>
    </font>
    <font>
      <b/>
      <sz val="11"/>
      <color rgb="FFFF0000"/>
      <name val="Arial1"/>
    </font>
    <font>
      <b/>
      <sz val="14"/>
      <color theme="1"/>
      <name val="Arial"/>
      <family val="2"/>
    </font>
    <font>
      <sz val="8"/>
      <color theme="1"/>
      <name val="Arial"/>
      <family val="2"/>
    </font>
    <font>
      <b/>
      <sz val="8"/>
      <color theme="1"/>
      <name val="Arial"/>
      <family val="2"/>
    </font>
    <font>
      <sz val="9"/>
      <color theme="1"/>
      <name val="Arial1"/>
    </font>
    <font>
      <sz val="9"/>
      <color theme="1"/>
      <name val="Calibri"/>
      <family val="2"/>
      <scheme val="minor"/>
    </font>
    <font>
      <b/>
      <u/>
      <sz val="9"/>
      <color theme="1"/>
      <name val="Calibri"/>
      <family val="2"/>
      <scheme val="minor"/>
    </font>
    <font>
      <b/>
      <sz val="9"/>
      <name val="Calibri"/>
      <family val="2"/>
      <scheme val="minor"/>
    </font>
    <font>
      <b/>
      <sz val="9"/>
      <color theme="1"/>
      <name val="Calibri"/>
      <family val="2"/>
      <scheme val="minor"/>
    </font>
    <font>
      <sz val="9"/>
      <name val="Calibri"/>
      <family val="2"/>
      <scheme val="minor"/>
    </font>
    <font>
      <sz val="9"/>
      <name val="Calibri"/>
      <family val="2"/>
    </font>
    <font>
      <b/>
      <u/>
      <sz val="9"/>
      <color indexed="30"/>
      <name val="Calibri"/>
      <family val="2"/>
    </font>
    <font>
      <b/>
      <sz val="9"/>
      <color rgb="FFFF0000"/>
      <name val="Calibri"/>
      <family val="2"/>
    </font>
    <font>
      <sz val="9"/>
      <name val="Century Gothic"/>
      <family val="2"/>
    </font>
    <font>
      <b/>
      <u/>
      <sz val="9"/>
      <color indexed="17"/>
      <name val="Calibri"/>
      <family val="2"/>
    </font>
    <font>
      <b/>
      <u/>
      <sz val="9"/>
      <color indexed="10"/>
      <name val="Calibri"/>
      <family val="2"/>
    </font>
    <font>
      <sz val="9"/>
      <color rgb="FFFF0000"/>
      <name val="Calibri"/>
      <family val="2"/>
    </font>
    <font>
      <b/>
      <u/>
      <sz val="9"/>
      <color indexed="10"/>
      <name val="Calibri"/>
      <family val="2"/>
      <scheme val="minor"/>
    </font>
    <font>
      <b/>
      <u/>
      <sz val="9"/>
      <color indexed="30"/>
      <name val="Calibri"/>
      <family val="2"/>
      <scheme val="minor"/>
    </font>
    <font>
      <sz val="9"/>
      <color rgb="FFFF0000"/>
      <name val="Calibri"/>
      <family val="2"/>
      <scheme val="minor"/>
    </font>
    <font>
      <b/>
      <sz val="9"/>
      <color rgb="FFFF0000"/>
      <name val="Calibri"/>
      <family val="2"/>
      <scheme val="minor"/>
    </font>
    <font>
      <sz val="8"/>
      <name val="Calibri"/>
      <family val="2"/>
    </font>
    <font>
      <sz val="9"/>
      <color rgb="FFFF0000"/>
      <name val="Arial1"/>
    </font>
    <font>
      <sz val="8"/>
      <name val="Calibri"/>
      <family val="2"/>
      <scheme val="minor"/>
    </font>
    <font>
      <sz val="9"/>
      <color rgb="FF0070C0"/>
      <name val="Calibri"/>
      <family val="2"/>
    </font>
    <font>
      <b/>
      <u/>
      <sz val="9"/>
      <color indexed="36"/>
      <name val="Calibri"/>
      <family val="2"/>
      <scheme val="minor"/>
    </font>
    <font>
      <u/>
      <sz val="9"/>
      <color indexed="53"/>
      <name val="Calibri"/>
      <family val="2"/>
    </font>
    <font>
      <u/>
      <sz val="9"/>
      <color indexed="36"/>
      <name val="Calibri"/>
      <family val="2"/>
    </font>
    <font>
      <u/>
      <sz val="9"/>
      <color indexed="10"/>
      <name val="Calibri"/>
      <family val="2"/>
    </font>
    <font>
      <sz val="9"/>
      <color indexed="36"/>
      <name val="Calibri"/>
      <family val="2"/>
    </font>
    <font>
      <b/>
      <u/>
      <sz val="9"/>
      <color rgb="FFFF0000"/>
      <name val="Calibri"/>
      <family val="2"/>
    </font>
    <font>
      <sz val="9"/>
      <color theme="2" tint="-0.749992370372631"/>
      <name val="Calibri"/>
      <family val="2"/>
    </font>
    <font>
      <i/>
      <sz val="9"/>
      <color theme="1"/>
      <name val="Calibri"/>
      <family val="2"/>
      <scheme val="minor"/>
    </font>
    <font>
      <b/>
      <u/>
      <sz val="9"/>
      <name val="Calibri"/>
      <family val="2"/>
      <scheme val="minor"/>
    </font>
    <font>
      <u/>
      <sz val="9"/>
      <name val="Calibri"/>
      <family val="2"/>
      <scheme val="minor"/>
    </font>
    <font>
      <sz val="8"/>
      <color rgb="FFFF0000"/>
      <name val="Arial1"/>
    </font>
    <font>
      <b/>
      <sz val="11"/>
      <color theme="1"/>
      <name val="Calibri"/>
      <family val="2"/>
      <scheme val="minor"/>
    </font>
    <font>
      <sz val="8"/>
      <color rgb="FFFF0000"/>
      <name val="Calibri"/>
      <family val="2"/>
      <scheme val="minor"/>
    </font>
    <font>
      <b/>
      <sz val="10"/>
      <name val="Calibri"/>
      <family val="2"/>
      <scheme val="minor"/>
    </font>
    <font>
      <sz val="10"/>
      <color theme="1"/>
      <name val="Calibri"/>
      <family val="2"/>
      <scheme val="minor"/>
    </font>
    <font>
      <b/>
      <sz val="11"/>
      <name val="Calibri"/>
      <family val="2"/>
      <scheme val="minor"/>
    </font>
    <font>
      <sz val="11"/>
      <name val="Calibri"/>
      <family val="2"/>
      <scheme val="minor"/>
    </font>
    <font>
      <sz val="9"/>
      <color rgb="FF000000"/>
      <name val="Liberation Serif"/>
      <family val="1"/>
    </font>
    <font>
      <b/>
      <sz val="8"/>
      <color theme="8" tint="-0.249977111117893"/>
      <name val="Calibri"/>
      <family val="2"/>
    </font>
    <font>
      <b/>
      <sz val="9"/>
      <color indexed="10"/>
      <name val="Segoe UI"/>
      <family val="2"/>
    </font>
    <font>
      <sz val="11"/>
      <color rgb="FFFF0000"/>
      <name val="Calibri"/>
      <family val="2"/>
      <scheme val="minor"/>
    </font>
    <font>
      <sz val="12"/>
      <color theme="1"/>
      <name val="Calibri"/>
      <family val="2"/>
      <scheme val="minor"/>
    </font>
    <font>
      <sz val="11"/>
      <color rgb="FF000000"/>
      <name val="Calibri"/>
      <family val="2"/>
      <scheme val="minor"/>
    </font>
    <font>
      <b/>
      <sz val="12"/>
      <color rgb="FFFF0000"/>
      <name val="Calibri"/>
      <family val="2"/>
      <scheme val="minor"/>
    </font>
    <font>
      <b/>
      <sz val="11"/>
      <color rgb="FFFF0000"/>
      <name val="Calibri"/>
      <family val="2"/>
      <scheme val="minor"/>
    </font>
    <font>
      <b/>
      <sz val="16"/>
      <color rgb="FFFF0000"/>
      <name val="Calibri"/>
      <family val="2"/>
      <scheme val="minor"/>
    </font>
    <font>
      <sz val="12"/>
      <color rgb="FF00B050"/>
      <name val="Calibri"/>
      <family val="2"/>
    </font>
    <font>
      <sz val="12"/>
      <name val="Calibri"/>
      <family val="2"/>
    </font>
    <font>
      <sz val="9"/>
      <name val="Liberation Serif"/>
      <family val="1"/>
    </font>
    <font>
      <b/>
      <sz val="11"/>
      <color rgb="FF000000"/>
      <name val="Calibri"/>
      <family val="2"/>
      <scheme val="minor"/>
    </font>
    <font>
      <b/>
      <sz val="9"/>
      <color rgb="FFFF0000"/>
      <name val="Century Gothic"/>
      <family val="2"/>
    </font>
    <font>
      <i/>
      <sz val="9"/>
      <color rgb="FF0070C0"/>
      <name val="Calibri"/>
      <family val="2"/>
      <scheme val="minor"/>
    </font>
    <font>
      <sz val="9"/>
      <color theme="8" tint="-0.249977111117893"/>
      <name val="Calibri"/>
      <family val="2"/>
      <scheme val="minor"/>
    </font>
    <font>
      <b/>
      <sz val="12"/>
      <name val="Calibri"/>
      <family val="2"/>
      <scheme val="minor"/>
    </font>
    <font>
      <sz val="14"/>
      <name val="Calibri"/>
      <family val="2"/>
    </font>
    <font>
      <sz val="16"/>
      <name val="Calibri"/>
      <family val="2"/>
    </font>
    <font>
      <b/>
      <sz val="16"/>
      <name val="Calibri"/>
      <family val="2"/>
    </font>
    <font>
      <b/>
      <sz val="18"/>
      <color rgb="FFFF0000"/>
      <name val="Calibri"/>
      <family val="2"/>
      <scheme val="minor"/>
    </font>
    <font>
      <b/>
      <sz val="11"/>
      <color rgb="FF7030A0"/>
      <name val="Calibri"/>
      <family val="2"/>
      <scheme val="minor"/>
    </font>
    <font>
      <b/>
      <sz val="11"/>
      <color rgb="FF00B050"/>
      <name val="Calibri"/>
      <family val="2"/>
      <scheme val="minor"/>
    </font>
    <font>
      <sz val="9"/>
      <color theme="1"/>
      <name val="Calibri"/>
      <family val="2"/>
    </font>
    <font>
      <b/>
      <sz val="14"/>
      <color rgb="FFFF0000"/>
      <name val="Calibri"/>
      <family val="2"/>
      <scheme val="minor"/>
    </font>
    <font>
      <sz val="12"/>
      <name val="Calibri"/>
      <family val="2"/>
      <scheme val="minor"/>
    </font>
    <font>
      <sz val="12"/>
      <color rgb="FF000000"/>
      <name val="Calibri"/>
      <family val="2"/>
      <scheme val="minor"/>
    </font>
    <font>
      <sz val="12"/>
      <color theme="1"/>
      <name val="Arial1"/>
    </font>
  </fonts>
  <fills count="5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FF"/>
        <bgColor rgb="FFFFFFFF"/>
      </patternFill>
    </fill>
    <fill>
      <patternFill patternType="solid">
        <fgColor theme="0"/>
        <bgColor rgb="FFFFFFFF"/>
      </patternFill>
    </fill>
    <fill>
      <patternFill patternType="solid">
        <fgColor theme="3" tint="0.59999389629810485"/>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0"/>
        <bgColor rgb="FFFFFF00"/>
      </patternFill>
    </fill>
    <fill>
      <patternFill patternType="solid">
        <fgColor theme="0"/>
        <bgColor rgb="FFCCFFFF"/>
      </patternFill>
    </fill>
    <fill>
      <patternFill patternType="solid">
        <fgColor theme="6" tint="0.79998168889431442"/>
        <bgColor rgb="FFCCFFFF"/>
      </patternFill>
    </fill>
    <fill>
      <patternFill patternType="solid">
        <fgColor theme="6" tint="0.79998168889431442"/>
        <bgColor rgb="FFFFFFFF"/>
      </patternFill>
    </fill>
    <fill>
      <patternFill patternType="solid">
        <fgColor theme="6" tint="0.79998168889431442"/>
        <bgColor rgb="FF83CAFF"/>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rgb="FFE7E6E6"/>
      </patternFill>
    </fill>
    <fill>
      <patternFill patternType="solid">
        <fgColor rgb="FFFFFF00"/>
        <bgColor rgb="FFFFFFFF"/>
      </patternFill>
    </fill>
    <fill>
      <patternFill patternType="solid">
        <fgColor rgb="FFFFFF00"/>
        <bgColor rgb="FFCCFFFF"/>
      </patternFill>
    </fill>
    <fill>
      <patternFill patternType="solid">
        <fgColor theme="0" tint="-4.9989318521683403E-2"/>
        <bgColor rgb="FFCCFFFF"/>
      </patternFill>
    </fill>
    <fill>
      <patternFill patternType="solid">
        <fgColor theme="0" tint="-4.9989318521683403E-2"/>
        <bgColor rgb="FFFFFFFF"/>
      </patternFill>
    </fill>
    <fill>
      <patternFill patternType="solid">
        <fgColor theme="0" tint="-4.9989318521683403E-2"/>
        <bgColor rgb="FFC0C0C0"/>
      </patternFill>
    </fill>
    <fill>
      <patternFill patternType="solid">
        <fgColor rgb="FFFFFF00"/>
        <bgColor rgb="FFE7E6E6"/>
      </patternFill>
    </fill>
    <fill>
      <patternFill patternType="solid">
        <fgColor theme="7" tint="0.79998168889431442"/>
        <bgColor rgb="FFFFFFFF"/>
      </patternFill>
    </fill>
    <fill>
      <patternFill patternType="solid">
        <fgColor theme="6" tint="0.59999389629810485"/>
        <bgColor rgb="FF0084D1"/>
      </patternFill>
    </fill>
    <fill>
      <patternFill patternType="lightHorizontal">
        <bgColor theme="6" tint="0.79995117038483843"/>
      </patternFill>
    </fill>
    <fill>
      <patternFill patternType="solid">
        <fgColor theme="6" tint="0.79998168889431442"/>
        <bgColor indexed="64"/>
      </patternFill>
    </fill>
    <fill>
      <patternFill patternType="solid">
        <fgColor theme="0" tint="-0.14999847407452621"/>
        <bgColor rgb="FFCCFFFF"/>
      </patternFill>
    </fill>
    <fill>
      <patternFill patternType="solid">
        <fgColor theme="0" tint="-4.9989318521683403E-2"/>
        <bgColor rgb="FF83CAFF"/>
      </patternFill>
    </fill>
    <fill>
      <patternFill patternType="solid">
        <fgColor theme="0" tint="-0.14999847407452621"/>
        <bgColor rgb="FFBFBFBF"/>
      </patternFill>
    </fill>
    <fill>
      <patternFill patternType="solid">
        <fgColor theme="0" tint="-4.9989318521683403E-2"/>
        <bgColor rgb="FFE7E6E6"/>
      </patternFill>
    </fill>
    <fill>
      <patternFill patternType="solid">
        <fgColor theme="8" tint="0.59999389629810485"/>
        <bgColor rgb="FF83CAFF"/>
      </patternFill>
    </fill>
    <fill>
      <patternFill patternType="solid">
        <fgColor theme="2" tint="-9.9978637043366805E-2"/>
        <bgColor indexed="41"/>
      </patternFill>
    </fill>
    <fill>
      <patternFill patternType="solid">
        <fgColor indexed="9"/>
        <bgColor indexed="26"/>
      </patternFill>
    </fill>
    <fill>
      <patternFill patternType="solid">
        <fgColor rgb="FFFFFF00"/>
        <bgColor indexed="26"/>
      </patternFill>
    </fill>
    <fill>
      <patternFill patternType="solid">
        <fgColor theme="2" tint="-9.9978637043366805E-2"/>
        <bgColor indexed="31"/>
      </patternFill>
    </fill>
    <fill>
      <patternFill patternType="solid">
        <fgColor theme="8" tint="0.59999389629810485"/>
        <bgColor indexed="39"/>
      </patternFill>
    </fill>
    <fill>
      <patternFill patternType="solid">
        <fgColor rgb="FFFFFF00"/>
        <bgColor indexed="34"/>
      </patternFill>
    </fill>
    <fill>
      <patternFill patternType="solid">
        <fgColor theme="8" tint="0.59999389629810485"/>
        <bgColor indexed="64"/>
      </patternFill>
    </fill>
    <fill>
      <patternFill patternType="solid">
        <fgColor theme="0"/>
        <bgColor indexed="26"/>
      </patternFill>
    </fill>
    <fill>
      <patternFill patternType="solid">
        <fgColor theme="3" tint="0.79998168889431442"/>
        <bgColor indexed="39"/>
      </patternFill>
    </fill>
    <fill>
      <patternFill patternType="solid">
        <fgColor theme="3" tint="0.79998168889431442"/>
        <bgColor indexed="41"/>
      </patternFill>
    </fill>
    <fill>
      <patternFill patternType="solid">
        <fgColor theme="4" tint="0.79998168889431442"/>
        <bgColor indexed="64"/>
      </patternFill>
    </fill>
    <fill>
      <patternFill patternType="solid">
        <fgColor rgb="FFFFF2CC"/>
        <bgColor rgb="FFE2F0D9"/>
      </patternFill>
    </fill>
    <fill>
      <patternFill patternType="solid">
        <fgColor rgb="FFD0CECE"/>
        <bgColor rgb="FFCCCCCC"/>
      </patternFill>
    </fill>
    <fill>
      <patternFill patternType="solid">
        <fgColor theme="0" tint="-0.14999847407452621"/>
        <bgColor rgb="FFCCCCCC"/>
      </patternFill>
    </fill>
    <fill>
      <patternFill patternType="solid">
        <fgColor rgb="FFFFFFFF"/>
        <bgColor rgb="FFFFF2CC"/>
      </patternFill>
    </fill>
    <fill>
      <patternFill patternType="solid">
        <fgColor rgb="FFFFFFFF"/>
        <bgColor indexed="64"/>
      </patternFill>
    </fill>
    <fill>
      <patternFill patternType="solid">
        <fgColor theme="4" tint="0.79998168889431442"/>
        <bgColor rgb="FFE2F0D9"/>
      </patternFill>
    </fill>
    <fill>
      <patternFill patternType="solid">
        <fgColor theme="0"/>
        <bgColor indexed="41"/>
      </patternFill>
    </fill>
    <fill>
      <patternFill patternType="solid">
        <fgColor theme="9" tint="0.79998168889431442"/>
        <bgColor indexed="64"/>
      </patternFill>
    </fill>
    <fill>
      <patternFill patternType="solid">
        <fgColor theme="5" tint="0.79998168889431442"/>
        <bgColor indexed="64"/>
      </patternFill>
    </fill>
    <fill>
      <patternFill patternType="solid">
        <fgColor rgb="FFFFFF00"/>
        <bgColor rgb="FFFFF2CC"/>
      </patternFill>
    </fill>
    <fill>
      <patternFill patternType="solid">
        <fgColor theme="0"/>
        <bgColor rgb="FFCCCCCC"/>
      </patternFill>
    </fill>
  </fills>
  <borders count="9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top/>
      <bottom style="thin">
        <color rgb="FF004586"/>
      </bottom>
      <diagonal/>
    </border>
    <border>
      <left/>
      <right/>
      <top style="thin">
        <color rgb="FF004586"/>
      </top>
      <bottom style="double">
        <color rgb="FF004586"/>
      </bottom>
      <diagonal/>
    </border>
    <border>
      <left/>
      <right/>
      <top style="thin">
        <color rgb="FF004586"/>
      </top>
      <bottom style="thin">
        <color rgb="FF004586"/>
      </bottom>
      <diagonal/>
    </border>
    <border>
      <left/>
      <right/>
      <top style="thin">
        <color rgb="FF004586"/>
      </top>
      <bottom/>
      <diagonal/>
    </border>
    <border>
      <left style="thin">
        <color rgb="FF004586"/>
      </left>
      <right/>
      <top/>
      <bottom/>
      <diagonal/>
    </border>
    <border>
      <left/>
      <right/>
      <top style="thin">
        <color rgb="FF004586"/>
      </top>
      <bottom style="thin">
        <color indexed="64"/>
      </bottom>
      <diagonal/>
    </border>
    <border>
      <left style="thin">
        <color rgb="FF004586"/>
      </left>
      <right style="thin">
        <color rgb="FF004586"/>
      </right>
      <top style="thin">
        <color rgb="FF004586"/>
      </top>
      <bottom style="thin">
        <color rgb="FF004586"/>
      </bottom>
      <diagonal/>
    </border>
    <border>
      <left/>
      <right style="thin">
        <color rgb="FF000000"/>
      </right>
      <top/>
      <bottom style="thin">
        <color rgb="FF000000"/>
      </bottom>
      <diagonal/>
    </border>
    <border>
      <left style="thin">
        <color indexed="64"/>
      </left>
      <right/>
      <top style="thin">
        <color indexed="64"/>
      </top>
      <bottom style="thin">
        <color rgb="FF004586"/>
      </bottom>
      <diagonal/>
    </border>
    <border>
      <left style="thin">
        <color indexed="64"/>
      </left>
      <right/>
      <top style="thin">
        <color rgb="FF004586"/>
      </top>
      <bottom style="thin">
        <color rgb="FF004586"/>
      </bottom>
      <diagonal/>
    </border>
    <border>
      <left style="thin">
        <color indexed="64"/>
      </left>
      <right/>
      <top style="thin">
        <color rgb="FF004586"/>
      </top>
      <bottom style="thin">
        <color indexed="64"/>
      </bottom>
      <diagonal/>
    </border>
    <border>
      <left style="thin">
        <color indexed="64"/>
      </left>
      <right/>
      <top/>
      <bottom style="thin">
        <color rgb="FF004586"/>
      </bottom>
      <diagonal/>
    </border>
    <border>
      <left/>
      <right/>
      <top style="thin">
        <color indexed="64"/>
      </top>
      <bottom style="thin">
        <color rgb="FF004586"/>
      </bottom>
      <diagonal/>
    </border>
    <border>
      <left style="thin">
        <color rgb="FF004586"/>
      </left>
      <right style="thin">
        <color rgb="FF004586"/>
      </right>
      <top/>
      <bottom style="thin">
        <color rgb="FF004586"/>
      </bottom>
      <diagonal/>
    </border>
    <border>
      <left style="thin">
        <color indexed="64"/>
      </left>
      <right/>
      <top style="thin">
        <color rgb="FF004586"/>
      </top>
      <bottom/>
      <diagonal/>
    </border>
    <border>
      <left style="thin">
        <color rgb="FF004586"/>
      </left>
      <right/>
      <top/>
      <bottom style="thin">
        <color rgb="FF004586"/>
      </bottom>
      <diagonal/>
    </border>
    <border>
      <left style="thin">
        <color rgb="FF004586"/>
      </left>
      <right style="thin">
        <color rgb="FF004586"/>
      </right>
      <top style="thin">
        <color rgb="FF004586"/>
      </top>
      <bottom/>
      <diagonal/>
    </border>
    <border>
      <left style="thin">
        <color indexed="64"/>
      </left>
      <right style="thin">
        <color rgb="FF004586"/>
      </right>
      <top/>
      <bottom style="thin">
        <color indexed="64"/>
      </bottom>
      <diagonal/>
    </border>
    <border>
      <left/>
      <right style="thin">
        <color rgb="FF004586"/>
      </right>
      <top style="thin">
        <color rgb="FF004586"/>
      </top>
      <bottom style="thin">
        <color rgb="FF004586"/>
      </bottom>
      <diagonal/>
    </border>
    <border>
      <left style="thin">
        <color indexed="64"/>
      </left>
      <right style="thin">
        <color rgb="FF004586"/>
      </right>
      <top style="thin">
        <color indexed="64"/>
      </top>
      <bottom/>
      <diagonal/>
    </border>
    <border>
      <left style="thin">
        <color rgb="FF004586"/>
      </left>
      <right/>
      <top style="thin">
        <color rgb="FF004586"/>
      </top>
      <bottom style="thin">
        <color rgb="FF004586"/>
      </bottom>
      <diagonal/>
    </border>
    <border>
      <left style="thin">
        <color indexed="64"/>
      </left>
      <right style="thin">
        <color indexed="64"/>
      </right>
      <top style="thin">
        <color rgb="FF004586"/>
      </top>
      <bottom/>
      <diagonal/>
    </border>
    <border>
      <left style="thin">
        <color indexed="64"/>
      </left>
      <right style="thin">
        <color rgb="FF004586"/>
      </right>
      <top style="thin">
        <color rgb="FF004586"/>
      </top>
      <bottom/>
      <diagonal/>
    </border>
    <border>
      <left style="thin">
        <color indexed="64"/>
      </left>
      <right style="thin">
        <color indexed="64"/>
      </right>
      <top style="thin">
        <color rgb="FF004586"/>
      </top>
      <bottom style="thin">
        <color rgb="FF004586"/>
      </bottom>
      <diagonal/>
    </border>
    <border>
      <left style="thin">
        <color indexed="64"/>
      </left>
      <right style="thin">
        <color indexed="64"/>
      </right>
      <top style="thin">
        <color indexed="64"/>
      </top>
      <bottom style="thin">
        <color rgb="FF004586"/>
      </bottom>
      <diagonal/>
    </border>
    <border>
      <left style="thin">
        <color indexed="64"/>
      </left>
      <right style="thin">
        <color indexed="64"/>
      </right>
      <top style="thin">
        <color rgb="FF004586"/>
      </top>
      <bottom style="thin">
        <color indexed="64"/>
      </bottom>
      <diagonal/>
    </border>
    <border>
      <left style="thin">
        <color indexed="64"/>
      </left>
      <right style="thin">
        <color rgb="FF004586"/>
      </right>
      <top style="thin">
        <color indexed="64"/>
      </top>
      <bottom style="thin">
        <color rgb="FF004586"/>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4586"/>
      </left>
      <right style="thin">
        <color rgb="FF004586"/>
      </right>
      <top/>
      <bottom/>
      <diagonal/>
    </border>
    <border>
      <left/>
      <right style="thin">
        <color indexed="64"/>
      </right>
      <top style="thin">
        <color indexed="64"/>
      </top>
      <bottom style="thin">
        <color rgb="FF004586"/>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rgb="FF004586"/>
      </left>
      <right/>
      <top style="thin">
        <color indexed="64"/>
      </top>
      <bottom style="thin">
        <color rgb="FF004586"/>
      </bottom>
      <diagonal/>
    </border>
    <border>
      <left/>
      <right style="thin">
        <color rgb="FF004586"/>
      </right>
      <top style="thin">
        <color indexed="64"/>
      </top>
      <bottom style="thin">
        <color rgb="FF004586"/>
      </bottom>
      <diagonal/>
    </border>
    <border>
      <left/>
      <right style="thin">
        <color rgb="FF004586"/>
      </right>
      <top style="thin">
        <color indexed="64"/>
      </top>
      <bottom/>
      <diagonal/>
    </border>
    <border>
      <left style="thin">
        <color rgb="FF004586"/>
      </left>
      <right/>
      <top style="thin">
        <color rgb="FF004586"/>
      </top>
      <bottom/>
      <diagonal/>
    </border>
    <border>
      <left style="thin">
        <color rgb="FF004586"/>
      </left>
      <right/>
      <top/>
      <bottom style="thin">
        <color indexed="64"/>
      </bottom>
      <diagonal/>
    </border>
    <border>
      <left style="thin">
        <color rgb="FF004586"/>
      </left>
      <right/>
      <top style="thin">
        <color indexed="64"/>
      </top>
      <bottom style="thin">
        <color indexed="64"/>
      </bottom>
      <diagonal/>
    </border>
    <border>
      <left/>
      <right style="thin">
        <color rgb="FF004586"/>
      </right>
      <top style="thin">
        <color indexed="64"/>
      </top>
      <bottom style="thin">
        <color indexed="64"/>
      </bottom>
      <diagonal/>
    </border>
    <border>
      <left/>
      <right style="thin">
        <color indexed="64"/>
      </right>
      <top style="thin">
        <color rgb="FF004586"/>
      </top>
      <bottom/>
      <diagonal/>
    </border>
    <border>
      <left style="thin">
        <color theme="0" tint="-0.34998626667073579"/>
      </left>
      <right style="thin">
        <color theme="0" tint="-0.34998626667073579"/>
      </right>
      <top style="thin">
        <color theme="0" tint="-0.34998626667073579"/>
      </top>
      <bottom/>
      <diagonal/>
    </border>
    <border>
      <left/>
      <right style="thin">
        <color rgb="FF004586"/>
      </right>
      <top style="thin">
        <color rgb="FF004586"/>
      </top>
      <bottom/>
      <diagonal/>
    </border>
    <border>
      <left/>
      <right style="thin">
        <color rgb="FF004586"/>
      </right>
      <top/>
      <bottom style="thin">
        <color rgb="FF004586"/>
      </bottom>
      <diagonal/>
    </border>
    <border>
      <left/>
      <right style="thin">
        <color rgb="FF000000"/>
      </right>
      <top style="thin">
        <color indexed="64"/>
      </top>
      <bottom style="thin">
        <color indexed="64"/>
      </bottom>
      <diagonal/>
    </border>
    <border>
      <left style="thin">
        <color theme="0" tint="-0.34998626667073579"/>
      </left>
      <right style="thin">
        <color theme="0" tint="-0.34998626667073579"/>
      </right>
      <top/>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thin">
        <color indexed="8"/>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8"/>
      </right>
      <top style="thin">
        <color indexed="8"/>
      </top>
      <bottom style="thin">
        <color indexed="8"/>
      </bottom>
      <diagonal/>
    </border>
    <border>
      <left style="thin">
        <color indexed="8"/>
      </left>
      <right style="thin">
        <color indexed="8"/>
      </right>
      <top/>
      <bottom/>
      <diagonal/>
    </border>
    <border>
      <left/>
      <right style="thin">
        <color indexed="8"/>
      </right>
      <top style="thin">
        <color indexed="64"/>
      </top>
      <bottom style="thin">
        <color indexed="64"/>
      </bottom>
      <diagonal/>
    </border>
    <border>
      <left style="thin">
        <color indexed="64"/>
      </left>
      <right/>
      <top/>
      <bottom style="thin">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indexed="64"/>
      </left>
      <right style="medium">
        <color indexed="64"/>
      </right>
      <top style="medium">
        <color indexed="64"/>
      </top>
      <bottom style="medium">
        <color indexed="64"/>
      </bottom>
      <diagonal/>
    </border>
    <border>
      <left style="thin">
        <color rgb="FF008080"/>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s>
  <cellStyleXfs count="20">
    <xf numFmtId="0" fontId="0" fillId="0" borderId="0"/>
    <xf numFmtId="165" fontId="27" fillId="0" borderId="0"/>
    <xf numFmtId="0" fontId="28" fillId="0" borderId="0">
      <alignment horizontal="center"/>
    </xf>
    <xf numFmtId="0" fontId="28" fillId="0" borderId="0">
      <alignment horizontal="center" textRotation="90"/>
    </xf>
    <xf numFmtId="44" fontId="25" fillId="0" borderId="0" applyFont="0" applyFill="0" applyBorder="0" applyAlignment="0" applyProtection="0"/>
    <xf numFmtId="170" fontId="8" fillId="0" borderId="0" applyFont="0" applyFill="0" applyBorder="0" applyAlignment="0" applyProtection="0"/>
    <xf numFmtId="0" fontId="29" fillId="0" borderId="0"/>
    <xf numFmtId="0" fontId="15" fillId="0" borderId="0"/>
    <xf numFmtId="0" fontId="26" fillId="0" borderId="0"/>
    <xf numFmtId="0" fontId="26" fillId="0" borderId="0"/>
    <xf numFmtId="9" fontId="25" fillId="0" borderId="0" applyFont="0" applyFill="0" applyBorder="0" applyAlignment="0" applyProtection="0"/>
    <xf numFmtId="9" fontId="8" fillId="0" borderId="0" applyFont="0" applyFill="0" applyBorder="0" applyAlignment="0" applyProtection="0"/>
    <xf numFmtId="0" fontId="30" fillId="0" borderId="0"/>
    <xf numFmtId="164" fontId="30" fillId="0" borderId="0"/>
    <xf numFmtId="0" fontId="31" fillId="0" borderId="0"/>
    <xf numFmtId="0" fontId="32" fillId="0" borderId="0"/>
    <xf numFmtId="0" fontId="33" fillId="0" borderId="25"/>
    <xf numFmtId="43" fontId="25" fillId="0" borderId="0" applyFont="0" applyFill="0" applyBorder="0" applyAlignment="0" applyProtection="0"/>
    <xf numFmtId="184" fontId="15" fillId="0" borderId="0" applyFill="0" applyBorder="0" applyAlignment="0" applyProtection="0"/>
    <xf numFmtId="9" fontId="15" fillId="0" borderId="0" applyFill="0" applyBorder="0" applyAlignment="0" applyProtection="0"/>
  </cellStyleXfs>
  <cellXfs count="1360">
    <xf numFmtId="0" fontId="0" fillId="0" borderId="0" xfId="0"/>
    <xf numFmtId="0" fontId="34" fillId="0" borderId="0" xfId="0" applyFont="1" applyAlignment="1">
      <alignment horizontal="center" wrapText="1"/>
    </xf>
    <xf numFmtId="3" fontId="0" fillId="0" borderId="0" xfId="0" applyNumberFormat="1"/>
    <xf numFmtId="0" fontId="0" fillId="0" borderId="1" xfId="0" applyBorder="1"/>
    <xf numFmtId="0" fontId="0" fillId="3" borderId="0" xfId="0" applyFill="1"/>
    <xf numFmtId="0" fontId="25" fillId="0" borderId="0" xfId="0" applyFont="1" applyAlignment="1">
      <alignment vertical="center" wrapText="1"/>
    </xf>
    <xf numFmtId="0" fontId="35" fillId="6" borderId="1" xfId="0" applyFont="1" applyFill="1" applyBorder="1" applyAlignment="1">
      <alignment horizontal="center" vertical="center" wrapText="1"/>
    </xf>
    <xf numFmtId="0" fontId="35" fillId="0" borderId="1" xfId="0" applyFont="1" applyBorder="1" applyAlignment="1">
      <alignment horizontal="left" vertical="center" wrapText="1"/>
    </xf>
    <xf numFmtId="4" fontId="15" fillId="0" borderId="1" xfId="0" applyNumberFormat="1" applyFont="1" applyBorder="1" applyAlignment="1">
      <alignment horizontal="center" vertical="center" wrapText="1"/>
    </xf>
    <xf numFmtId="0" fontId="35" fillId="0" borderId="1" xfId="0" applyFont="1" applyBorder="1" applyAlignment="1">
      <alignment horizontal="center" vertical="center" wrapText="1"/>
    </xf>
    <xf numFmtId="0" fontId="35" fillId="0" borderId="2" xfId="0" applyFont="1" applyBorder="1" applyAlignment="1">
      <alignment horizontal="center" vertical="center" wrapText="1"/>
    </xf>
    <xf numFmtId="2" fontId="15" fillId="0" borderId="1" xfId="0" applyNumberFormat="1" applyFont="1" applyBorder="1" applyAlignment="1">
      <alignment horizontal="center" vertical="center" wrapText="1"/>
    </xf>
    <xf numFmtId="0" fontId="35" fillId="0" borderId="0" xfId="0" applyFont="1" applyAlignment="1">
      <alignment horizontal="center" wrapText="1"/>
    </xf>
    <xf numFmtId="0" fontId="36" fillId="0" borderId="0" xfId="0" applyFont="1" applyAlignment="1">
      <alignment horizontal="center" wrapText="1"/>
    </xf>
    <xf numFmtId="4" fontId="36" fillId="0" borderId="0" xfId="0" applyNumberFormat="1" applyFont="1" applyAlignment="1">
      <alignment horizontal="center" vertical="center" wrapText="1"/>
    </xf>
    <xf numFmtId="0" fontId="0" fillId="0" borderId="0" xfId="0" applyAlignment="1">
      <alignment horizontal="center" vertical="center"/>
    </xf>
    <xf numFmtId="0" fontId="36" fillId="0" borderId="0" xfId="0" applyFont="1" applyAlignment="1">
      <alignment horizontal="center" vertical="center" wrapText="1"/>
    </xf>
    <xf numFmtId="4" fontId="16" fillId="0" borderId="0" xfId="0" applyNumberFormat="1" applyFont="1" applyAlignment="1">
      <alignment horizontal="center" vertical="center" wrapText="1"/>
    </xf>
    <xf numFmtId="172" fontId="0" fillId="0" borderId="0" xfId="0" applyNumberFormat="1"/>
    <xf numFmtId="172" fontId="15" fillId="0" borderId="1" xfId="0" applyNumberFormat="1" applyFont="1" applyBorder="1" applyAlignment="1">
      <alignment horizontal="center" vertical="center" wrapText="1"/>
    </xf>
    <xf numFmtId="44" fontId="15" fillId="0" borderId="1" xfId="4" applyFont="1" applyFill="1" applyBorder="1" applyAlignment="1" applyProtection="1">
      <alignment horizontal="center" vertical="center" wrapText="1"/>
    </xf>
    <xf numFmtId="0" fontId="15" fillId="7" borderId="1" xfId="0" applyFont="1" applyFill="1" applyBorder="1" applyAlignment="1">
      <alignment horizontal="center" vertical="center" wrapText="1"/>
    </xf>
    <xf numFmtId="0" fontId="35" fillId="0" borderId="0" xfId="0" applyFont="1"/>
    <xf numFmtId="44" fontId="35" fillId="0" borderId="0" xfId="0" applyNumberFormat="1" applyFont="1"/>
    <xf numFmtId="44" fontId="15" fillId="0" borderId="3" xfId="4" applyFont="1" applyFill="1" applyBorder="1" applyAlignment="1" applyProtection="1">
      <alignment horizontal="center" vertical="center" wrapText="1"/>
    </xf>
    <xf numFmtId="44" fontId="15" fillId="0" borderId="0" xfId="4" applyFont="1" applyFill="1" applyBorder="1" applyAlignment="1" applyProtection="1">
      <alignment horizontal="center" vertical="center" wrapText="1"/>
    </xf>
    <xf numFmtId="44" fontId="35" fillId="0" borderId="0" xfId="4" applyFont="1"/>
    <xf numFmtId="0" fontId="36" fillId="3" borderId="0" xfId="0" applyFont="1" applyFill="1" applyAlignment="1">
      <alignment horizontal="center" vertical="center" wrapText="1"/>
    </xf>
    <xf numFmtId="44" fontId="36" fillId="3" borderId="0" xfId="4" applyFont="1" applyFill="1" applyBorder="1" applyAlignment="1" applyProtection="1">
      <alignment horizontal="center" vertical="center" wrapText="1"/>
    </xf>
    <xf numFmtId="0" fontId="37" fillId="0" borderId="0" xfId="0" applyFont="1"/>
    <xf numFmtId="0" fontId="15" fillId="7" borderId="0" xfId="0" applyFont="1" applyFill="1" applyAlignment="1">
      <alignment horizontal="center" vertical="center" wrapText="1"/>
    </xf>
    <xf numFmtId="171" fontId="15" fillId="3" borderId="1" xfId="0" applyNumberFormat="1" applyFont="1" applyFill="1" applyBorder="1" applyAlignment="1">
      <alignment horizontal="center" vertical="center" wrapText="1"/>
    </xf>
    <xf numFmtId="172" fontId="15" fillId="3" borderId="1" xfId="0" applyNumberFormat="1" applyFont="1" applyFill="1" applyBorder="1" applyAlignment="1">
      <alignment horizontal="center" vertical="center" wrapText="1"/>
    </xf>
    <xf numFmtId="44" fontId="15" fillId="3" borderId="1" xfId="4" applyFont="1" applyFill="1" applyBorder="1" applyAlignment="1" applyProtection="1">
      <alignment horizontal="center" vertical="center" wrapText="1"/>
    </xf>
    <xf numFmtId="0" fontId="15" fillId="7" borderId="2" xfId="0" applyFont="1" applyFill="1" applyBorder="1" applyAlignment="1">
      <alignment horizontal="center" vertical="center" wrapText="1"/>
    </xf>
    <xf numFmtId="171" fontId="15" fillId="3" borderId="2" xfId="0" applyNumberFormat="1" applyFont="1" applyFill="1" applyBorder="1" applyAlignment="1">
      <alignment horizontal="center" vertical="center" wrapText="1"/>
    </xf>
    <xf numFmtId="172" fontId="15" fillId="0" borderId="2" xfId="0" applyNumberFormat="1" applyFont="1" applyBorder="1" applyAlignment="1">
      <alignment horizontal="center" vertical="center" wrapText="1"/>
    </xf>
    <xf numFmtId="44" fontId="15" fillId="0" borderId="2" xfId="4" applyFont="1" applyFill="1" applyBorder="1" applyAlignment="1" applyProtection="1">
      <alignment horizontal="center" vertical="center" wrapText="1"/>
    </xf>
    <xf numFmtId="171" fontId="15" fillId="3" borderId="4" xfId="0" applyNumberFormat="1" applyFont="1" applyFill="1" applyBorder="1" applyAlignment="1">
      <alignment horizontal="center" vertical="center" wrapText="1"/>
    </xf>
    <xf numFmtId="0" fontId="15" fillId="3" borderId="0" xfId="0" applyFont="1" applyFill="1" applyAlignment="1">
      <alignment horizontal="center" vertical="center" wrapText="1"/>
    </xf>
    <xf numFmtId="171" fontId="15" fillId="3" borderId="0" xfId="0" applyNumberFormat="1" applyFont="1" applyFill="1" applyAlignment="1">
      <alignment horizontal="center" vertical="center" wrapText="1"/>
    </xf>
    <xf numFmtId="44" fontId="15" fillId="3" borderId="0" xfId="4" applyFont="1" applyFill="1" applyBorder="1" applyAlignment="1" applyProtection="1">
      <alignment horizontal="center" vertical="center" wrapText="1"/>
    </xf>
    <xf numFmtId="0" fontId="15" fillId="0" borderId="0" xfId="0" applyFont="1" applyAlignment="1">
      <alignment horizontal="center" vertical="center" wrapText="1"/>
    </xf>
    <xf numFmtId="0" fontId="35" fillId="0" borderId="4" xfId="0" applyFont="1" applyBorder="1" applyAlignment="1">
      <alignment horizontal="left" vertical="center" wrapText="1"/>
    </xf>
    <xf numFmtId="0" fontId="0" fillId="0" borderId="4" xfId="0" applyBorder="1"/>
    <xf numFmtId="172" fontId="15" fillId="0" borderId="4" xfId="0" applyNumberFormat="1" applyFont="1" applyBorder="1" applyAlignment="1">
      <alignment horizontal="center" vertical="center" wrapText="1"/>
    </xf>
    <xf numFmtId="44" fontId="15" fillId="0" borderId="4" xfId="4" applyFont="1" applyFill="1" applyBorder="1" applyAlignment="1" applyProtection="1">
      <alignment horizontal="center" vertical="center" wrapText="1"/>
    </xf>
    <xf numFmtId="44" fontId="35" fillId="0" borderId="1" xfId="0" applyNumberFormat="1" applyFont="1" applyBorder="1"/>
    <xf numFmtId="0" fontId="15" fillId="7" borderId="4" xfId="0" applyFont="1" applyFill="1" applyBorder="1" applyAlignment="1">
      <alignment horizontal="center" vertical="center" wrapText="1"/>
    </xf>
    <xf numFmtId="44" fontId="35" fillId="0" borderId="4" xfId="0" applyNumberFormat="1" applyFont="1" applyBorder="1"/>
    <xf numFmtId="4" fontId="15" fillId="0" borderId="4" xfId="0" applyNumberFormat="1" applyFont="1" applyBorder="1" applyAlignment="1">
      <alignment horizontal="center" vertical="center" wrapText="1"/>
    </xf>
    <xf numFmtId="0" fontId="0" fillId="8" borderId="1" xfId="0" applyFill="1" applyBorder="1" applyAlignment="1">
      <alignment horizontal="center"/>
    </xf>
    <xf numFmtId="0" fontId="36" fillId="9" borderId="0" xfId="0" applyFont="1" applyFill="1" applyAlignment="1">
      <alignment horizontal="center" wrapText="1"/>
    </xf>
    <xf numFmtId="0" fontId="36" fillId="9" borderId="0" xfId="0" applyFont="1" applyFill="1" applyAlignment="1">
      <alignment vertical="center" wrapText="1"/>
    </xf>
    <xf numFmtId="0" fontId="36" fillId="9" borderId="0" xfId="0" applyFont="1" applyFill="1" applyAlignment="1">
      <alignment horizontal="center" vertical="center" wrapText="1"/>
    </xf>
    <xf numFmtId="44" fontId="36" fillId="9" borderId="0" xfId="4" applyFont="1" applyFill="1" applyBorder="1" applyAlignment="1" applyProtection="1">
      <alignment horizontal="center" vertical="center" wrapText="1"/>
    </xf>
    <xf numFmtId="0" fontId="35" fillId="0" borderId="1" xfId="0" applyFont="1" applyBorder="1"/>
    <xf numFmtId="0" fontId="35" fillId="0" borderId="2" xfId="0" applyFont="1" applyBorder="1" applyAlignment="1">
      <alignment horizontal="left" vertical="center" wrapText="1"/>
    </xf>
    <xf numFmtId="0" fontId="36" fillId="9" borderId="5" xfId="0" applyFont="1" applyFill="1" applyBorder="1" applyAlignment="1">
      <alignment horizontal="center" vertical="center" wrapText="1"/>
    </xf>
    <xf numFmtId="4" fontId="16" fillId="0" borderId="6" xfId="0" applyNumberFormat="1" applyFont="1" applyBorder="1" applyAlignment="1">
      <alignment horizontal="center" vertical="center" wrapText="1"/>
    </xf>
    <xf numFmtId="44" fontId="16" fillId="0" borderId="6" xfId="4" applyFont="1" applyFill="1" applyBorder="1" applyAlignment="1" applyProtection="1">
      <alignment horizontal="right" vertical="center" wrapText="1"/>
    </xf>
    <xf numFmtId="0" fontId="35" fillId="0" borderId="4" xfId="0" applyFont="1" applyBorder="1" applyAlignment="1">
      <alignment horizontal="center" vertical="center" wrapText="1"/>
    </xf>
    <xf numFmtId="2" fontId="15" fillId="0" borderId="4" xfId="0" applyNumberFormat="1" applyFont="1" applyBorder="1" applyAlignment="1">
      <alignment horizontal="center" vertical="center" wrapText="1"/>
    </xf>
    <xf numFmtId="171" fontId="15" fillId="9" borderId="0" xfId="0" applyNumberFormat="1" applyFont="1" applyFill="1" applyAlignment="1">
      <alignment horizontal="center" vertical="center" wrapText="1"/>
    </xf>
    <xf numFmtId="44" fontId="15" fillId="9" borderId="0" xfId="4" applyFont="1" applyFill="1" applyBorder="1" applyAlignment="1" applyProtection="1">
      <alignment horizontal="center" vertical="center" wrapText="1"/>
    </xf>
    <xf numFmtId="172" fontId="15" fillId="9" borderId="0" xfId="0" applyNumberFormat="1" applyFont="1" applyFill="1" applyAlignment="1">
      <alignment horizontal="center" vertical="center" wrapText="1"/>
    </xf>
    <xf numFmtId="172" fontId="16" fillId="0" borderId="6" xfId="0" applyNumberFormat="1" applyFont="1" applyBorder="1" applyAlignment="1">
      <alignment horizontal="center" vertical="center" wrapText="1"/>
    </xf>
    <xf numFmtId="44" fontId="16" fillId="0" borderId="6" xfId="4" applyFont="1" applyFill="1" applyBorder="1" applyAlignment="1" applyProtection="1">
      <alignment horizontal="center" vertical="center" wrapText="1"/>
    </xf>
    <xf numFmtId="2" fontId="35" fillId="0" borderId="4" xfId="0" applyNumberFormat="1" applyFont="1" applyBorder="1" applyAlignment="1">
      <alignment horizontal="center" vertical="center" wrapText="1"/>
    </xf>
    <xf numFmtId="0" fontId="35" fillId="0" borderId="2" xfId="0" applyFont="1" applyBorder="1"/>
    <xf numFmtId="4" fontId="36" fillId="0" borderId="2" xfId="0" applyNumberFormat="1" applyFont="1" applyBorder="1" applyAlignment="1">
      <alignment horizontal="center" vertical="center" wrapText="1"/>
    </xf>
    <xf numFmtId="172" fontId="16" fillId="0" borderId="2" xfId="0" applyNumberFormat="1" applyFont="1" applyBorder="1" applyAlignment="1">
      <alignment horizontal="center" vertical="center" wrapText="1"/>
    </xf>
    <xf numFmtId="44" fontId="16" fillId="0" borderId="2" xfId="4" applyFont="1" applyFill="1" applyBorder="1" applyAlignment="1" applyProtection="1">
      <alignment horizontal="center" vertical="center" wrapText="1"/>
    </xf>
    <xf numFmtId="0" fontId="35" fillId="0" borderId="7" xfId="0" applyFont="1" applyBorder="1" applyAlignment="1">
      <alignment horizontal="center" vertical="center" wrapText="1"/>
    </xf>
    <xf numFmtId="0" fontId="35" fillId="0" borderId="8" xfId="0" applyFont="1" applyBorder="1" applyAlignment="1">
      <alignment horizontal="center" vertical="center" wrapText="1"/>
    </xf>
    <xf numFmtId="0" fontId="35" fillId="0" borderId="5" xfId="0" applyFont="1" applyBorder="1" applyAlignment="1">
      <alignment horizontal="center" vertical="center" wrapText="1"/>
    </xf>
    <xf numFmtId="171" fontId="15" fillId="3" borderId="6" xfId="0" applyNumberFormat="1" applyFont="1" applyFill="1" applyBorder="1" applyAlignment="1">
      <alignment horizontal="center" vertical="center" wrapText="1"/>
    </xf>
    <xf numFmtId="172" fontId="15" fillId="0" borderId="6" xfId="0" applyNumberFormat="1" applyFont="1" applyBorder="1" applyAlignment="1">
      <alignment horizontal="center" vertical="center" wrapText="1"/>
    </xf>
    <xf numFmtId="44" fontId="15" fillId="0" borderId="6" xfId="4" applyFont="1" applyFill="1" applyBorder="1" applyAlignment="1" applyProtection="1">
      <alignment horizontal="center" vertical="center" wrapText="1"/>
    </xf>
    <xf numFmtId="0" fontId="15" fillId="9" borderId="0" xfId="0" applyFont="1" applyFill="1" applyAlignment="1">
      <alignment horizontal="center" vertical="center" wrapText="1"/>
    </xf>
    <xf numFmtId="0" fontId="36" fillId="3" borderId="0" xfId="0" applyFont="1" applyFill="1" applyAlignment="1">
      <alignment horizontal="center" wrapText="1"/>
    </xf>
    <xf numFmtId="0" fontId="15" fillId="3" borderId="2" xfId="0" applyFont="1" applyFill="1" applyBorder="1" applyAlignment="1">
      <alignment horizontal="center" vertical="center" wrapText="1"/>
    </xf>
    <xf numFmtId="0" fontId="35" fillId="3" borderId="2" xfId="0" applyFont="1" applyFill="1" applyBorder="1"/>
    <xf numFmtId="44" fontId="15" fillId="3" borderId="2" xfId="4" applyFont="1" applyFill="1" applyBorder="1" applyAlignment="1" applyProtection="1">
      <alignment horizontal="center" vertical="center" wrapText="1"/>
    </xf>
    <xf numFmtId="0" fontId="36" fillId="3" borderId="2" xfId="0" applyFont="1" applyFill="1" applyBorder="1" applyAlignment="1">
      <alignment horizontal="center" wrapText="1"/>
    </xf>
    <xf numFmtId="0" fontId="35" fillId="3" borderId="0" xfId="0" applyFont="1" applyFill="1"/>
    <xf numFmtId="4" fontId="36" fillId="0" borderId="9" xfId="0" applyNumberFormat="1" applyFont="1" applyBorder="1" applyAlignment="1">
      <alignment horizontal="center" vertical="center" wrapText="1"/>
    </xf>
    <xf numFmtId="4" fontId="15" fillId="3" borderId="1" xfId="0" applyNumberFormat="1" applyFont="1" applyFill="1" applyBorder="1" applyAlignment="1">
      <alignment horizontal="center" vertical="center" wrapText="1"/>
    </xf>
    <xf numFmtId="44" fontId="35" fillId="3" borderId="1" xfId="0" applyNumberFormat="1" applyFont="1" applyFill="1" applyBorder="1"/>
    <xf numFmtId="4" fontId="16" fillId="3" borderId="0" xfId="0" applyNumberFormat="1" applyFont="1" applyFill="1" applyAlignment="1">
      <alignment horizontal="center" vertical="center" wrapText="1"/>
    </xf>
    <xf numFmtId="44" fontId="16" fillId="3" borderId="0" xfId="4" applyFont="1" applyFill="1" applyBorder="1" applyAlignment="1" applyProtection="1">
      <alignment horizontal="center" vertical="center" wrapText="1"/>
    </xf>
    <xf numFmtId="4" fontId="36" fillId="3" borderId="0" xfId="0" applyNumberFormat="1" applyFont="1" applyFill="1" applyAlignment="1">
      <alignment horizontal="center" vertical="center" wrapText="1"/>
    </xf>
    <xf numFmtId="2" fontId="15" fillId="0" borderId="2" xfId="0" applyNumberFormat="1" applyFont="1" applyBorder="1" applyAlignment="1">
      <alignment horizontal="center" vertical="center" wrapText="1"/>
    </xf>
    <xf numFmtId="44" fontId="36" fillId="9" borderId="0" xfId="4" applyFont="1" applyFill="1" applyBorder="1" applyAlignment="1" applyProtection="1">
      <alignment vertical="center" wrapText="1"/>
    </xf>
    <xf numFmtId="44" fontId="36" fillId="0" borderId="0" xfId="4" applyFont="1" applyFill="1" applyBorder="1" applyAlignment="1" applyProtection="1">
      <alignment horizontal="center" vertical="center" wrapText="1"/>
    </xf>
    <xf numFmtId="0" fontId="35" fillId="0" borderId="6" xfId="0" applyFont="1" applyBorder="1" applyAlignment="1">
      <alignment horizontal="center" vertical="center" wrapText="1"/>
    </xf>
    <xf numFmtId="0" fontId="35" fillId="0" borderId="6" xfId="0" applyFont="1" applyBorder="1" applyAlignment="1">
      <alignment horizontal="left" vertical="center" wrapText="1"/>
    </xf>
    <xf numFmtId="0" fontId="15" fillId="7" borderId="6" xfId="0" applyFont="1" applyFill="1" applyBorder="1" applyAlignment="1">
      <alignment horizontal="center" vertical="center" wrapText="1"/>
    </xf>
    <xf numFmtId="2" fontId="15" fillId="0" borderId="6" xfId="0" applyNumberFormat="1" applyFont="1" applyBorder="1" applyAlignment="1">
      <alignment horizontal="center" vertical="center" wrapText="1"/>
    </xf>
    <xf numFmtId="4" fontId="0" fillId="9" borderId="0" xfId="0" applyNumberFormat="1" applyFill="1"/>
    <xf numFmtId="44" fontId="35" fillId="0" borderId="0" xfId="4" applyFont="1" applyBorder="1"/>
    <xf numFmtId="0" fontId="18" fillId="0" borderId="0" xfId="0" applyFont="1"/>
    <xf numFmtId="0" fontId="17" fillId="0" borderId="0" xfId="0" applyFont="1"/>
    <xf numFmtId="0" fontId="18" fillId="9" borderId="10" xfId="0" applyFont="1" applyFill="1" applyBorder="1" applyAlignment="1">
      <alignment horizontal="center" vertical="top" wrapText="1"/>
    </xf>
    <xf numFmtId="0" fontId="18" fillId="9" borderId="11" xfId="0" applyFont="1" applyFill="1" applyBorder="1" applyAlignment="1">
      <alignment horizontal="center" vertical="top" wrapText="1"/>
    </xf>
    <xf numFmtId="0" fontId="18" fillId="9" borderId="12" xfId="0" applyFont="1" applyFill="1" applyBorder="1" applyAlignment="1">
      <alignment horizontal="center" vertical="top" wrapText="1"/>
    </xf>
    <xf numFmtId="0" fontId="18" fillId="0" borderId="11" xfId="0" applyFont="1" applyBorder="1" applyAlignment="1">
      <alignment horizontal="center" vertical="top" wrapText="1"/>
    </xf>
    <xf numFmtId="0" fontId="18" fillId="9" borderId="13" xfId="0" applyFont="1" applyFill="1" applyBorder="1" applyAlignment="1">
      <alignment horizontal="center" vertical="top" wrapText="1"/>
    </xf>
    <xf numFmtId="0" fontId="18" fillId="9" borderId="14" xfId="0" applyFont="1" applyFill="1" applyBorder="1" applyAlignment="1">
      <alignment horizontal="center" vertical="top" wrapText="1"/>
    </xf>
    <xf numFmtId="0" fontId="18" fillId="9" borderId="15" xfId="0" applyFont="1" applyFill="1" applyBorder="1" applyAlignment="1">
      <alignment vertical="top" wrapText="1"/>
    </xf>
    <xf numFmtId="0" fontId="18" fillId="9" borderId="15" xfId="0" applyFont="1" applyFill="1" applyBorder="1" applyAlignment="1">
      <alignment horizontal="center" vertical="top" wrapText="1"/>
    </xf>
    <xf numFmtId="0" fontId="18" fillId="0" borderId="12" xfId="0" applyFont="1" applyBorder="1" applyAlignment="1">
      <alignment horizontal="center" vertical="top" wrapText="1"/>
    </xf>
    <xf numFmtId="0" fontId="18" fillId="0" borderId="16" xfId="0" applyFont="1" applyBorder="1" applyAlignment="1">
      <alignment horizontal="center" vertical="top" wrapText="1"/>
    </xf>
    <xf numFmtId="0" fontId="18" fillId="0" borderId="17" xfId="0" applyFont="1" applyBorder="1" applyAlignment="1">
      <alignment horizontal="center" vertical="top" wrapText="1"/>
    </xf>
    <xf numFmtId="167" fontId="15" fillId="3" borderId="1" xfId="0" applyNumberFormat="1" applyFont="1" applyFill="1" applyBorder="1" applyAlignment="1">
      <alignment horizontal="center" vertical="center" wrapText="1"/>
    </xf>
    <xf numFmtId="167" fontId="15" fillId="3" borderId="4" xfId="0" applyNumberFormat="1" applyFont="1" applyFill="1" applyBorder="1" applyAlignment="1">
      <alignment horizontal="center" vertical="center" wrapText="1"/>
    </xf>
    <xf numFmtId="174" fontId="24" fillId="0" borderId="0" xfId="17" applyNumberFormat="1" applyFont="1"/>
    <xf numFmtId="0" fontId="16" fillId="0" borderId="1" xfId="0" applyFont="1" applyBorder="1" applyAlignment="1">
      <alignment horizontal="left" vertical="center" wrapText="1"/>
    </xf>
    <xf numFmtId="167" fontId="16" fillId="3" borderId="1" xfId="0" applyNumberFormat="1" applyFont="1" applyFill="1" applyBorder="1" applyAlignment="1">
      <alignment horizontal="center" vertical="center" wrapText="1"/>
    </xf>
    <xf numFmtId="44" fontId="16" fillId="3" borderId="1" xfId="0" applyNumberFormat="1" applyFont="1" applyFill="1" applyBorder="1"/>
    <xf numFmtId="44" fontId="16" fillId="3" borderId="1" xfId="4" applyFont="1" applyFill="1" applyBorder="1" applyAlignment="1" applyProtection="1">
      <alignment horizontal="center" vertical="center" wrapText="1"/>
    </xf>
    <xf numFmtId="4" fontId="16" fillId="3" borderId="1" xfId="0" applyNumberFormat="1" applyFont="1" applyFill="1" applyBorder="1" applyAlignment="1">
      <alignment horizontal="center" vertical="center" wrapText="1"/>
    </xf>
    <xf numFmtId="172" fontId="16" fillId="3" borderId="1" xfId="0" applyNumberFormat="1" applyFont="1" applyFill="1" applyBorder="1" applyAlignment="1">
      <alignment horizontal="center" vertical="center" wrapText="1"/>
    </xf>
    <xf numFmtId="0" fontId="10" fillId="0" borderId="0" xfId="0" applyFont="1"/>
    <xf numFmtId="0" fontId="9" fillId="0" borderId="0" xfId="0" applyFont="1"/>
    <xf numFmtId="0" fontId="16" fillId="7" borderId="1" xfId="0" applyFont="1" applyFill="1" applyBorder="1" applyAlignment="1">
      <alignment horizontal="center" vertical="center" wrapText="1"/>
    </xf>
    <xf numFmtId="4" fontId="38" fillId="3" borderId="0" xfId="0" applyNumberFormat="1" applyFont="1" applyFill="1" applyAlignment="1">
      <alignment horizontal="center" vertical="center" wrapText="1"/>
    </xf>
    <xf numFmtId="44" fontId="38" fillId="0" borderId="0" xfId="0" applyNumberFormat="1" applyFont="1" applyAlignment="1">
      <alignment horizontal="center" vertical="center"/>
    </xf>
    <xf numFmtId="0" fontId="11" fillId="4" borderId="0" xfId="0" applyFont="1" applyFill="1" applyAlignment="1">
      <alignment vertical="center"/>
    </xf>
    <xf numFmtId="0" fontId="11" fillId="4" borderId="26" xfId="0" applyFont="1" applyFill="1" applyBorder="1" applyAlignment="1">
      <alignment vertical="center"/>
    </xf>
    <xf numFmtId="0" fontId="11" fillId="4" borderId="0" xfId="0" applyFont="1" applyFill="1"/>
    <xf numFmtId="0" fontId="19" fillId="4" borderId="24" xfId="0" applyFont="1" applyFill="1" applyBorder="1" applyAlignment="1">
      <alignment vertical="center"/>
    </xf>
    <xf numFmtId="0" fontId="19" fillId="10" borderId="19" xfId="0" applyFont="1" applyFill="1" applyBorder="1" applyAlignment="1" applyProtection="1">
      <alignment vertical="center" wrapText="1"/>
      <protection locked="0"/>
    </xf>
    <xf numFmtId="0" fontId="19" fillId="10" borderId="20" xfId="0" applyFont="1" applyFill="1" applyBorder="1" applyAlignment="1" applyProtection="1">
      <alignment vertical="center" wrapText="1"/>
      <protection locked="0"/>
    </xf>
    <xf numFmtId="0" fontId="11" fillId="3" borderId="0" xfId="0" applyFont="1" applyFill="1" applyAlignment="1">
      <alignment horizontal="center"/>
    </xf>
    <xf numFmtId="0" fontId="11" fillId="0" borderId="0" xfId="0" applyFont="1" applyAlignment="1">
      <alignment horizontal="center"/>
    </xf>
    <xf numFmtId="0" fontId="11" fillId="3" borderId="0" xfId="0" applyFont="1" applyFill="1" applyAlignment="1">
      <alignment vertical="center"/>
    </xf>
    <xf numFmtId="0" fontId="11" fillId="0" borderId="0" xfId="0" applyFont="1" applyAlignment="1">
      <alignment vertical="center"/>
    </xf>
    <xf numFmtId="0" fontId="11" fillId="5" borderId="0" xfId="0" applyFont="1" applyFill="1" applyAlignment="1">
      <alignment vertical="center"/>
    </xf>
    <xf numFmtId="0" fontId="19" fillId="11" borderId="0" xfId="0" applyFont="1" applyFill="1" applyAlignment="1">
      <alignment horizontal="center" vertical="center"/>
    </xf>
    <xf numFmtId="0" fontId="19" fillId="5" borderId="0" xfId="0" applyFont="1" applyFill="1" applyAlignment="1">
      <alignment vertical="center"/>
    </xf>
    <xf numFmtId="0" fontId="19" fillId="12" borderId="21" xfId="0" applyFont="1" applyFill="1" applyBorder="1" applyAlignment="1">
      <alignment horizontal="right" vertical="center"/>
    </xf>
    <xf numFmtId="0" fontId="11" fillId="4" borderId="27" xfId="0" applyFont="1" applyFill="1" applyBorder="1" applyAlignment="1">
      <alignment vertical="center"/>
    </xf>
    <xf numFmtId="0" fontId="19" fillId="4" borderId="0" xfId="0" applyFont="1" applyFill="1"/>
    <xf numFmtId="0" fontId="19" fillId="3" borderId="0" xfId="0" applyFont="1" applyFill="1" applyAlignment="1">
      <alignment vertical="center"/>
    </xf>
    <xf numFmtId="0" fontId="19" fillId="12" borderId="21" xfId="0" applyFont="1" applyFill="1" applyBorder="1" applyAlignment="1">
      <alignment vertical="center"/>
    </xf>
    <xf numFmtId="0" fontId="19" fillId="12" borderId="21" xfId="0" applyFont="1" applyFill="1" applyBorder="1" applyAlignment="1">
      <alignment horizontal="center" vertical="center"/>
    </xf>
    <xf numFmtId="0" fontId="19" fillId="12" borderId="21" xfId="0" applyFont="1" applyFill="1" applyBorder="1" applyAlignment="1">
      <alignment horizontal="center" vertical="center" wrapText="1"/>
    </xf>
    <xf numFmtId="10" fontId="11" fillId="0" borderId="28" xfId="0" applyNumberFormat="1" applyFont="1" applyBorder="1" applyAlignment="1">
      <alignment horizontal="center" vertical="center"/>
    </xf>
    <xf numFmtId="0" fontId="11" fillId="0" borderId="29" xfId="0" applyFont="1" applyBorder="1" applyAlignment="1">
      <alignment vertical="center"/>
    </xf>
    <xf numFmtId="10" fontId="19" fillId="4" borderId="5" xfId="0" applyNumberFormat="1" applyFont="1" applyFill="1" applyBorder="1" applyAlignment="1">
      <alignment horizontal="center" vertical="center"/>
    </xf>
    <xf numFmtId="0" fontId="11" fillId="3" borderId="0" xfId="0" applyFont="1" applyFill="1"/>
    <xf numFmtId="0" fontId="11" fillId="0" borderId="0" xfId="0" applyFont="1"/>
    <xf numFmtId="10" fontId="19" fillId="4" borderId="0" xfId="0" applyNumberFormat="1" applyFont="1" applyFill="1" applyAlignment="1">
      <alignment horizontal="center" vertical="center"/>
    </xf>
    <xf numFmtId="0" fontId="19" fillId="4" borderId="26" xfId="0" applyFont="1" applyFill="1" applyBorder="1" applyAlignment="1">
      <alignment vertical="center"/>
    </xf>
    <xf numFmtId="0" fontId="19" fillId="0" borderId="0" xfId="0" applyFont="1" applyAlignment="1">
      <alignment vertical="center"/>
    </xf>
    <xf numFmtId="10" fontId="19" fillId="4" borderId="24" xfId="0" applyNumberFormat="1" applyFont="1" applyFill="1" applyBorder="1" applyAlignment="1">
      <alignment horizontal="center" vertical="center"/>
    </xf>
    <xf numFmtId="0" fontId="19" fillId="4" borderId="27" xfId="0" applyFont="1" applyFill="1" applyBorder="1" applyAlignment="1">
      <alignment vertical="center"/>
    </xf>
    <xf numFmtId="0" fontId="11" fillId="4" borderId="24" xfId="0" applyFont="1" applyFill="1" applyBorder="1" applyAlignment="1">
      <alignment vertical="center"/>
    </xf>
    <xf numFmtId="0" fontId="11" fillId="4" borderId="26" xfId="0" applyFont="1" applyFill="1" applyBorder="1" applyAlignment="1">
      <alignment horizontal="justify" vertical="center" wrapText="1"/>
    </xf>
    <xf numFmtId="10" fontId="19" fillId="4" borderId="26" xfId="0" applyNumberFormat="1" applyFont="1" applyFill="1" applyBorder="1" applyAlignment="1">
      <alignment horizontal="center" vertical="center"/>
    </xf>
    <xf numFmtId="0" fontId="19" fillId="4" borderId="26" xfId="0" applyFont="1" applyFill="1" applyBorder="1" applyAlignment="1">
      <alignment horizontal="justify" vertical="center" wrapText="1"/>
    </xf>
    <xf numFmtId="0" fontId="11" fillId="0" borderId="19" xfId="0" applyFont="1" applyBorder="1" applyAlignment="1">
      <alignment vertical="center"/>
    </xf>
    <xf numFmtId="0" fontId="11" fillId="3" borderId="19" xfId="0" applyFont="1" applyFill="1" applyBorder="1" applyAlignment="1">
      <alignment vertical="center"/>
    </xf>
    <xf numFmtId="0" fontId="11" fillId="0" borderId="20" xfId="0" applyFont="1" applyBorder="1" applyAlignment="1">
      <alignment vertical="center"/>
    </xf>
    <xf numFmtId="0" fontId="11" fillId="3" borderId="20" xfId="0" applyFont="1" applyFill="1" applyBorder="1" applyAlignment="1">
      <alignment vertical="center"/>
    </xf>
    <xf numFmtId="0" fontId="19" fillId="12" borderId="20" xfId="0" applyFont="1" applyFill="1" applyBorder="1" applyAlignment="1">
      <alignment horizontal="center" vertical="center"/>
    </xf>
    <xf numFmtId="10" fontId="19" fillId="0" borderId="26" xfId="0" applyNumberFormat="1" applyFont="1" applyBorder="1" applyAlignment="1">
      <alignment horizontal="center" vertical="center"/>
    </xf>
    <xf numFmtId="0" fontId="19" fillId="4" borderId="27" xfId="0" applyFont="1" applyFill="1" applyBorder="1" applyAlignment="1">
      <alignment horizontal="justify" vertical="center" wrapText="1"/>
    </xf>
    <xf numFmtId="0" fontId="19" fillId="4" borderId="0" xfId="0" applyFont="1" applyFill="1" applyAlignment="1">
      <alignment vertical="center"/>
    </xf>
    <xf numFmtId="0" fontId="11" fillId="3" borderId="0" xfId="0" applyFont="1" applyFill="1" applyAlignment="1">
      <alignment vertical="center" wrapText="1"/>
    </xf>
    <xf numFmtId="0" fontId="11" fillId="0" borderId="0" xfId="0" applyFont="1" applyAlignment="1">
      <alignment vertical="center" wrapText="1"/>
    </xf>
    <xf numFmtId="164" fontId="19" fillId="3" borderId="0" xfId="0" applyNumberFormat="1" applyFont="1" applyFill="1" applyAlignment="1">
      <alignment horizontal="right"/>
    </xf>
    <xf numFmtId="0" fontId="19" fillId="12" borderId="1" xfId="0" applyFont="1" applyFill="1" applyBorder="1" applyAlignment="1">
      <alignment horizontal="center" vertical="center"/>
    </xf>
    <xf numFmtId="0" fontId="19" fillId="4" borderId="1" xfId="0" applyFont="1" applyFill="1" applyBorder="1"/>
    <xf numFmtId="10" fontId="19" fillId="0" borderId="1" xfId="0" applyNumberFormat="1" applyFont="1" applyBorder="1" applyAlignment="1">
      <alignment horizontal="center" vertical="center"/>
    </xf>
    <xf numFmtId="169" fontId="11" fillId="0" borderId="1" xfId="0" applyNumberFormat="1" applyFont="1" applyBorder="1" applyAlignment="1">
      <alignment horizontal="right" vertical="center"/>
    </xf>
    <xf numFmtId="0" fontId="11" fillId="4" borderId="18" xfId="0" applyFont="1" applyFill="1" applyBorder="1" applyAlignment="1">
      <alignment vertical="center"/>
    </xf>
    <xf numFmtId="0" fontId="11" fillId="4" borderId="5" xfId="0" applyFont="1" applyFill="1" applyBorder="1" applyAlignment="1">
      <alignment vertical="center"/>
    </xf>
    <xf numFmtId="0" fontId="11" fillId="4" borderId="20" xfId="0" applyFont="1" applyFill="1" applyBorder="1" applyAlignment="1">
      <alignment vertical="center"/>
    </xf>
    <xf numFmtId="10" fontId="11" fillId="0" borderId="5" xfId="0" applyNumberFormat="1" applyFont="1" applyBorder="1" applyAlignment="1">
      <alignment horizontal="center" vertical="center"/>
    </xf>
    <xf numFmtId="169" fontId="19" fillId="4" borderId="30" xfId="0" applyNumberFormat="1" applyFont="1" applyFill="1" applyBorder="1" applyAlignment="1">
      <alignment vertical="center"/>
    </xf>
    <xf numFmtId="169" fontId="11" fillId="4" borderId="30" xfId="0" applyNumberFormat="1" applyFont="1" applyFill="1" applyBorder="1" applyAlignment="1">
      <alignment vertical="center"/>
    </xf>
    <xf numFmtId="169" fontId="11" fillId="0" borderId="30" xfId="0" applyNumberFormat="1" applyFont="1" applyBorder="1" applyAlignment="1">
      <alignment horizontal="center" vertical="center"/>
    </xf>
    <xf numFmtId="169" fontId="11" fillId="4" borderId="1" xfId="0" applyNumberFormat="1" applyFont="1" applyFill="1" applyBorder="1" applyAlignment="1">
      <alignment vertical="center"/>
    </xf>
    <xf numFmtId="169" fontId="19" fillId="4" borderId="1" xfId="0" applyNumberFormat="1" applyFont="1" applyFill="1" applyBorder="1" applyAlignment="1">
      <alignment vertical="center"/>
    </xf>
    <xf numFmtId="169" fontId="11" fillId="0" borderId="1" xfId="0" applyNumberFormat="1" applyFont="1" applyBorder="1" applyAlignment="1">
      <alignment vertical="center"/>
    </xf>
    <xf numFmtId="169" fontId="19" fillId="13" borderId="1" xfId="0" applyNumberFormat="1" applyFont="1" applyFill="1" applyBorder="1" applyAlignment="1">
      <alignment vertical="center"/>
    </xf>
    <xf numFmtId="44" fontId="11" fillId="0" borderId="1" xfId="0" applyNumberFormat="1" applyFont="1" applyBorder="1" applyAlignment="1">
      <alignment vertical="center"/>
    </xf>
    <xf numFmtId="44" fontId="19" fillId="12" borderId="1" xfId="4" applyFont="1" applyFill="1" applyBorder="1" applyAlignment="1" applyProtection="1">
      <alignment vertical="center"/>
    </xf>
    <xf numFmtId="0" fontId="19" fillId="4" borderId="5" xfId="0" applyFont="1" applyFill="1" applyBorder="1" applyAlignment="1">
      <alignment vertical="center"/>
    </xf>
    <xf numFmtId="0" fontId="11" fillId="5" borderId="20" xfId="0" applyFont="1" applyFill="1" applyBorder="1" applyAlignment="1">
      <alignment vertical="center"/>
    </xf>
    <xf numFmtId="0" fontId="11" fillId="5" borderId="18" xfId="0" applyFont="1" applyFill="1" applyBorder="1" applyAlignment="1">
      <alignment vertical="center"/>
    </xf>
    <xf numFmtId="0" fontId="11" fillId="4" borderId="8" xfId="0" applyFont="1" applyFill="1" applyBorder="1" applyAlignment="1">
      <alignment vertical="center"/>
    </xf>
    <xf numFmtId="0" fontId="11" fillId="4" borderId="19" xfId="0" applyFont="1" applyFill="1" applyBorder="1" applyAlignment="1">
      <alignment vertical="center"/>
    </xf>
    <xf numFmtId="0" fontId="11" fillId="4" borderId="9" xfId="0" applyFont="1" applyFill="1" applyBorder="1" applyAlignment="1">
      <alignment vertical="center"/>
    </xf>
    <xf numFmtId="0" fontId="11" fillId="4" borderId="7" xfId="0" applyFont="1" applyFill="1" applyBorder="1" applyAlignment="1">
      <alignment vertical="center"/>
    </xf>
    <xf numFmtId="0" fontId="11" fillId="4" borderId="21" xfId="0" applyFont="1" applyFill="1" applyBorder="1" applyAlignment="1">
      <alignment vertical="center"/>
    </xf>
    <xf numFmtId="0" fontId="11" fillId="4" borderId="22" xfId="0" applyFont="1" applyFill="1" applyBorder="1" applyAlignment="1">
      <alignment vertical="center"/>
    </xf>
    <xf numFmtId="0" fontId="11" fillId="3" borderId="6" xfId="0" applyFont="1" applyFill="1" applyBorder="1" applyAlignment="1">
      <alignment horizontal="center" vertical="center"/>
    </xf>
    <xf numFmtId="0" fontId="19" fillId="4" borderId="7" xfId="0" applyFont="1" applyFill="1" applyBorder="1" applyAlignment="1">
      <alignment vertical="center"/>
    </xf>
    <xf numFmtId="0" fontId="11" fillId="0" borderId="5" xfId="0" applyFont="1" applyBorder="1" applyAlignment="1">
      <alignment horizontal="left" vertical="center"/>
    </xf>
    <xf numFmtId="0" fontId="19" fillId="4" borderId="18" xfId="0" applyFont="1" applyFill="1" applyBorder="1" applyAlignment="1">
      <alignment vertical="center"/>
    </xf>
    <xf numFmtId="0" fontId="19" fillId="4" borderId="31" xfId="0" applyFont="1" applyFill="1" applyBorder="1" applyAlignment="1">
      <alignment horizontal="center" vertical="center" wrapText="1"/>
    </xf>
    <xf numFmtId="44" fontId="19" fillId="4" borderId="1" xfId="0" applyNumberFormat="1" applyFont="1" applyFill="1" applyBorder="1" applyAlignment="1">
      <alignment vertical="center"/>
    </xf>
    <xf numFmtId="0" fontId="11" fillId="0" borderId="27" xfId="0" applyFont="1" applyBorder="1" applyAlignment="1">
      <alignment vertical="center"/>
    </xf>
    <xf numFmtId="10" fontId="19" fillId="4" borderId="27" xfId="0" applyNumberFormat="1" applyFont="1" applyFill="1" applyBorder="1" applyAlignment="1">
      <alignment horizontal="center" vertical="center"/>
    </xf>
    <xf numFmtId="0" fontId="19" fillId="12" borderId="5" xfId="0" applyFont="1" applyFill="1" applyBorder="1" applyAlignment="1">
      <alignment vertical="center"/>
    </xf>
    <xf numFmtId="0" fontId="19" fillId="12" borderId="20" xfId="0" applyFont="1" applyFill="1" applyBorder="1" applyAlignment="1">
      <alignment vertical="center"/>
    </xf>
    <xf numFmtId="0" fontId="19" fillId="12" borderId="18" xfId="0" applyFont="1" applyFill="1" applyBorder="1" applyAlignment="1">
      <alignment vertical="center"/>
    </xf>
    <xf numFmtId="10" fontId="19" fillId="4" borderId="18" xfId="0" applyNumberFormat="1" applyFont="1" applyFill="1" applyBorder="1" applyAlignment="1">
      <alignment horizontal="center" vertical="center"/>
    </xf>
    <xf numFmtId="0" fontId="19" fillId="0" borderId="5" xfId="0" applyFont="1" applyBorder="1" applyAlignment="1">
      <alignment vertical="center"/>
    </xf>
    <xf numFmtId="0" fontId="11" fillId="4" borderId="20" xfId="0" applyFont="1" applyFill="1" applyBorder="1" applyAlignment="1">
      <alignment horizontal="justify" vertical="center" wrapText="1"/>
    </xf>
    <xf numFmtId="0" fontId="19" fillId="4" borderId="20" xfId="0" applyFont="1" applyFill="1" applyBorder="1" applyAlignment="1">
      <alignment horizontal="justify" vertical="center" wrapText="1"/>
    </xf>
    <xf numFmtId="0" fontId="19" fillId="14" borderId="24" xfId="0" applyFont="1" applyFill="1" applyBorder="1" applyAlignment="1">
      <alignment horizontal="center" vertical="center" wrapText="1"/>
    </xf>
    <xf numFmtId="0" fontId="19" fillId="0" borderId="28" xfId="0" applyFont="1" applyBorder="1" applyAlignment="1">
      <alignment vertical="center"/>
    </xf>
    <xf numFmtId="0" fontId="19" fillId="4" borderId="32" xfId="0" applyFont="1" applyFill="1" applyBorder="1" applyAlignment="1">
      <alignment vertical="center"/>
    </xf>
    <xf numFmtId="0" fontId="19" fillId="4" borderId="33" xfId="0" applyFont="1" applyFill="1" applyBorder="1" applyAlignment="1">
      <alignment vertical="center"/>
    </xf>
    <xf numFmtId="0" fontId="19" fillId="12" borderId="34" xfId="0" applyFont="1" applyFill="1" applyBorder="1" applyAlignment="1">
      <alignment vertical="center"/>
    </xf>
    <xf numFmtId="0" fontId="19" fillId="0" borderId="35" xfId="0" applyFont="1" applyBorder="1" applyAlignment="1">
      <alignment vertical="center"/>
    </xf>
    <xf numFmtId="0" fontId="11" fillId="5" borderId="26" xfId="0" applyFont="1" applyFill="1" applyBorder="1" applyAlignment="1">
      <alignment horizontal="justify" vertical="center" wrapText="1"/>
    </xf>
    <xf numFmtId="0" fontId="19" fillId="5" borderId="20" xfId="0" applyFont="1" applyFill="1" applyBorder="1" applyAlignment="1">
      <alignment horizontal="justify" vertical="center" wrapText="1"/>
    </xf>
    <xf numFmtId="10" fontId="19" fillId="11" borderId="1" xfId="10" applyNumberFormat="1" applyFont="1" applyFill="1" applyBorder="1" applyAlignment="1" applyProtection="1">
      <alignment horizontal="center" vertical="center"/>
    </xf>
    <xf numFmtId="10" fontId="11" fillId="10" borderId="1" xfId="0" applyNumberFormat="1" applyFont="1" applyFill="1" applyBorder="1" applyAlignment="1" applyProtection="1">
      <alignment horizontal="center" vertical="center"/>
      <protection locked="0"/>
    </xf>
    <xf numFmtId="10" fontId="19" fillId="13" borderId="1" xfId="0" applyNumberFormat="1" applyFont="1" applyFill="1" applyBorder="1" applyAlignment="1">
      <alignment horizontal="center" vertical="center"/>
    </xf>
    <xf numFmtId="0" fontId="19" fillId="0" borderId="20" xfId="0" applyFont="1" applyBorder="1" applyAlignment="1">
      <alignment vertical="center"/>
    </xf>
    <xf numFmtId="0" fontId="19" fillId="3" borderId="5" xfId="0" applyFont="1" applyFill="1" applyBorder="1" applyAlignment="1">
      <alignment vertical="center"/>
    </xf>
    <xf numFmtId="0" fontId="19" fillId="12" borderId="18" xfId="0" applyFont="1" applyFill="1" applyBorder="1" applyAlignment="1">
      <alignment horizontal="center" vertical="center"/>
    </xf>
    <xf numFmtId="0" fontId="11" fillId="4" borderId="36" xfId="0" applyFont="1" applyFill="1" applyBorder="1" applyAlignment="1">
      <alignment vertical="center"/>
    </xf>
    <xf numFmtId="0" fontId="11" fillId="4" borderId="20" xfId="0" applyFont="1" applyFill="1" applyBorder="1"/>
    <xf numFmtId="169" fontId="11" fillId="4" borderId="37" xfId="0" applyNumberFormat="1" applyFont="1" applyFill="1" applyBorder="1" applyAlignment="1">
      <alignment vertical="center"/>
    </xf>
    <xf numFmtId="0" fontId="19" fillId="0" borderId="38" xfId="0" applyFont="1" applyBorder="1" applyAlignment="1">
      <alignment vertical="center"/>
    </xf>
    <xf numFmtId="0" fontId="11" fillId="4" borderId="27" xfId="0" applyFont="1" applyFill="1" applyBorder="1" applyAlignment="1">
      <alignment horizontal="justify" vertical="center" wrapText="1"/>
    </xf>
    <xf numFmtId="169" fontId="19" fillId="4" borderId="2" xfId="0" applyNumberFormat="1" applyFont="1" applyFill="1" applyBorder="1" applyAlignment="1">
      <alignment vertical="center"/>
    </xf>
    <xf numFmtId="0" fontId="19" fillId="12" borderId="20" xfId="0" applyFont="1" applyFill="1" applyBorder="1" applyAlignment="1">
      <alignment horizontal="center" vertical="center" wrapText="1"/>
    </xf>
    <xf numFmtId="0" fontId="19" fillId="12" borderId="20" xfId="0" applyFont="1" applyFill="1" applyBorder="1" applyAlignment="1">
      <alignment horizontal="right" vertical="center"/>
    </xf>
    <xf numFmtId="0" fontId="19" fillId="4" borderId="35" xfId="0" applyFont="1" applyFill="1" applyBorder="1" applyAlignment="1">
      <alignment vertical="center"/>
    </xf>
    <xf numFmtId="169" fontId="19" fillId="4" borderId="4" xfId="0" applyNumberFormat="1" applyFont="1" applyFill="1" applyBorder="1" applyAlignment="1">
      <alignment vertical="center"/>
    </xf>
    <xf numFmtId="10" fontId="19" fillId="0" borderId="24" xfId="0" applyNumberFormat="1" applyFont="1" applyBorder="1" applyAlignment="1">
      <alignment horizontal="center" vertical="center"/>
    </xf>
    <xf numFmtId="169" fontId="19" fillId="0" borderId="4" xfId="0" applyNumberFormat="1" applyFont="1" applyBorder="1" applyAlignment="1">
      <alignment vertical="center"/>
    </xf>
    <xf numFmtId="10" fontId="19" fillId="0" borderId="39" xfId="0" applyNumberFormat="1" applyFont="1" applyBorder="1" applyAlignment="1">
      <alignment horizontal="center" vertical="center"/>
    </xf>
    <xf numFmtId="169" fontId="11" fillId="4" borderId="4" xfId="0" applyNumberFormat="1" applyFont="1" applyFill="1" applyBorder="1" applyAlignment="1">
      <alignment vertical="center"/>
    </xf>
    <xf numFmtId="0" fontId="11" fillId="5" borderId="20" xfId="0" applyFont="1" applyFill="1" applyBorder="1" applyAlignment="1">
      <alignment horizontal="justify" vertical="center" wrapText="1"/>
    </xf>
    <xf numFmtId="0" fontId="19" fillId="0" borderId="34" xfId="0" applyFont="1" applyBorder="1" applyAlignment="1">
      <alignment vertical="center"/>
    </xf>
    <xf numFmtId="0" fontId="19" fillId="12" borderId="18" xfId="0" applyFont="1" applyFill="1" applyBorder="1" applyAlignment="1">
      <alignment horizontal="center" vertical="center" wrapText="1"/>
    </xf>
    <xf numFmtId="0" fontId="19" fillId="4" borderId="24" xfId="0" applyFont="1" applyFill="1" applyBorder="1"/>
    <xf numFmtId="0" fontId="19" fillId="12" borderId="37" xfId="0" applyFont="1" applyFill="1" applyBorder="1" applyAlignment="1">
      <alignment horizontal="center" vertical="center"/>
    </xf>
    <xf numFmtId="0" fontId="19" fillId="12" borderId="7" xfId="0" applyFont="1" applyFill="1" applyBorder="1" applyAlignment="1">
      <alignment vertical="center"/>
    </xf>
    <xf numFmtId="0" fontId="11" fillId="4" borderId="19" xfId="0" applyFont="1" applyFill="1" applyBorder="1"/>
    <xf numFmtId="10" fontId="19" fillId="4" borderId="8" xfId="0" applyNumberFormat="1" applyFont="1" applyFill="1" applyBorder="1" applyAlignment="1">
      <alignment horizontal="center" vertical="center"/>
    </xf>
    <xf numFmtId="169" fontId="19" fillId="4" borderId="40" xfId="0" applyNumberFormat="1" applyFont="1" applyFill="1" applyBorder="1" applyAlignment="1">
      <alignment vertical="center"/>
    </xf>
    <xf numFmtId="0" fontId="19" fillId="12" borderId="22" xfId="0" applyFont="1" applyFill="1" applyBorder="1" applyAlignment="1">
      <alignment horizontal="center" vertical="center"/>
    </xf>
    <xf numFmtId="0" fontId="19" fillId="12" borderId="41" xfId="0" applyFont="1" applyFill="1" applyBorder="1" applyAlignment="1">
      <alignment horizontal="center" vertical="center" wrapText="1"/>
    </xf>
    <xf numFmtId="0" fontId="11" fillId="4" borderId="5" xfId="0" applyFont="1" applyFill="1" applyBorder="1"/>
    <xf numFmtId="0" fontId="19" fillId="4" borderId="20" xfId="0" applyFont="1" applyFill="1" applyBorder="1" applyAlignment="1">
      <alignment vertical="center"/>
    </xf>
    <xf numFmtId="0" fontId="19" fillId="11" borderId="5" xfId="0" applyFont="1" applyFill="1" applyBorder="1" applyAlignment="1">
      <alignment horizontal="center" vertical="center"/>
    </xf>
    <xf numFmtId="0" fontId="19" fillId="11" borderId="37" xfId="0" applyFont="1" applyFill="1" applyBorder="1" applyAlignment="1">
      <alignment horizontal="center" vertical="center"/>
    </xf>
    <xf numFmtId="0" fontId="19" fillId="11" borderId="40" xfId="0" applyFont="1" applyFill="1" applyBorder="1" applyAlignment="1">
      <alignment horizontal="center" vertical="center"/>
    </xf>
    <xf numFmtId="0" fontId="19" fillId="3" borderId="3" xfId="0" applyFont="1" applyFill="1" applyBorder="1" applyAlignment="1">
      <alignment vertical="center"/>
    </xf>
    <xf numFmtId="169" fontId="19" fillId="4" borderId="42" xfId="0" applyNumberFormat="1" applyFont="1" applyFill="1" applyBorder="1" applyAlignment="1">
      <alignment vertical="center"/>
    </xf>
    <xf numFmtId="0" fontId="11" fillId="4" borderId="24" xfId="0" applyFont="1" applyFill="1" applyBorder="1"/>
    <xf numFmtId="0" fontId="19" fillId="0" borderId="43" xfId="0" applyFont="1" applyBorder="1" applyAlignment="1">
      <alignment vertical="center"/>
    </xf>
    <xf numFmtId="0" fontId="19" fillId="4" borderId="9" xfId="0" applyFont="1" applyFill="1" applyBorder="1"/>
    <xf numFmtId="0" fontId="19" fillId="3" borderId="23" xfId="0" applyFont="1" applyFill="1" applyBorder="1" applyAlignment="1">
      <alignment vertical="center"/>
    </xf>
    <xf numFmtId="0" fontId="19" fillId="11" borderId="4" xfId="0" applyFont="1" applyFill="1" applyBorder="1" applyAlignment="1">
      <alignment horizontal="center" vertical="center"/>
    </xf>
    <xf numFmtId="0" fontId="19" fillId="5" borderId="5" xfId="0" applyFont="1" applyFill="1" applyBorder="1" applyAlignment="1">
      <alignment vertical="center"/>
    </xf>
    <xf numFmtId="10" fontId="11" fillId="4" borderId="18" xfId="0" applyNumberFormat="1" applyFont="1" applyFill="1" applyBorder="1" applyAlignment="1">
      <alignment horizontal="center" vertical="center"/>
    </xf>
    <xf numFmtId="10" fontId="11" fillId="4" borderId="9" xfId="0" applyNumberFormat="1" applyFont="1" applyFill="1" applyBorder="1" applyAlignment="1">
      <alignment horizontal="center" vertical="center"/>
    </xf>
    <xf numFmtId="169" fontId="19" fillId="3" borderId="1" xfId="0" applyNumberFormat="1" applyFont="1" applyFill="1" applyBorder="1" applyAlignment="1" applyProtection="1">
      <alignment vertical="center"/>
      <protection locked="0"/>
    </xf>
    <xf numFmtId="169" fontId="19" fillId="3" borderId="1" xfId="0" applyNumberFormat="1" applyFont="1" applyFill="1" applyBorder="1" applyAlignment="1" applyProtection="1">
      <alignment horizontal="right" vertical="center"/>
      <protection locked="0"/>
    </xf>
    <xf numFmtId="0" fontId="19" fillId="12" borderId="5" xfId="0" applyFont="1" applyFill="1" applyBorder="1" applyAlignment="1">
      <alignment horizontal="center" vertical="center"/>
    </xf>
    <xf numFmtId="169" fontId="19" fillId="4" borderId="44" xfId="0" applyNumberFormat="1" applyFont="1" applyFill="1" applyBorder="1" applyAlignment="1">
      <alignment vertical="center"/>
    </xf>
    <xf numFmtId="169" fontId="11" fillId="0" borderId="39" xfId="0" applyNumberFormat="1" applyFont="1" applyBorder="1" applyAlignment="1">
      <alignment vertical="center"/>
    </xf>
    <xf numFmtId="0" fontId="19" fillId="12" borderId="1" xfId="0" applyFont="1" applyFill="1" applyBorder="1" applyAlignment="1">
      <alignment horizontal="right" vertical="center"/>
    </xf>
    <xf numFmtId="169" fontId="11" fillId="0" borderId="37" xfId="0" applyNumberFormat="1" applyFont="1" applyBorder="1" applyAlignment="1">
      <alignment vertical="center"/>
    </xf>
    <xf numFmtId="169" fontId="11" fillId="0" borderId="42" xfId="0" applyNumberFormat="1" applyFont="1" applyBorder="1" applyAlignment="1">
      <alignment vertical="center"/>
    </xf>
    <xf numFmtId="169" fontId="11" fillId="0" borderId="30" xfId="0" applyNumberFormat="1" applyFont="1" applyBorder="1" applyAlignment="1">
      <alignment vertical="center"/>
    </xf>
    <xf numFmtId="0" fontId="19" fillId="11" borderId="1" xfId="0" applyFont="1" applyFill="1" applyBorder="1" applyAlignment="1">
      <alignment horizontal="center" vertical="center"/>
    </xf>
    <xf numFmtId="169" fontId="11" fillId="0" borderId="44" xfId="0" applyNumberFormat="1" applyFont="1" applyBorder="1" applyAlignment="1">
      <alignment vertical="center"/>
    </xf>
    <xf numFmtId="10" fontId="19" fillId="0" borderId="27" xfId="0" applyNumberFormat="1" applyFont="1" applyBorder="1" applyAlignment="1">
      <alignment horizontal="center" vertical="center"/>
    </xf>
    <xf numFmtId="0" fontId="19" fillId="11" borderId="2" xfId="0" applyFont="1" applyFill="1" applyBorder="1" applyAlignment="1">
      <alignment horizontal="center" vertical="center"/>
    </xf>
    <xf numFmtId="10" fontId="19" fillId="0" borderId="45" xfId="0" applyNumberFormat="1" applyFont="1" applyBorder="1" applyAlignment="1">
      <alignment horizontal="center" vertical="center"/>
    </xf>
    <xf numFmtId="0" fontId="14" fillId="0" borderId="1" xfId="0" applyFont="1" applyBorder="1" applyAlignment="1">
      <alignment horizontal="center" vertical="center"/>
    </xf>
    <xf numFmtId="0" fontId="19" fillId="12" borderId="1" xfId="0" applyFont="1" applyFill="1" applyBorder="1" applyAlignment="1">
      <alignment horizontal="center" vertical="center" wrapText="1"/>
    </xf>
    <xf numFmtId="0" fontId="19" fillId="11" borderId="30" xfId="0" applyFont="1" applyFill="1" applyBorder="1" applyAlignment="1">
      <alignment horizontal="center" vertical="center"/>
    </xf>
    <xf numFmtId="0" fontId="11" fillId="5" borderId="0" xfId="0" applyFont="1" applyFill="1" applyAlignment="1">
      <alignment horizontal="justify" vertical="center" wrapText="1"/>
    </xf>
    <xf numFmtId="0" fontId="11" fillId="4" borderId="24" xfId="0" applyFont="1" applyFill="1" applyBorder="1" applyAlignment="1">
      <alignment vertical="center" wrapText="1"/>
    </xf>
    <xf numFmtId="0" fontId="11" fillId="4" borderId="26" xfId="0" applyFont="1" applyFill="1" applyBorder="1" applyAlignment="1">
      <alignment horizontal="centerContinuous" vertical="center" wrapText="1"/>
    </xf>
    <xf numFmtId="0" fontId="11" fillId="4" borderId="44" xfId="0" applyFont="1" applyFill="1" applyBorder="1" applyAlignment="1">
      <alignment horizontal="fill" vertical="center" wrapText="1"/>
    </xf>
    <xf numFmtId="0" fontId="11" fillId="4" borderId="26" xfId="0" applyFont="1" applyFill="1" applyBorder="1" applyAlignment="1">
      <alignment horizontal="fill" vertical="center" wrapText="1"/>
    </xf>
    <xf numFmtId="10" fontId="11" fillId="5" borderId="26" xfId="0" applyNumberFormat="1" applyFont="1" applyFill="1" applyBorder="1" applyAlignment="1" applyProtection="1">
      <alignment horizontal="center" vertical="center"/>
      <protection locked="0"/>
    </xf>
    <xf numFmtId="10" fontId="11" fillId="3" borderId="37" xfId="0" applyNumberFormat="1" applyFont="1" applyFill="1" applyBorder="1" applyAlignment="1">
      <alignment horizontal="center" vertical="center"/>
    </xf>
    <xf numFmtId="169" fontId="11" fillId="0" borderId="46" xfId="0" applyNumberFormat="1" applyFont="1" applyBorder="1" applyAlignment="1">
      <alignment vertical="center"/>
    </xf>
    <xf numFmtId="0" fontId="11" fillId="4" borderId="0" xfId="0" applyFont="1" applyFill="1" applyAlignment="1">
      <alignment horizontal="justify" vertical="center" wrapText="1"/>
    </xf>
    <xf numFmtId="0" fontId="19" fillId="5" borderId="24" xfId="0" applyFont="1" applyFill="1" applyBorder="1"/>
    <xf numFmtId="10" fontId="19" fillId="3" borderId="27" xfId="0" applyNumberFormat="1" applyFont="1" applyFill="1" applyBorder="1" applyAlignment="1">
      <alignment horizontal="right" vertical="center"/>
    </xf>
    <xf numFmtId="0" fontId="19" fillId="12" borderId="19" xfId="0" applyFont="1" applyFill="1" applyBorder="1" applyAlignment="1">
      <alignment vertical="center"/>
    </xf>
    <xf numFmtId="0" fontId="19" fillId="12" borderId="19" xfId="0" applyFont="1" applyFill="1" applyBorder="1" applyAlignment="1">
      <alignment horizontal="center" vertical="center"/>
    </xf>
    <xf numFmtId="0" fontId="19" fillId="12" borderId="9" xfId="0" applyFont="1" applyFill="1" applyBorder="1" applyAlignment="1">
      <alignment horizontal="center" vertical="center"/>
    </xf>
    <xf numFmtId="10" fontId="11" fillId="4" borderId="24" xfId="0" applyNumberFormat="1" applyFont="1" applyFill="1" applyBorder="1"/>
    <xf numFmtId="0" fontId="11" fillId="4" borderId="20" xfId="0" applyFont="1" applyFill="1" applyBorder="1" applyAlignment="1">
      <alignment horizontal="right"/>
    </xf>
    <xf numFmtId="10" fontId="19" fillId="3" borderId="18" xfId="0" applyNumberFormat="1" applyFont="1" applyFill="1" applyBorder="1" applyAlignment="1" applyProtection="1">
      <alignment horizontal="right" vertical="center"/>
      <protection locked="0"/>
    </xf>
    <xf numFmtId="0" fontId="19" fillId="0" borderId="7" xfId="0" applyFont="1" applyBorder="1" applyAlignment="1">
      <alignment vertical="center"/>
    </xf>
    <xf numFmtId="0" fontId="11" fillId="4" borderId="0" xfId="0" applyFont="1" applyFill="1" applyAlignment="1">
      <alignment horizontal="right" vertical="center"/>
    </xf>
    <xf numFmtId="169" fontId="11" fillId="5" borderId="1" xfId="0" applyNumberFormat="1" applyFont="1" applyFill="1" applyBorder="1" applyAlignment="1">
      <alignment vertical="center"/>
    </xf>
    <xf numFmtId="169" fontId="11" fillId="5" borderId="2" xfId="0" applyNumberFormat="1" applyFont="1" applyFill="1" applyBorder="1" applyAlignment="1">
      <alignment vertical="center"/>
    </xf>
    <xf numFmtId="176" fontId="19" fillId="3" borderId="47" xfId="17" applyNumberFormat="1" applyFont="1" applyFill="1" applyBorder="1" applyAlignment="1" applyProtection="1">
      <alignment horizontal="center" vertical="center"/>
    </xf>
    <xf numFmtId="176" fontId="19" fillId="3" borderId="48" xfId="17" applyNumberFormat="1" applyFont="1" applyFill="1" applyBorder="1" applyAlignment="1" applyProtection="1">
      <alignment horizontal="center" vertical="center"/>
      <protection locked="0"/>
    </xf>
    <xf numFmtId="176" fontId="19" fillId="3" borderId="49" xfId="17" applyNumberFormat="1" applyFont="1" applyFill="1" applyBorder="1" applyAlignment="1" applyProtection="1">
      <protection locked="0"/>
    </xf>
    <xf numFmtId="0" fontId="19" fillId="10" borderId="50" xfId="0" applyFont="1" applyFill="1" applyBorder="1" applyAlignment="1" applyProtection="1">
      <alignment vertical="center" wrapText="1"/>
      <protection locked="0"/>
    </xf>
    <xf numFmtId="10" fontId="19" fillId="10" borderId="44" xfId="0" applyNumberFormat="1" applyFont="1" applyFill="1" applyBorder="1" applyAlignment="1" applyProtection="1">
      <alignment horizontal="center" vertical="center"/>
      <protection locked="0"/>
    </xf>
    <xf numFmtId="0" fontId="19" fillId="11" borderId="27" xfId="0" applyFont="1" applyFill="1" applyBorder="1" applyAlignment="1">
      <alignment horizontal="centerContinuous" vertical="center"/>
    </xf>
    <xf numFmtId="0" fontId="19" fillId="11" borderId="8" xfId="0" applyFont="1" applyFill="1" applyBorder="1" applyAlignment="1">
      <alignment horizontal="centerContinuous" vertical="center"/>
    </xf>
    <xf numFmtId="166" fontId="11" fillId="11" borderId="1" xfId="0" applyNumberFormat="1" applyFont="1" applyFill="1" applyBorder="1" applyAlignment="1" applyProtection="1">
      <alignment horizontal="center" vertical="center"/>
      <protection locked="0"/>
    </xf>
    <xf numFmtId="10" fontId="11" fillId="3" borderId="51" xfId="0" applyNumberFormat="1" applyFont="1" applyFill="1" applyBorder="1" applyAlignment="1">
      <alignment horizontal="center" vertical="center"/>
    </xf>
    <xf numFmtId="10" fontId="11" fillId="10" borderId="51" xfId="0" applyNumberFormat="1" applyFont="1" applyFill="1" applyBorder="1" applyAlignment="1" applyProtection="1">
      <alignment horizontal="center" vertical="center"/>
      <protection locked="0"/>
    </xf>
    <xf numFmtId="10" fontId="19" fillId="10" borderId="51" xfId="0" applyNumberFormat="1" applyFont="1" applyFill="1" applyBorder="1" applyAlignment="1" applyProtection="1">
      <alignment horizontal="center" vertical="center"/>
      <protection locked="0"/>
    </xf>
    <xf numFmtId="10" fontId="19" fillId="10" borderId="52" xfId="0" applyNumberFormat="1" applyFont="1" applyFill="1" applyBorder="1" applyAlignment="1" applyProtection="1">
      <alignment horizontal="center" vertical="center"/>
      <protection locked="0"/>
    </xf>
    <xf numFmtId="14" fontId="20" fillId="0" borderId="0" xfId="0" applyNumberFormat="1" applyFont="1" applyAlignment="1">
      <alignment vertical="center"/>
    </xf>
    <xf numFmtId="0" fontId="20" fillId="12" borderId="1" xfId="0" applyFont="1" applyFill="1" applyBorder="1" applyAlignment="1">
      <alignment horizontal="center" vertical="center"/>
    </xf>
    <xf numFmtId="0" fontId="11" fillId="0" borderId="5" xfId="0" applyFont="1" applyBorder="1" applyAlignment="1">
      <alignment vertical="center"/>
    </xf>
    <xf numFmtId="0" fontId="11" fillId="3" borderId="5" xfId="0" applyFont="1" applyFill="1" applyBorder="1" applyAlignment="1">
      <alignment vertical="center"/>
    </xf>
    <xf numFmtId="0" fontId="11" fillId="3" borderId="18" xfId="0" applyFont="1" applyFill="1" applyBorder="1" applyAlignment="1">
      <alignment vertical="center"/>
    </xf>
    <xf numFmtId="0" fontId="11" fillId="3" borderId="5" xfId="0" applyFont="1" applyFill="1" applyBorder="1" applyAlignment="1">
      <alignment horizontal="left" vertical="center"/>
    </xf>
    <xf numFmtId="0" fontId="11" fillId="3" borderId="20" xfId="0" applyFont="1" applyFill="1" applyBorder="1" applyAlignment="1">
      <alignment horizontal="left" vertical="center"/>
    </xf>
    <xf numFmtId="0" fontId="13" fillId="3" borderId="3" xfId="0" applyFont="1" applyFill="1" applyBorder="1" applyAlignment="1" applyProtection="1">
      <alignment vertical="center"/>
      <protection locked="0"/>
    </xf>
    <xf numFmtId="0" fontId="13" fillId="3" borderId="0" xfId="0" applyFont="1" applyFill="1" applyAlignment="1" applyProtection="1">
      <alignment vertical="center"/>
      <protection locked="0"/>
    </xf>
    <xf numFmtId="169" fontId="11" fillId="0" borderId="26" xfId="0" applyNumberFormat="1" applyFont="1" applyBorder="1" applyAlignment="1">
      <alignment vertical="center"/>
    </xf>
    <xf numFmtId="169" fontId="11" fillId="0" borderId="38" xfId="0" applyNumberFormat="1" applyFont="1" applyBorder="1" applyAlignment="1">
      <alignment vertical="center"/>
    </xf>
    <xf numFmtId="169" fontId="19" fillId="4" borderId="18" xfId="0" applyNumberFormat="1" applyFont="1" applyFill="1" applyBorder="1" applyAlignment="1">
      <alignment vertical="center"/>
    </xf>
    <xf numFmtId="169" fontId="19" fillId="4" borderId="0" xfId="0" applyNumberFormat="1" applyFont="1" applyFill="1" applyAlignment="1">
      <alignment vertical="center"/>
    </xf>
    <xf numFmtId="169" fontId="11" fillId="0" borderId="18" xfId="0" applyNumberFormat="1" applyFont="1" applyBorder="1" applyAlignment="1">
      <alignment vertical="center"/>
    </xf>
    <xf numFmtId="169" fontId="19" fillId="3" borderId="18" xfId="0" applyNumberFormat="1" applyFont="1" applyFill="1" applyBorder="1" applyAlignment="1" applyProtection="1">
      <alignment vertical="center"/>
      <protection locked="0"/>
    </xf>
    <xf numFmtId="0" fontId="11" fillId="3" borderId="18" xfId="0" applyFont="1" applyFill="1" applyBorder="1" applyAlignment="1">
      <alignment horizontal="left" vertical="center"/>
    </xf>
    <xf numFmtId="0" fontId="14" fillId="3" borderId="5" xfId="0" applyFont="1" applyFill="1" applyBorder="1" applyAlignment="1">
      <alignment vertical="center"/>
    </xf>
    <xf numFmtId="0" fontId="11" fillId="3" borderId="20" xfId="0" applyFont="1" applyFill="1" applyBorder="1" applyAlignment="1">
      <alignment horizontal="center"/>
    </xf>
    <xf numFmtId="0" fontId="11" fillId="3" borderId="20" xfId="0" applyFont="1" applyFill="1" applyBorder="1" applyAlignment="1">
      <alignment horizontal="center" vertical="center"/>
    </xf>
    <xf numFmtId="0" fontId="14" fillId="3" borderId="1" xfId="0" applyFont="1" applyFill="1" applyBorder="1" applyAlignment="1">
      <alignment horizontal="left" vertical="center"/>
    </xf>
    <xf numFmtId="0" fontId="14" fillId="3" borderId="5" xfId="0" applyFont="1" applyFill="1" applyBorder="1" applyAlignment="1">
      <alignment horizontal="left" vertical="center"/>
    </xf>
    <xf numFmtId="0" fontId="19" fillId="3" borderId="20" xfId="0" applyFont="1" applyFill="1" applyBorder="1" applyAlignment="1">
      <alignment horizontal="fill" vertical="center"/>
    </xf>
    <xf numFmtId="0" fontId="11" fillId="3" borderId="0" xfId="0" applyFont="1" applyFill="1" applyAlignment="1">
      <alignment horizontal="center" vertical="center"/>
    </xf>
    <xf numFmtId="14" fontId="39" fillId="3" borderId="0" xfId="0" applyNumberFormat="1" applyFont="1" applyFill="1" applyAlignment="1" applyProtection="1">
      <alignment horizontal="centerContinuous" vertical="center"/>
      <protection hidden="1"/>
    </xf>
    <xf numFmtId="0" fontId="40" fillId="3" borderId="0" xfId="0" applyFont="1" applyFill="1" applyAlignment="1" applyProtection="1">
      <alignment horizontal="centerContinuous" vertical="center"/>
      <protection hidden="1"/>
    </xf>
    <xf numFmtId="0" fontId="19" fillId="3" borderId="0" xfId="0" applyFont="1" applyFill="1" applyAlignment="1">
      <alignment horizontal="centerContinuous" vertical="center"/>
    </xf>
    <xf numFmtId="0" fontId="19" fillId="3" borderId="20" xfId="0" applyFont="1" applyFill="1" applyBorder="1" applyAlignment="1">
      <alignment vertical="center"/>
    </xf>
    <xf numFmtId="169" fontId="11" fillId="0" borderId="2" xfId="0" applyNumberFormat="1" applyFont="1" applyBorder="1" applyAlignment="1">
      <alignment vertical="center"/>
    </xf>
    <xf numFmtId="0" fontId="19" fillId="12" borderId="2" xfId="0" applyFont="1" applyFill="1" applyBorder="1" applyAlignment="1">
      <alignment horizontal="center" vertical="center"/>
    </xf>
    <xf numFmtId="10" fontId="19" fillId="0" borderId="0" xfId="0" applyNumberFormat="1" applyFont="1" applyAlignment="1">
      <alignment horizontal="right" vertical="center"/>
    </xf>
    <xf numFmtId="0" fontId="11" fillId="4" borderId="18" xfId="0" applyFont="1" applyFill="1" applyBorder="1" applyAlignment="1">
      <alignment horizontal="right" vertical="center"/>
    </xf>
    <xf numFmtId="0" fontId="19" fillId="3" borderId="19" xfId="0" applyFont="1" applyFill="1" applyBorder="1" applyAlignment="1">
      <alignment vertical="center"/>
    </xf>
    <xf numFmtId="0" fontId="11" fillId="3" borderId="27" xfId="0" applyFont="1" applyFill="1" applyBorder="1" applyAlignment="1">
      <alignment vertical="center"/>
    </xf>
    <xf numFmtId="0" fontId="22" fillId="12" borderId="1" xfId="0" applyFont="1" applyFill="1" applyBorder="1" applyAlignment="1">
      <alignment horizontal="center" vertical="center"/>
    </xf>
    <xf numFmtId="10" fontId="19" fillId="0" borderId="48" xfId="0" applyNumberFormat="1" applyFont="1" applyBorder="1" applyAlignment="1">
      <alignment horizontal="center" vertical="center"/>
    </xf>
    <xf numFmtId="10" fontId="19" fillId="0" borderId="47" xfId="0" applyNumberFormat="1" applyFont="1" applyBorder="1" applyAlignment="1">
      <alignment horizontal="center" vertical="center"/>
    </xf>
    <xf numFmtId="10" fontId="19" fillId="4" borderId="49" xfId="0" applyNumberFormat="1" applyFont="1" applyFill="1" applyBorder="1" applyAlignment="1">
      <alignment horizontal="center" vertical="center"/>
    </xf>
    <xf numFmtId="0" fontId="42" fillId="0" borderId="0" xfId="0" applyFont="1" applyAlignment="1">
      <alignment vertical="center"/>
    </xf>
    <xf numFmtId="0" fontId="43" fillId="0" borderId="0" xfId="0" applyFont="1" applyAlignment="1">
      <alignment vertical="center"/>
    </xf>
    <xf numFmtId="43" fontId="44" fillId="9" borderId="55" xfId="0" applyNumberFormat="1" applyFont="1" applyFill="1" applyBorder="1" applyAlignment="1">
      <alignment vertical="center" wrapText="1"/>
    </xf>
    <xf numFmtId="43" fontId="44" fillId="9" borderId="55" xfId="0" applyNumberFormat="1" applyFont="1" applyFill="1" applyBorder="1" applyAlignment="1">
      <alignment horizontal="center" vertical="center"/>
    </xf>
    <xf numFmtId="0" fontId="45" fillId="9" borderId="55" xfId="0" applyFont="1" applyFill="1" applyBorder="1" applyAlignment="1">
      <alignment horizontal="center" vertical="center"/>
    </xf>
    <xf numFmtId="0" fontId="46" fillId="2" borderId="55" xfId="0" applyFont="1" applyFill="1" applyBorder="1" applyAlignment="1">
      <alignment horizontal="center" vertical="center" wrapText="1"/>
    </xf>
    <xf numFmtId="0" fontId="46" fillId="2" borderId="55" xfId="0" applyFont="1" applyFill="1" applyBorder="1" applyAlignment="1">
      <alignment vertical="center" wrapText="1"/>
    </xf>
    <xf numFmtId="0" fontId="42" fillId="0" borderId="55" xfId="0" applyFont="1" applyBorder="1" applyAlignment="1">
      <alignment vertical="center"/>
    </xf>
    <xf numFmtId="10" fontId="46" fillId="2" borderId="55" xfId="10" applyNumberFormat="1" applyFont="1" applyFill="1" applyBorder="1" applyAlignment="1">
      <alignment horizontal="center" vertical="center"/>
    </xf>
    <xf numFmtId="0" fontId="42" fillId="0" borderId="55" xfId="0" applyFont="1" applyBorder="1" applyAlignment="1">
      <alignment vertical="center" wrapText="1"/>
    </xf>
    <xf numFmtId="0" fontId="44" fillId="9" borderId="55" xfId="0" applyFont="1" applyFill="1" applyBorder="1" applyAlignment="1">
      <alignment vertical="center" wrapText="1"/>
    </xf>
    <xf numFmtId="10" fontId="44" fillId="9" borderId="55" xfId="10" applyNumberFormat="1" applyFont="1" applyFill="1" applyBorder="1" applyAlignment="1">
      <alignment horizontal="center" vertical="center" wrapText="1"/>
    </xf>
    <xf numFmtId="0" fontId="44" fillId="2" borderId="0" xfId="0" applyFont="1" applyFill="1" applyAlignment="1">
      <alignment horizontal="left" vertical="center"/>
    </xf>
    <xf numFmtId="10" fontId="42" fillId="0" borderId="55" xfId="10" applyNumberFormat="1" applyFont="1" applyFill="1" applyBorder="1" applyAlignment="1">
      <alignment horizontal="center" vertical="center"/>
    </xf>
    <xf numFmtId="0" fontId="42" fillId="0" borderId="55" xfId="0" quotePrefix="1" applyFont="1" applyBorder="1" applyAlignment="1">
      <alignment horizontal="center" vertical="center"/>
    </xf>
    <xf numFmtId="0" fontId="44" fillId="2" borderId="0" xfId="0" applyFont="1" applyFill="1" applyAlignment="1">
      <alignment vertical="center" wrapText="1"/>
    </xf>
    <xf numFmtId="0" fontId="44" fillId="9" borderId="55" xfId="0" applyFont="1" applyFill="1" applyBorder="1" applyAlignment="1">
      <alignment horizontal="center" vertical="center" wrapText="1"/>
    </xf>
    <xf numFmtId="0" fontId="42" fillId="3" borderId="55" xfId="0" applyFont="1" applyFill="1" applyBorder="1" applyAlignment="1">
      <alignment horizontal="center" vertical="center"/>
    </xf>
    <xf numFmtId="10" fontId="42" fillId="0" borderId="0" xfId="10" applyNumberFormat="1" applyFont="1" applyAlignment="1">
      <alignment vertical="center"/>
    </xf>
    <xf numFmtId="0" fontId="42" fillId="0" borderId="0" xfId="0" applyFont="1" applyAlignment="1">
      <alignment horizontal="center" vertical="center"/>
    </xf>
    <xf numFmtId="9" fontId="47" fillId="3" borderId="0" xfId="10" applyFont="1" applyFill="1" applyAlignment="1" applyProtection="1">
      <alignment vertical="center"/>
    </xf>
    <xf numFmtId="0" fontId="42" fillId="0" borderId="0" xfId="0" applyFont="1"/>
    <xf numFmtId="178" fontId="23" fillId="16" borderId="24" xfId="17" applyNumberFormat="1" applyFont="1" applyFill="1" applyBorder="1" applyAlignment="1" applyProtection="1">
      <alignment horizontal="center" vertical="center"/>
    </xf>
    <xf numFmtId="179" fontId="47" fillId="16" borderId="24" xfId="17" applyNumberFormat="1" applyFont="1" applyFill="1" applyBorder="1" applyAlignment="1" applyProtection="1">
      <alignment horizontal="center" vertical="center"/>
    </xf>
    <xf numFmtId="0" fontId="42" fillId="3" borderId="55" xfId="0" applyFont="1" applyFill="1" applyBorder="1" applyAlignment="1">
      <alignment horizontal="left" vertical="center"/>
    </xf>
    <xf numFmtId="10" fontId="42" fillId="2" borderId="55" xfId="10" applyNumberFormat="1" applyFont="1" applyFill="1" applyBorder="1" applyAlignment="1">
      <alignment horizontal="left" vertical="center" wrapText="1"/>
    </xf>
    <xf numFmtId="10" fontId="46" fillId="2" borderId="55" xfId="10" applyNumberFormat="1" applyFont="1" applyFill="1" applyBorder="1" applyAlignment="1">
      <alignment horizontal="left" vertical="center" wrapText="1"/>
    </xf>
    <xf numFmtId="10" fontId="46" fillId="2" borderId="55" xfId="10" applyNumberFormat="1" applyFont="1" applyFill="1" applyBorder="1" applyAlignment="1">
      <alignment horizontal="left" vertical="center"/>
    </xf>
    <xf numFmtId="167" fontId="42" fillId="0" borderId="55" xfId="10" applyNumberFormat="1" applyFont="1" applyFill="1" applyBorder="1" applyAlignment="1">
      <alignment horizontal="center" vertical="center"/>
    </xf>
    <xf numFmtId="168" fontId="42" fillId="3" borderId="55" xfId="10" applyNumberFormat="1" applyFont="1" applyFill="1" applyBorder="1" applyAlignment="1">
      <alignment horizontal="right" vertical="center"/>
    </xf>
    <xf numFmtId="0" fontId="47" fillId="16" borderId="1" xfId="0" applyFont="1" applyFill="1" applyBorder="1" applyAlignment="1" applyProtection="1">
      <alignment horizontal="center" vertical="center"/>
    </xf>
    <xf numFmtId="0" fontId="58" fillId="0" borderId="0" xfId="0" applyFont="1" applyAlignment="1" applyProtection="1">
      <alignment vertical="center"/>
    </xf>
    <xf numFmtId="0" fontId="47" fillId="3" borderId="0" xfId="0" applyFont="1" applyFill="1" applyAlignment="1" applyProtection="1">
      <alignment vertical="center"/>
    </xf>
    <xf numFmtId="0" fontId="47" fillId="0" borderId="0" xfId="0" applyFont="1" applyAlignment="1" applyProtection="1">
      <alignment vertical="center"/>
    </xf>
    <xf numFmtId="0" fontId="47" fillId="20" borderId="1" xfId="0" applyFont="1" applyFill="1" applyBorder="1" applyAlignment="1" applyProtection="1">
      <alignment horizontal="center" vertical="center"/>
    </xf>
    <xf numFmtId="0" fontId="47" fillId="20" borderId="5" xfId="0" applyFont="1" applyFill="1" applyBorder="1" applyAlignment="1" applyProtection="1">
      <alignment horizontal="center" vertical="center"/>
    </xf>
    <xf numFmtId="0" fontId="41" fillId="0" borderId="0" xfId="0" applyFont="1" applyProtection="1"/>
    <xf numFmtId="10" fontId="47" fillId="16" borderId="28" xfId="0" applyNumberFormat="1" applyFont="1" applyFill="1" applyBorder="1" applyAlignment="1" applyProtection="1">
      <alignment horizontal="center" vertical="center"/>
    </xf>
    <xf numFmtId="10" fontId="47" fillId="16" borderId="5" xfId="0" applyNumberFormat="1" applyFont="1" applyFill="1" applyBorder="1" applyAlignment="1" applyProtection="1">
      <alignment horizontal="center" vertical="center"/>
    </xf>
    <xf numFmtId="10" fontId="23" fillId="21" borderId="5" xfId="0" applyNumberFormat="1" applyFont="1" applyFill="1" applyBorder="1" applyAlignment="1" applyProtection="1">
      <alignment horizontal="center" vertical="center"/>
    </xf>
    <xf numFmtId="0" fontId="23" fillId="21" borderId="5" xfId="0" applyFont="1" applyFill="1" applyBorder="1" applyAlignment="1" applyProtection="1">
      <alignment vertical="center"/>
    </xf>
    <xf numFmtId="0" fontId="47" fillId="21" borderId="20" xfId="0" applyFont="1" applyFill="1" applyBorder="1" applyProtection="1"/>
    <xf numFmtId="0" fontId="47" fillId="16" borderId="20" xfId="0" applyFont="1" applyFill="1" applyBorder="1" applyAlignment="1" applyProtection="1">
      <alignment vertical="center"/>
    </xf>
    <xf numFmtId="0" fontId="23" fillId="16" borderId="20" xfId="0" applyFont="1" applyFill="1" applyBorder="1" applyAlignment="1" applyProtection="1">
      <alignment vertical="center"/>
    </xf>
    <xf numFmtId="0" fontId="47" fillId="20" borderId="37" xfId="0" applyFont="1" applyFill="1" applyBorder="1" applyAlignment="1" applyProtection="1">
      <alignment horizontal="center" vertical="center"/>
    </xf>
    <xf numFmtId="0" fontId="47" fillId="20" borderId="30" xfId="0" applyFont="1" applyFill="1" applyBorder="1" applyAlignment="1" applyProtection="1">
      <alignment horizontal="center" vertical="center"/>
    </xf>
    <xf numFmtId="0" fontId="58" fillId="21" borderId="3" xfId="0" applyFont="1" applyFill="1" applyBorder="1" applyAlignment="1" applyProtection="1">
      <alignment vertical="center"/>
    </xf>
    <xf numFmtId="0" fontId="47" fillId="16" borderId="0" xfId="0" applyFont="1" applyFill="1" applyAlignment="1" applyProtection="1">
      <alignment vertical="center"/>
    </xf>
    <xf numFmtId="0" fontId="58" fillId="21" borderId="0" xfId="0" applyFont="1" applyFill="1" applyBorder="1" applyAlignment="1" applyProtection="1">
      <alignment vertical="center"/>
    </xf>
    <xf numFmtId="0" fontId="58" fillId="21" borderId="23" xfId="0" applyFont="1" applyFill="1" applyBorder="1" applyAlignment="1" applyProtection="1">
      <alignment vertical="center"/>
    </xf>
    <xf numFmtId="0" fontId="58" fillId="21" borderId="7" xfId="0" applyFont="1" applyFill="1" applyBorder="1" applyAlignment="1" applyProtection="1">
      <alignment vertical="center"/>
    </xf>
    <xf numFmtId="0" fontId="58" fillId="21" borderId="21" xfId="0" applyFont="1" applyFill="1" applyBorder="1" applyAlignment="1" applyProtection="1">
      <alignment vertical="center"/>
    </xf>
    <xf numFmtId="0" fontId="58" fillId="21" borderId="22" xfId="0" applyFont="1" applyFill="1" applyBorder="1" applyAlignment="1" applyProtection="1">
      <alignment vertical="center"/>
    </xf>
    <xf numFmtId="0" fontId="47" fillId="20" borderId="40" xfId="0" applyFont="1" applyFill="1" applyBorder="1" applyAlignment="1" applyProtection="1">
      <alignment horizontal="center" vertical="center"/>
    </xf>
    <xf numFmtId="10" fontId="47" fillId="16" borderId="18" xfId="0" applyNumberFormat="1" applyFont="1" applyFill="1" applyBorder="1" applyAlignment="1" applyProtection="1">
      <alignment horizontal="center" vertical="center"/>
    </xf>
    <xf numFmtId="0" fontId="23" fillId="21" borderId="20" xfId="0" applyFont="1" applyFill="1" applyBorder="1" applyAlignment="1" applyProtection="1">
      <alignment vertical="center"/>
    </xf>
    <xf numFmtId="0" fontId="23" fillId="21" borderId="18" xfId="0" applyFont="1" applyFill="1" applyBorder="1" applyAlignment="1" applyProtection="1">
      <alignment vertical="center"/>
    </xf>
    <xf numFmtId="0" fontId="47" fillId="16" borderId="5" xfId="0" applyFont="1" applyFill="1" applyBorder="1" applyAlignment="1" applyProtection="1">
      <alignment vertical="center"/>
    </xf>
    <xf numFmtId="0" fontId="23" fillId="16" borderId="21" xfId="0" applyFont="1" applyFill="1" applyBorder="1" applyAlignment="1" applyProtection="1">
      <alignment vertical="center"/>
    </xf>
    <xf numFmtId="10" fontId="23" fillId="21" borderId="20" xfId="0" applyNumberFormat="1" applyFont="1" applyFill="1" applyBorder="1" applyAlignment="1" applyProtection="1">
      <alignment horizontal="center" vertical="center"/>
    </xf>
    <xf numFmtId="0" fontId="23" fillId="21" borderId="54" xfId="0" applyFont="1" applyFill="1" applyBorder="1" applyAlignment="1" applyProtection="1">
      <alignment vertical="center"/>
    </xf>
    <xf numFmtId="0" fontId="23" fillId="0" borderId="3" xfId="0" applyFont="1" applyBorder="1" applyAlignment="1" applyProtection="1">
      <alignment horizontal="center" vertical="center"/>
    </xf>
    <xf numFmtId="0" fontId="23" fillId="0" borderId="0" xfId="0" applyFont="1" applyAlignment="1" applyProtection="1">
      <alignment horizontal="center" vertical="center"/>
    </xf>
    <xf numFmtId="0" fontId="23" fillId="0" borderId="0" xfId="0" applyFont="1" applyAlignment="1" applyProtection="1">
      <alignment vertical="center"/>
    </xf>
    <xf numFmtId="169" fontId="60" fillId="15" borderId="5" xfId="8" applyNumberFormat="1" applyFont="1" applyFill="1" applyBorder="1" applyAlignment="1" applyProtection="1">
      <alignment horizontal="center" vertical="center"/>
    </xf>
    <xf numFmtId="0" fontId="46" fillId="16" borderId="4" xfId="8" applyFont="1" applyFill="1" applyBorder="1" applyAlignment="1" applyProtection="1">
      <alignment horizontal="center" vertical="center" wrapText="1"/>
    </xf>
    <xf numFmtId="0" fontId="46" fillId="16" borderId="5" xfId="8" applyFont="1" applyFill="1" applyBorder="1" applyAlignment="1" applyProtection="1">
      <alignment horizontal="left" vertical="center"/>
    </xf>
    <xf numFmtId="0" fontId="46" fillId="16" borderId="20" xfId="8" applyFont="1" applyFill="1" applyBorder="1" applyAlignment="1" applyProtection="1">
      <alignment vertical="center" wrapText="1"/>
    </xf>
    <xf numFmtId="0" fontId="46" fillId="16" borderId="18" xfId="8" applyFont="1" applyFill="1" applyBorder="1" applyAlignment="1" applyProtection="1">
      <alignment vertical="center" wrapText="1"/>
    </xf>
    <xf numFmtId="9" fontId="50" fillId="16" borderId="5" xfId="10" applyFont="1" applyFill="1" applyBorder="1" applyAlignment="1" applyProtection="1">
      <alignment horizontal="center" vertical="center" wrapText="1"/>
    </xf>
    <xf numFmtId="0" fontId="46" fillId="16" borderId="1" xfId="8" applyFont="1" applyFill="1" applyBorder="1" applyAlignment="1" applyProtection="1">
      <alignment horizontal="center" vertical="center" wrapText="1"/>
    </xf>
    <xf numFmtId="0" fontId="46" fillId="16" borderId="5" xfId="8" applyFont="1" applyFill="1" applyBorder="1" applyAlignment="1" applyProtection="1">
      <alignment vertical="center"/>
    </xf>
    <xf numFmtId="9" fontId="46" fillId="16" borderId="1" xfId="10" applyFont="1" applyFill="1" applyBorder="1" applyAlignment="1" applyProtection="1">
      <alignment horizontal="center" vertical="center" wrapText="1"/>
    </xf>
    <xf numFmtId="0" fontId="44" fillId="16" borderId="18" xfId="8" applyFont="1" applyFill="1" applyBorder="1" applyAlignment="1" applyProtection="1">
      <alignment vertical="center" wrapText="1"/>
    </xf>
    <xf numFmtId="0" fontId="56" fillId="16" borderId="20" xfId="8" applyFont="1" applyFill="1" applyBorder="1" applyAlignment="1" applyProtection="1">
      <alignment vertical="center" wrapText="1"/>
    </xf>
    <xf numFmtId="10" fontId="46" fillId="16" borderId="1" xfId="10" applyNumberFormat="1" applyFont="1" applyFill="1" applyBorder="1" applyAlignment="1" applyProtection="1">
      <alignment horizontal="center" vertical="center" wrapText="1"/>
    </xf>
    <xf numFmtId="9" fontId="44" fillId="16" borderId="5" xfId="10" applyFont="1" applyFill="1" applyBorder="1" applyAlignment="1" applyProtection="1">
      <alignment horizontal="center" vertical="center" wrapText="1"/>
    </xf>
    <xf numFmtId="9" fontId="50" fillId="16" borderId="1" xfId="8" applyNumberFormat="1" applyFont="1" applyFill="1" applyBorder="1" applyAlignment="1" applyProtection="1">
      <alignment horizontal="center" vertical="center" wrapText="1"/>
    </xf>
    <xf numFmtId="0" fontId="44" fillId="16" borderId="5" xfId="8" applyFont="1" applyFill="1" applyBorder="1" applyAlignment="1" applyProtection="1">
      <alignment vertical="center"/>
    </xf>
    <xf numFmtId="0" fontId="44" fillId="16" borderId="20" xfId="8" applyFont="1" applyFill="1" applyBorder="1" applyAlignment="1" applyProtection="1">
      <alignment vertical="center" wrapText="1"/>
    </xf>
    <xf numFmtId="9" fontId="44" fillId="22" borderId="1" xfId="8" applyNumberFormat="1" applyFont="1" applyFill="1" applyBorder="1" applyAlignment="1" applyProtection="1">
      <alignment horizontal="center" vertical="center" wrapText="1"/>
    </xf>
    <xf numFmtId="0" fontId="23" fillId="20" borderId="20" xfId="0" applyFont="1" applyFill="1" applyBorder="1" applyAlignment="1" applyProtection="1">
      <alignment horizontal="center" vertical="center" wrapText="1"/>
    </xf>
    <xf numFmtId="0" fontId="23" fillId="12" borderId="5" xfId="0" applyFont="1" applyFill="1" applyBorder="1" applyAlignment="1" applyProtection="1">
      <alignment horizontal="center" vertical="center" wrapText="1"/>
    </xf>
    <xf numFmtId="0" fontId="58" fillId="16" borderId="1" xfId="0" applyFont="1" applyFill="1" applyBorder="1" applyAlignment="1" applyProtection="1">
      <alignment horizontal="center" wrapText="1"/>
    </xf>
    <xf numFmtId="0" fontId="47" fillId="16" borderId="7" xfId="0" applyFont="1" applyFill="1" applyBorder="1" applyAlignment="1" applyProtection="1">
      <alignment horizontal="center" vertical="center"/>
    </xf>
    <xf numFmtId="177" fontId="23" fillId="13" borderId="5" xfId="0" applyNumberFormat="1" applyFont="1" applyFill="1" applyBorder="1" applyAlignment="1" applyProtection="1">
      <alignment horizontal="center" vertical="center"/>
    </xf>
    <xf numFmtId="0" fontId="23" fillId="12" borderId="20" xfId="0" applyFont="1" applyFill="1" applyBorder="1" applyAlignment="1" applyProtection="1">
      <alignment horizontal="center" vertical="center" wrapText="1"/>
    </xf>
    <xf numFmtId="0" fontId="47" fillId="21" borderId="24" xfId="0" applyFont="1" applyFill="1" applyBorder="1" applyAlignment="1" applyProtection="1">
      <alignment vertical="center"/>
    </xf>
    <xf numFmtId="0" fontId="47" fillId="21" borderId="0" xfId="0" applyFont="1" applyFill="1" applyAlignment="1" applyProtection="1">
      <alignment vertical="center"/>
    </xf>
    <xf numFmtId="10" fontId="23" fillId="21" borderId="18" xfId="0" applyNumberFormat="1" applyFont="1" applyFill="1" applyBorder="1" applyAlignment="1" applyProtection="1">
      <alignment horizontal="center" vertical="center"/>
    </xf>
    <xf numFmtId="0" fontId="47" fillId="16" borderId="19" xfId="0" applyFont="1" applyFill="1" applyBorder="1" applyAlignment="1" applyProtection="1">
      <alignment vertical="center"/>
    </xf>
    <xf numFmtId="0" fontId="23" fillId="21" borderId="18" xfId="0" applyFont="1" applyFill="1" applyBorder="1" applyAlignment="1" applyProtection="1">
      <alignment horizontal="left" vertical="center"/>
    </xf>
    <xf numFmtId="0" fontId="49" fillId="21" borderId="18" xfId="0" applyFont="1" applyFill="1" applyBorder="1" applyAlignment="1" applyProtection="1">
      <alignment horizontal="left" vertical="center"/>
    </xf>
    <xf numFmtId="0" fontId="59" fillId="0" borderId="0" xfId="0" applyFont="1" applyProtection="1"/>
    <xf numFmtId="0" fontId="47" fillId="0" borderId="0" xfId="0" applyFont="1" applyFill="1" applyBorder="1" applyAlignment="1" applyProtection="1">
      <alignment vertical="center"/>
    </xf>
    <xf numFmtId="168" fontId="42" fillId="0" borderId="55" xfId="0" quotePrefix="1" applyNumberFormat="1" applyFont="1" applyBorder="1" applyAlignment="1">
      <alignment horizontal="center" vertical="center"/>
    </xf>
    <xf numFmtId="10" fontId="46" fillId="0" borderId="55" xfId="10" applyNumberFormat="1" applyFont="1" applyFill="1" applyBorder="1" applyAlignment="1">
      <alignment horizontal="center" vertical="center"/>
    </xf>
    <xf numFmtId="0" fontId="46" fillId="0" borderId="55" xfId="0" quotePrefix="1" applyFont="1" applyBorder="1" applyAlignment="1">
      <alignment horizontal="center" vertical="center"/>
    </xf>
    <xf numFmtId="0" fontId="46" fillId="0" borderId="55" xfId="0" applyFont="1" applyBorder="1" applyAlignment="1">
      <alignment vertical="center" wrapText="1"/>
    </xf>
    <xf numFmtId="0" fontId="70" fillId="0" borderId="0" xfId="0" applyFont="1" applyAlignment="1">
      <alignment vertical="center"/>
    </xf>
    <xf numFmtId="0" fontId="46" fillId="0" borderId="0" xfId="0" applyFont="1" applyAlignment="1">
      <alignment vertical="center"/>
    </xf>
    <xf numFmtId="168" fontId="46" fillId="0" borderId="55" xfId="0" quotePrefix="1" applyNumberFormat="1" applyFont="1" applyBorder="1" applyAlignment="1">
      <alignment horizontal="center" vertical="center" wrapText="1"/>
    </xf>
    <xf numFmtId="0" fontId="46" fillId="0" borderId="55" xfId="0" applyFont="1" applyBorder="1" applyAlignment="1">
      <alignment vertical="center"/>
    </xf>
    <xf numFmtId="0" fontId="46" fillId="0" borderId="55" xfId="0" quotePrefix="1" applyFont="1" applyBorder="1" applyAlignment="1">
      <alignment horizontal="center" vertical="center" wrapText="1"/>
    </xf>
    <xf numFmtId="0" fontId="45" fillId="9" borderId="55" xfId="0" applyFont="1" applyFill="1" applyBorder="1" applyAlignment="1">
      <alignment horizontal="left" vertical="center"/>
    </xf>
    <xf numFmtId="168" fontId="46" fillId="3" borderId="55" xfId="0" applyNumberFormat="1" applyFont="1" applyFill="1" applyBorder="1" applyAlignment="1">
      <alignment horizontal="center" vertical="center"/>
    </xf>
    <xf numFmtId="0" fontId="56" fillId="0" borderId="0" xfId="0" applyFont="1" applyAlignment="1">
      <alignment vertical="center"/>
    </xf>
    <xf numFmtId="168" fontId="46" fillId="3" borderId="55" xfId="0" applyNumberFormat="1" applyFont="1" applyFill="1" applyBorder="1" applyAlignment="1">
      <alignment horizontal="center" vertical="center" wrapText="1"/>
    </xf>
    <xf numFmtId="168" fontId="42" fillId="3" borderId="55" xfId="0" applyNumberFormat="1" applyFont="1" applyFill="1" applyBorder="1" applyAlignment="1">
      <alignment horizontal="center" vertical="center"/>
    </xf>
    <xf numFmtId="168" fontId="42" fillId="3" borderId="55" xfId="0" applyNumberFormat="1" applyFont="1" applyFill="1" applyBorder="1" applyAlignment="1">
      <alignment horizontal="center" vertical="center" wrapText="1"/>
    </xf>
    <xf numFmtId="9" fontId="46" fillId="3" borderId="55" xfId="4" applyNumberFormat="1" applyFont="1" applyFill="1" applyBorder="1" applyAlignment="1">
      <alignment horizontal="center" vertical="center"/>
    </xf>
    <xf numFmtId="0" fontId="46" fillId="3" borderId="55" xfId="0" applyFont="1" applyFill="1" applyBorder="1" applyAlignment="1">
      <alignment horizontal="center" vertical="center"/>
    </xf>
    <xf numFmtId="0" fontId="46" fillId="3" borderId="55" xfId="0" quotePrefix="1" applyFont="1" applyFill="1" applyBorder="1" applyAlignment="1">
      <alignment horizontal="center" vertical="center"/>
    </xf>
    <xf numFmtId="0" fontId="46" fillId="0" borderId="55" xfId="0" applyFont="1" applyBorder="1" applyAlignment="1">
      <alignment horizontal="left" vertical="center" wrapText="1"/>
    </xf>
    <xf numFmtId="0" fontId="46" fillId="2" borderId="70" xfId="0" applyFont="1" applyFill="1" applyBorder="1" applyAlignment="1">
      <alignment vertical="center" wrapText="1"/>
    </xf>
    <xf numFmtId="0" fontId="46" fillId="0" borderId="55" xfId="0" applyFont="1" applyBorder="1" applyAlignment="1">
      <alignment horizontal="center" vertical="center" wrapText="1"/>
    </xf>
    <xf numFmtId="0" fontId="45" fillId="9" borderId="65" xfId="0" applyFont="1" applyFill="1" applyBorder="1" applyAlignment="1">
      <alignment horizontal="center" vertical="center"/>
    </xf>
    <xf numFmtId="0" fontId="42" fillId="0" borderId="1" xfId="0" applyFont="1" applyBorder="1" applyAlignment="1">
      <alignment vertical="center" wrapText="1"/>
    </xf>
    <xf numFmtId="0" fontId="44" fillId="9" borderId="65" xfId="0" applyFont="1" applyFill="1" applyBorder="1" applyAlignment="1">
      <alignment horizontal="center" vertical="center" wrapText="1"/>
    </xf>
    <xf numFmtId="0" fontId="42" fillId="3" borderId="55" xfId="0" applyFont="1" applyFill="1" applyBorder="1" applyAlignment="1">
      <alignment horizontal="center" vertical="center" wrapText="1"/>
    </xf>
    <xf numFmtId="168" fontId="42" fillId="3" borderId="55" xfId="0" applyNumberFormat="1" applyFont="1" applyFill="1" applyBorder="1" applyAlignment="1">
      <alignment horizontal="left" vertical="center"/>
    </xf>
    <xf numFmtId="168" fontId="42" fillId="3" borderId="55" xfId="0" applyNumberFormat="1" applyFont="1" applyFill="1" applyBorder="1" applyAlignment="1">
      <alignment horizontal="right" vertical="center"/>
    </xf>
    <xf numFmtId="0" fontId="42" fillId="3" borderId="65" xfId="0" applyFont="1" applyFill="1" applyBorder="1" applyAlignment="1">
      <alignment horizontal="left" vertical="center"/>
    </xf>
    <xf numFmtId="168" fontId="42" fillId="3" borderId="65" xfId="10" applyNumberFormat="1" applyFont="1" applyFill="1" applyBorder="1" applyAlignment="1">
      <alignment horizontal="right" vertical="center"/>
    </xf>
    <xf numFmtId="0" fontId="42" fillId="3" borderId="71" xfId="0" applyFont="1" applyFill="1" applyBorder="1" applyAlignment="1">
      <alignment horizontal="center" vertical="center" wrapText="1"/>
    </xf>
    <xf numFmtId="166" fontId="46" fillId="16" borderId="1" xfId="10" applyNumberFormat="1" applyFont="1" applyFill="1" applyBorder="1" applyAlignment="1" applyProtection="1">
      <alignment horizontal="center" vertical="center" wrapText="1"/>
    </xf>
    <xf numFmtId="0" fontId="60" fillId="16" borderId="18" xfId="8" applyFont="1" applyFill="1" applyBorder="1" applyAlignment="1" applyProtection="1">
      <alignment horizontal="right" vertical="center" wrapText="1"/>
    </xf>
    <xf numFmtId="0" fontId="76" fillId="0" borderId="0" xfId="0" applyFont="1"/>
    <xf numFmtId="0" fontId="76" fillId="0" borderId="0" xfId="0" applyFont="1" applyAlignment="1">
      <alignment wrapText="1"/>
    </xf>
    <xf numFmtId="0" fontId="79" fillId="0" borderId="1" xfId="0" applyFont="1" applyBorder="1" applyAlignment="1">
      <alignment horizontal="center" vertical="center" wrapText="1"/>
    </xf>
    <xf numFmtId="10" fontId="47" fillId="16" borderId="1" xfId="0" applyNumberFormat="1" applyFont="1" applyFill="1" applyBorder="1" applyAlignment="1" applyProtection="1">
      <alignment horizontal="center" vertical="center"/>
    </xf>
    <xf numFmtId="0" fontId="7" fillId="0" borderId="0" xfId="0" applyFont="1"/>
    <xf numFmtId="44" fontId="77" fillId="36" borderId="1" xfId="4" applyFont="1" applyFill="1" applyBorder="1" applyAlignment="1" applyProtection="1">
      <alignment horizontal="center" vertical="center" wrapText="1"/>
    </xf>
    <xf numFmtId="0" fontId="7" fillId="0" borderId="0" xfId="0" applyFont="1" applyFill="1" applyBorder="1"/>
    <xf numFmtId="0" fontId="7" fillId="0" borderId="0" xfId="0" applyFont="1" applyAlignment="1">
      <alignment wrapText="1"/>
    </xf>
    <xf numFmtId="44" fontId="7" fillId="0" borderId="0" xfId="4" applyFont="1" applyAlignment="1">
      <alignment wrapText="1"/>
    </xf>
    <xf numFmtId="0" fontId="82" fillId="0" borderId="0" xfId="0" applyFont="1" applyAlignment="1">
      <alignment wrapText="1"/>
    </xf>
    <xf numFmtId="44" fontId="82" fillId="0" borderId="0" xfId="4" applyFont="1" applyAlignment="1">
      <alignment wrapText="1"/>
    </xf>
    <xf numFmtId="0" fontId="7" fillId="0" borderId="1" xfId="0" applyFont="1" applyBorder="1"/>
    <xf numFmtId="0" fontId="7" fillId="0" borderId="0" xfId="0" applyFont="1" applyFill="1"/>
    <xf numFmtId="0" fontId="77" fillId="0" borderId="0" xfId="0" applyFont="1" applyFill="1" applyBorder="1" applyAlignment="1" applyProtection="1">
      <alignment horizontal="center" vertical="center" wrapText="1"/>
    </xf>
    <xf numFmtId="0" fontId="77" fillId="33" borderId="1" xfId="0" applyFont="1" applyFill="1" applyBorder="1" applyAlignment="1">
      <alignment horizontal="center" vertical="center" wrapText="1"/>
    </xf>
    <xf numFmtId="0" fontId="77" fillId="33" borderId="1" xfId="0" applyFont="1" applyFill="1" applyBorder="1" applyAlignment="1" applyProtection="1">
      <alignment horizontal="center" vertical="center" wrapText="1"/>
    </xf>
    <xf numFmtId="182" fontId="77" fillId="33" borderId="1" xfId="4" applyNumberFormat="1" applyFont="1" applyFill="1" applyBorder="1" applyAlignment="1" applyProtection="1">
      <alignment horizontal="center" vertical="center" wrapText="1"/>
    </xf>
    <xf numFmtId="0" fontId="77" fillId="33" borderId="5" xfId="0" applyFont="1" applyFill="1" applyBorder="1" applyAlignment="1" applyProtection="1">
      <alignment horizontal="center" vertical="center" wrapText="1"/>
    </xf>
    <xf numFmtId="0" fontId="7" fillId="0" borderId="75" xfId="0" applyFont="1" applyBorder="1" applyAlignment="1">
      <alignment horizontal="left" vertical="center" wrapText="1"/>
    </xf>
    <xf numFmtId="181" fontId="7" fillId="38" borderId="74" xfId="4" applyNumberFormat="1" applyFont="1" applyFill="1" applyBorder="1" applyAlignment="1" applyProtection="1">
      <alignment horizontal="center" vertical="center"/>
      <protection locked="0"/>
    </xf>
    <xf numFmtId="0" fontId="7" fillId="0" borderId="74" xfId="0" applyFont="1" applyFill="1" applyBorder="1" applyAlignment="1">
      <alignment horizontal="center" vertical="center"/>
    </xf>
    <xf numFmtId="181" fontId="7" fillId="0" borderId="1" xfId="4" applyNumberFormat="1" applyFont="1" applyFill="1" applyBorder="1" applyAlignment="1" applyProtection="1">
      <alignment horizontal="center" vertical="center" wrapText="1"/>
    </xf>
    <xf numFmtId="0" fontId="7" fillId="0" borderId="74" xfId="0" applyFont="1" applyBorder="1" applyAlignment="1">
      <alignment horizontal="left" vertical="center" wrapText="1"/>
    </xf>
    <xf numFmtId="0" fontId="7" fillId="0" borderId="76" xfId="0" applyFont="1" applyFill="1" applyBorder="1" applyAlignment="1" applyProtection="1">
      <alignment horizontal="center" vertical="center" wrapText="1"/>
    </xf>
    <xf numFmtId="0" fontId="7" fillId="0" borderId="78" xfId="0" applyFont="1" applyBorder="1" applyAlignment="1">
      <alignment horizontal="left" vertical="center" wrapText="1"/>
    </xf>
    <xf numFmtId="0" fontId="7" fillId="34" borderId="73" xfId="0" applyFont="1" applyFill="1" applyBorder="1" applyAlignment="1" applyProtection="1">
      <alignment horizontal="center" vertical="center" wrapText="1"/>
    </xf>
    <xf numFmtId="0" fontId="7" fillId="34" borderId="76" xfId="0" applyFont="1" applyFill="1" applyBorder="1" applyAlignment="1" applyProtection="1">
      <alignment horizontal="center" vertical="center" wrapText="1"/>
    </xf>
    <xf numFmtId="0" fontId="7" fillId="0" borderId="0" xfId="0" applyFont="1" applyFill="1" applyBorder="1" applyAlignment="1" applyProtection="1">
      <alignment horizontal="left" vertical="center" wrapText="1"/>
    </xf>
    <xf numFmtId="7" fontId="7" fillId="0" borderId="0" xfId="4" applyNumberFormat="1" applyFont="1" applyFill="1" applyBorder="1" applyAlignment="1" applyProtection="1">
      <alignment horizontal="center" vertical="center" wrapText="1"/>
      <protection locked="0"/>
    </xf>
    <xf numFmtId="37" fontId="7" fillId="0" borderId="0" xfId="4" applyNumberFormat="1"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7" fillId="8" borderId="1" xfId="0" applyFont="1" applyFill="1" applyBorder="1" applyAlignment="1">
      <alignment horizontal="center" vertical="center" wrapText="1"/>
    </xf>
    <xf numFmtId="182" fontId="77" fillId="8" borderId="1" xfId="4" applyNumberFormat="1" applyFont="1" applyFill="1" applyBorder="1" applyAlignment="1" applyProtection="1">
      <alignment horizontal="center" vertical="center" wrapText="1"/>
    </xf>
    <xf numFmtId="7" fontId="7" fillId="38" borderId="18" xfId="4" applyNumberFormat="1" applyFont="1" applyFill="1" applyBorder="1" applyAlignment="1" applyProtection="1">
      <alignment horizontal="center" vertical="center"/>
      <protection locked="0"/>
    </xf>
    <xf numFmtId="0" fontId="7" fillId="3" borderId="1" xfId="0" applyFont="1" applyFill="1" applyBorder="1" applyAlignment="1">
      <alignment horizontal="center" wrapText="1"/>
    </xf>
    <xf numFmtId="0" fontId="7" fillId="34" borderId="1" xfId="0" applyFont="1" applyFill="1" applyBorder="1" applyAlignment="1" applyProtection="1">
      <alignment horizontal="center" vertical="center" wrapText="1"/>
    </xf>
    <xf numFmtId="0" fontId="7" fillId="3" borderId="1" xfId="0" applyFont="1" applyFill="1" applyBorder="1" applyAlignment="1">
      <alignment horizontal="center"/>
    </xf>
    <xf numFmtId="0" fontId="7" fillId="0" borderId="1" xfId="0" applyFont="1" applyBorder="1" applyAlignment="1">
      <alignment horizontal="left" vertical="center" wrapText="1"/>
    </xf>
    <xf numFmtId="37" fontId="7" fillId="40" borderId="74" xfId="4" applyNumberFormat="1" applyFont="1" applyFill="1" applyBorder="1" applyAlignment="1" applyProtection="1">
      <alignment horizontal="center" vertical="center" wrapText="1"/>
    </xf>
    <xf numFmtId="0" fontId="7" fillId="0" borderId="81" xfId="0" applyFont="1" applyBorder="1" applyAlignment="1">
      <alignment horizontal="left" vertical="center" wrapText="1"/>
    </xf>
    <xf numFmtId="0" fontId="7" fillId="34" borderId="79" xfId="0" applyFont="1" applyFill="1" applyBorder="1" applyAlignment="1" applyProtection="1">
      <alignment horizontal="center" vertical="center" wrapText="1"/>
    </xf>
    <xf numFmtId="0" fontId="7" fillId="7" borderId="1" xfId="0" applyFont="1" applyFill="1" applyBorder="1" applyAlignment="1">
      <alignment horizontal="center"/>
    </xf>
    <xf numFmtId="0" fontId="77" fillId="0" borderId="0" xfId="0" applyFont="1" applyFill="1" applyBorder="1" applyAlignment="1">
      <alignment vertical="center"/>
    </xf>
    <xf numFmtId="0" fontId="77" fillId="0" borderId="0" xfId="0" applyFont="1" applyFill="1" applyBorder="1" applyAlignment="1">
      <alignment horizontal="center" vertical="center"/>
    </xf>
    <xf numFmtId="181" fontId="77" fillId="42" borderId="1" xfId="0" applyNumberFormat="1" applyFont="1" applyFill="1" applyBorder="1" applyAlignment="1">
      <alignment horizontal="center" vertical="center"/>
    </xf>
    <xf numFmtId="0" fontId="83" fillId="0" borderId="0" xfId="0" applyFont="1" applyAlignment="1" applyProtection="1">
      <alignment horizontal="left"/>
    </xf>
    <xf numFmtId="0" fontId="85" fillId="4" borderId="21" xfId="0" applyFont="1" applyFill="1" applyBorder="1" applyAlignment="1" applyProtection="1">
      <alignment vertical="center"/>
    </xf>
    <xf numFmtId="0" fontId="85" fillId="4" borderId="0" xfId="0" applyFont="1" applyFill="1" applyAlignment="1" applyProtection="1">
      <alignment vertical="center"/>
    </xf>
    <xf numFmtId="0" fontId="83" fillId="0" borderId="0" xfId="0" applyFont="1" applyProtection="1"/>
    <xf numFmtId="37" fontId="7" fillId="40" borderId="75" xfId="4" applyNumberFormat="1" applyFont="1" applyFill="1" applyBorder="1" applyAlignment="1" applyProtection="1">
      <alignment horizontal="center" vertical="center" wrapText="1"/>
    </xf>
    <xf numFmtId="37" fontId="7" fillId="3" borderId="74" xfId="4" applyNumberFormat="1" applyFont="1" applyFill="1" applyBorder="1" applyAlignment="1" applyProtection="1">
      <alignment horizontal="center" vertical="center" wrapText="1"/>
    </xf>
    <xf numFmtId="44" fontId="77" fillId="41" borderId="1" xfId="4" applyFont="1" applyFill="1" applyBorder="1" applyAlignment="1" applyProtection="1">
      <alignment horizontal="center" vertical="center" wrapText="1"/>
    </xf>
    <xf numFmtId="44" fontId="77" fillId="37" borderId="1" xfId="4" applyFont="1" applyFill="1" applyBorder="1" applyAlignment="1" applyProtection="1">
      <alignment horizontal="center" vertical="center" wrapText="1"/>
    </xf>
    <xf numFmtId="14" fontId="47" fillId="3" borderId="1" xfId="0" applyNumberFormat="1" applyFont="1" applyFill="1" applyBorder="1" applyAlignment="1" applyProtection="1">
      <alignment horizontal="center" vertical="center" wrapText="1"/>
    </xf>
    <xf numFmtId="169" fontId="23" fillId="3" borderId="1" xfId="0" applyNumberFormat="1" applyFont="1" applyFill="1" applyBorder="1" applyAlignment="1" applyProtection="1">
      <alignment horizontal="center" vertical="center" wrapText="1"/>
    </xf>
    <xf numFmtId="169" fontId="47" fillId="3" borderId="30" xfId="0" applyNumberFormat="1" applyFont="1" applyFill="1" applyBorder="1" applyAlignment="1" applyProtection="1">
      <alignment horizontal="center" vertical="center" wrapText="1"/>
    </xf>
    <xf numFmtId="169" fontId="23" fillId="5" borderId="30" xfId="0" applyNumberFormat="1" applyFont="1" applyFill="1" applyBorder="1" applyAlignment="1" applyProtection="1">
      <alignment horizontal="center" vertical="center" wrapText="1"/>
    </xf>
    <xf numFmtId="0" fontId="41" fillId="3" borderId="0" xfId="0" applyFont="1" applyFill="1" applyProtection="1"/>
    <xf numFmtId="169" fontId="47" fillId="3" borderId="37" xfId="0" applyNumberFormat="1" applyFont="1" applyFill="1" applyBorder="1" applyAlignment="1" applyProtection="1">
      <alignment horizontal="center" vertical="center" wrapText="1"/>
    </xf>
    <xf numFmtId="169" fontId="47" fillId="3" borderId="40" xfId="0" applyNumberFormat="1" applyFont="1" applyFill="1" applyBorder="1" applyAlignment="1" applyProtection="1">
      <alignment horizontal="center" vertical="center" wrapText="1"/>
    </xf>
    <xf numFmtId="169" fontId="23" fillId="5" borderId="1" xfId="0" applyNumberFormat="1" applyFont="1" applyFill="1" applyBorder="1" applyAlignment="1" applyProtection="1">
      <alignment horizontal="center" vertical="center" wrapText="1"/>
    </xf>
    <xf numFmtId="169" fontId="47" fillId="5" borderId="1" xfId="0" applyNumberFormat="1" applyFont="1" applyFill="1" applyBorder="1" applyAlignment="1" applyProtection="1">
      <alignment horizontal="center" vertical="center" wrapText="1"/>
    </xf>
    <xf numFmtId="169" fontId="23" fillId="3" borderId="0" xfId="0" applyNumberFormat="1" applyFont="1" applyFill="1" applyAlignment="1" applyProtection="1">
      <alignment horizontal="center" vertical="center" wrapText="1"/>
    </xf>
    <xf numFmtId="0" fontId="23" fillId="11" borderId="20" xfId="0" applyFont="1" applyFill="1" applyBorder="1" applyAlignment="1" applyProtection="1">
      <alignment horizontal="center" vertical="center" wrapText="1"/>
    </xf>
    <xf numFmtId="44" fontId="47" fillId="3" borderId="1" xfId="0" applyNumberFormat="1" applyFont="1" applyFill="1" applyBorder="1" applyAlignment="1" applyProtection="1">
      <alignment horizontal="center" vertical="center" wrapText="1"/>
    </xf>
    <xf numFmtId="44" fontId="23" fillId="3" borderId="1" xfId="0" applyNumberFormat="1" applyFont="1" applyFill="1" applyBorder="1" applyAlignment="1" applyProtection="1">
      <alignment vertical="center" wrapText="1"/>
    </xf>
    <xf numFmtId="44" fontId="47" fillId="3" borderId="1" xfId="0" applyNumberFormat="1" applyFont="1" applyFill="1" applyBorder="1" applyAlignment="1" applyProtection="1">
      <alignment vertical="center" wrapText="1"/>
    </xf>
    <xf numFmtId="44" fontId="47" fillId="3" borderId="18" xfId="0" applyNumberFormat="1" applyFont="1" applyFill="1" applyBorder="1" applyAlignment="1" applyProtection="1">
      <alignment vertical="center" wrapText="1"/>
    </xf>
    <xf numFmtId="10" fontId="61" fillId="3" borderId="18" xfId="0" applyNumberFormat="1" applyFont="1" applyFill="1" applyBorder="1" applyAlignment="1" applyProtection="1">
      <alignment horizontal="center" vertical="center" wrapText="1"/>
    </xf>
    <xf numFmtId="44" fontId="23" fillId="5" borderId="1" xfId="0" applyNumberFormat="1" applyFont="1" applyFill="1" applyBorder="1" applyAlignment="1" applyProtection="1">
      <alignment horizontal="center" vertical="center" wrapText="1"/>
    </xf>
    <xf numFmtId="44" fontId="23" fillId="11" borderId="1" xfId="4" applyFont="1" applyFill="1" applyBorder="1" applyAlignment="1" applyProtection="1">
      <alignment horizontal="center" vertical="center" wrapText="1"/>
    </xf>
    <xf numFmtId="44" fontId="47" fillId="11" borderId="1" xfId="4" applyFont="1" applyFill="1" applyBorder="1" applyAlignment="1" applyProtection="1">
      <alignment horizontal="center" vertical="center" wrapText="1"/>
    </xf>
    <xf numFmtId="44" fontId="53" fillId="11" borderId="1" xfId="4" applyFont="1" applyFill="1" applyBorder="1" applyAlignment="1" applyProtection="1">
      <alignment horizontal="center" vertical="center" wrapText="1"/>
    </xf>
    <xf numFmtId="0" fontId="87" fillId="4" borderId="21" xfId="0" applyFont="1" applyFill="1" applyBorder="1" applyAlignment="1" applyProtection="1">
      <alignment vertical="center"/>
    </xf>
    <xf numFmtId="0" fontId="72" fillId="0" borderId="19" xfId="0" applyFont="1" applyBorder="1" applyAlignment="1" applyProtection="1">
      <alignment horizontal="fill" vertical="top" wrapText="1"/>
    </xf>
    <xf numFmtId="0" fontId="47" fillId="0" borderId="0" xfId="0" applyFont="1" applyBorder="1" applyAlignment="1" applyProtection="1">
      <alignment vertical="center"/>
    </xf>
    <xf numFmtId="0" fontId="23" fillId="0" borderId="0" xfId="0" applyFont="1" applyBorder="1" applyAlignment="1" applyProtection="1">
      <alignment vertical="center"/>
    </xf>
    <xf numFmtId="9" fontId="88" fillId="3" borderId="0" xfId="10" applyFont="1" applyFill="1" applyAlignment="1" applyProtection="1">
      <alignment vertical="center"/>
    </xf>
    <xf numFmtId="9" fontId="89" fillId="3" borderId="0" xfId="10" applyFont="1" applyFill="1" applyAlignment="1" applyProtection="1">
      <alignment vertical="center"/>
    </xf>
    <xf numFmtId="0" fontId="47" fillId="3" borderId="0" xfId="0" applyFont="1" applyFill="1" applyAlignment="1" applyProtection="1">
      <alignment vertical="center" wrapText="1"/>
    </xf>
    <xf numFmtId="0" fontId="20" fillId="3" borderId="1" xfId="0" applyFont="1" applyFill="1" applyBorder="1" applyAlignment="1" applyProtection="1">
      <alignment horizontal="center" vertical="center" wrapText="1"/>
    </xf>
    <xf numFmtId="9" fontId="47" fillId="3" borderId="1" xfId="10" applyNumberFormat="1" applyFont="1" applyFill="1" applyBorder="1" applyAlignment="1" applyProtection="1">
      <alignment horizontal="center" vertical="center" wrapText="1"/>
    </xf>
    <xf numFmtId="0" fontId="47" fillId="11" borderId="1" xfId="0" applyFont="1" applyFill="1" applyBorder="1" applyAlignment="1" applyProtection="1">
      <alignment horizontal="center" vertical="center" wrapText="1"/>
    </xf>
    <xf numFmtId="169" fontId="47" fillId="3" borderId="53" xfId="0" applyNumberFormat="1" applyFont="1" applyFill="1" applyBorder="1" applyAlignment="1" applyProtection="1">
      <alignment horizontal="center" vertical="center" wrapText="1"/>
    </xf>
    <xf numFmtId="0" fontId="23" fillId="3" borderId="1" xfId="0" applyFont="1" applyFill="1" applyBorder="1" applyAlignment="1" applyProtection="1">
      <alignment horizontal="center" vertical="center" wrapText="1"/>
    </xf>
    <xf numFmtId="169" fontId="47" fillId="5" borderId="4" xfId="0" applyNumberFormat="1" applyFont="1" applyFill="1" applyBorder="1" applyAlignment="1" applyProtection="1">
      <alignment horizontal="center" vertical="center" wrapText="1"/>
    </xf>
    <xf numFmtId="44" fontId="23" fillId="3" borderId="1" xfId="0" applyNumberFormat="1" applyFont="1" applyFill="1" applyBorder="1" applyAlignment="1" applyProtection="1">
      <alignment horizontal="center" vertical="center" wrapText="1"/>
    </xf>
    <xf numFmtId="44" fontId="23" fillId="3" borderId="1" xfId="4" applyFont="1" applyFill="1" applyBorder="1" applyAlignment="1" applyProtection="1">
      <alignment horizontal="center" vertical="center" wrapText="1"/>
    </xf>
    <xf numFmtId="44" fontId="47" fillId="3" borderId="1" xfId="4" applyFont="1" applyFill="1" applyBorder="1" applyAlignment="1" applyProtection="1">
      <alignment horizontal="center" vertical="center" wrapText="1"/>
    </xf>
    <xf numFmtId="44" fontId="53" fillId="3" borderId="1" xfId="4" applyFont="1" applyFill="1" applyBorder="1" applyAlignment="1" applyProtection="1">
      <alignment horizontal="center" vertical="center" wrapText="1"/>
    </xf>
    <xf numFmtId="0" fontId="72" fillId="3" borderId="19" xfId="0" applyFont="1" applyFill="1" applyBorder="1" applyAlignment="1" applyProtection="1">
      <alignment horizontal="fill" vertical="top" wrapText="1"/>
    </xf>
    <xf numFmtId="0" fontId="47" fillId="3" borderId="0" xfId="0" applyFont="1" applyFill="1" applyBorder="1" applyAlignment="1" applyProtection="1">
      <alignment vertical="center" wrapText="1"/>
    </xf>
    <xf numFmtId="1" fontId="20" fillId="3" borderId="1" xfId="0" applyNumberFormat="1" applyFont="1" applyFill="1" applyBorder="1" applyAlignment="1" applyProtection="1">
      <alignment horizontal="center" vertical="center" wrapText="1"/>
    </xf>
    <xf numFmtId="0" fontId="77" fillId="0" borderId="1" xfId="0" applyFont="1" applyBorder="1" applyAlignment="1">
      <alignment horizontal="center"/>
    </xf>
    <xf numFmtId="0" fontId="77" fillId="0" borderId="1" xfId="0" applyFont="1" applyBorder="1" applyAlignment="1">
      <alignment horizontal="center" vertical="center"/>
    </xf>
    <xf numFmtId="0" fontId="9" fillId="0" borderId="0" xfId="0" applyFont="1" applyAlignment="1">
      <alignment horizontal="left"/>
    </xf>
    <xf numFmtId="0" fontId="78" fillId="0" borderId="1" xfId="0" applyFont="1" applyBorder="1" applyAlignment="1">
      <alignment horizontal="justify" vertical="center"/>
    </xf>
    <xf numFmtId="0" fontId="78" fillId="0" borderId="1" xfId="0" applyFont="1" applyBorder="1" applyAlignment="1">
      <alignment horizontal="left"/>
    </xf>
    <xf numFmtId="0" fontId="78" fillId="0" borderId="1" xfId="0" applyFont="1" applyBorder="1" applyAlignment="1">
      <alignment horizontal="justify"/>
    </xf>
    <xf numFmtId="0" fontId="90" fillId="0" borderId="0" xfId="0" applyFont="1" applyAlignment="1">
      <alignment horizontal="justify" vertical="center"/>
    </xf>
    <xf numFmtId="0" fontId="9" fillId="0" borderId="0" xfId="0" applyFont="1" applyAlignment="1">
      <alignment horizontal="justify"/>
    </xf>
    <xf numFmtId="44" fontId="91" fillId="7" borderId="1" xfId="4" applyFont="1" applyFill="1" applyBorder="1" applyAlignment="1">
      <alignment horizontal="right" vertical="center"/>
    </xf>
    <xf numFmtId="44" fontId="47" fillId="21" borderId="6" xfId="4" applyFont="1" applyFill="1" applyBorder="1" applyAlignment="1" applyProtection="1">
      <alignment horizontal="center" vertical="center"/>
    </xf>
    <xf numFmtId="0" fontId="47" fillId="16" borderId="18" xfId="0" applyFont="1" applyFill="1" applyBorder="1" applyAlignment="1" applyProtection="1">
      <alignment horizontal="left" vertical="center"/>
    </xf>
    <xf numFmtId="0" fontId="47" fillId="3" borderId="1" xfId="0" applyFont="1" applyFill="1" applyBorder="1" applyAlignment="1" applyProtection="1">
      <alignment horizontal="center" vertical="center" wrapText="1"/>
    </xf>
    <xf numFmtId="0" fontId="23" fillId="21" borderId="19" xfId="0" applyFont="1" applyFill="1" applyBorder="1" applyAlignment="1" applyProtection="1">
      <alignment horizontal="left" vertical="center"/>
    </xf>
    <xf numFmtId="169" fontId="47" fillId="3" borderId="1" xfId="0" applyNumberFormat="1" applyFont="1" applyFill="1" applyBorder="1" applyAlignment="1" applyProtection="1">
      <alignment horizontal="center" vertical="center" wrapText="1"/>
    </xf>
    <xf numFmtId="169" fontId="47" fillId="3" borderId="4" xfId="0" applyNumberFormat="1" applyFont="1" applyFill="1" applyBorder="1" applyAlignment="1" applyProtection="1">
      <alignment horizontal="center" vertical="center" wrapText="1"/>
    </xf>
    <xf numFmtId="0" fontId="47" fillId="20" borderId="1" xfId="0" applyFont="1" applyFill="1" applyBorder="1" applyAlignment="1" applyProtection="1">
      <alignment horizontal="center" vertical="center"/>
      <protection locked="0"/>
    </xf>
    <xf numFmtId="0" fontId="47" fillId="16" borderId="1" xfId="0" applyFont="1" applyFill="1" applyBorder="1" applyAlignment="1" applyProtection="1">
      <alignment horizontal="center" vertical="center"/>
      <protection locked="0"/>
    </xf>
    <xf numFmtId="0" fontId="23" fillId="21" borderId="5" xfId="0" applyFont="1" applyFill="1" applyBorder="1" applyAlignment="1" applyProtection="1">
      <alignment vertical="center"/>
      <protection locked="0"/>
    </xf>
    <xf numFmtId="0" fontId="47" fillId="21" borderId="20" xfId="0" applyFont="1" applyFill="1" applyBorder="1" applyProtection="1">
      <protection locked="0"/>
    </xf>
    <xf numFmtId="0" fontId="47" fillId="16" borderId="20" xfId="0" applyFont="1" applyFill="1" applyBorder="1" applyAlignment="1" applyProtection="1">
      <alignment vertical="center"/>
      <protection locked="0"/>
    </xf>
    <xf numFmtId="0" fontId="23" fillId="16" borderId="20" xfId="0" applyFont="1" applyFill="1" applyBorder="1" applyAlignment="1" applyProtection="1">
      <alignment vertical="center"/>
      <protection locked="0"/>
    </xf>
    <xf numFmtId="0" fontId="47" fillId="20" borderId="37" xfId="0" applyFont="1" applyFill="1" applyBorder="1" applyAlignment="1" applyProtection="1">
      <alignment horizontal="center" vertical="center"/>
      <protection locked="0"/>
    </xf>
    <xf numFmtId="0" fontId="47" fillId="20" borderId="30" xfId="0" applyFont="1" applyFill="1" applyBorder="1" applyAlignment="1" applyProtection="1">
      <alignment horizontal="center" vertical="center"/>
      <protection locked="0"/>
    </xf>
    <xf numFmtId="0" fontId="58" fillId="21" borderId="3" xfId="0" applyFont="1" applyFill="1" applyBorder="1" applyAlignment="1" applyProtection="1">
      <alignment vertical="center"/>
      <protection locked="0"/>
    </xf>
    <xf numFmtId="0" fontId="58" fillId="21" borderId="7" xfId="0" applyFont="1" applyFill="1" applyBorder="1" applyAlignment="1" applyProtection="1">
      <alignment vertical="center"/>
      <protection locked="0"/>
    </xf>
    <xf numFmtId="0" fontId="47" fillId="20" borderId="40" xfId="0" applyFont="1" applyFill="1" applyBorder="1" applyAlignment="1" applyProtection="1">
      <alignment horizontal="center" vertical="center"/>
      <protection locked="0"/>
    </xf>
    <xf numFmtId="44" fontId="49" fillId="18" borderId="1" xfId="4" applyFont="1" applyFill="1" applyBorder="1" applyAlignment="1" applyProtection="1">
      <alignment vertical="center"/>
      <protection locked="0"/>
    </xf>
    <xf numFmtId="44" fontId="49" fillId="18" borderId="1" xfId="4" applyFont="1" applyFill="1" applyBorder="1" applyAlignment="1" applyProtection="1">
      <alignment horizontal="left" vertical="center"/>
      <protection locked="0"/>
    </xf>
    <xf numFmtId="2" fontId="49" fillId="7" borderId="1" xfId="10" applyNumberFormat="1" applyFont="1" applyFill="1" applyBorder="1" applyAlignment="1" applyProtection="1">
      <alignment horizontal="right" vertical="center"/>
      <protection locked="0"/>
    </xf>
    <xf numFmtId="44" fontId="49" fillId="7" borderId="1" xfId="4" applyFont="1" applyFill="1" applyBorder="1" applyAlignment="1" applyProtection="1">
      <alignment horizontal="right" vertical="center"/>
      <protection locked="0"/>
    </xf>
    <xf numFmtId="9" fontId="49" fillId="7" borderId="1" xfId="4" applyNumberFormat="1" applyFont="1" applyFill="1" applyBorder="1" applyAlignment="1" applyProtection="1">
      <alignment horizontal="right" vertical="center"/>
      <protection locked="0"/>
    </xf>
    <xf numFmtId="10" fontId="47" fillId="16" borderId="1" xfId="0" applyNumberFormat="1" applyFont="1" applyFill="1" applyBorder="1" applyAlignment="1" applyProtection="1">
      <alignment horizontal="center" vertical="center"/>
      <protection locked="0"/>
    </xf>
    <xf numFmtId="0" fontId="46" fillId="16" borderId="4" xfId="8" applyFont="1" applyFill="1" applyBorder="1" applyAlignment="1" applyProtection="1">
      <alignment horizontal="center" vertical="center" wrapText="1"/>
      <protection locked="0"/>
    </xf>
    <xf numFmtId="0" fontId="60" fillId="16" borderId="18" xfId="8" applyFont="1" applyFill="1" applyBorder="1" applyAlignment="1" applyProtection="1">
      <alignment horizontal="right" vertical="center" wrapText="1"/>
      <protection locked="0"/>
    </xf>
    <xf numFmtId="0" fontId="44" fillId="16" borderId="20" xfId="8" applyFont="1" applyFill="1" applyBorder="1" applyAlignment="1" applyProtection="1">
      <alignment vertical="center" wrapText="1"/>
      <protection locked="0"/>
    </xf>
    <xf numFmtId="0" fontId="58" fillId="16" borderId="1" xfId="0" applyFont="1" applyFill="1" applyBorder="1" applyAlignment="1" applyProtection="1">
      <alignment horizontal="center" wrapText="1"/>
      <protection locked="0"/>
    </xf>
    <xf numFmtId="0" fontId="47" fillId="16" borderId="7" xfId="0" applyFont="1" applyFill="1" applyBorder="1" applyAlignment="1" applyProtection="1">
      <alignment horizontal="center" vertical="center"/>
      <protection locked="0"/>
    </xf>
    <xf numFmtId="0" fontId="23" fillId="21" borderId="20" xfId="0" applyFont="1" applyFill="1" applyBorder="1" applyAlignment="1" applyProtection="1">
      <alignment vertical="center"/>
      <protection locked="0"/>
    </xf>
    <xf numFmtId="0" fontId="23" fillId="21" borderId="18" xfId="0" applyFont="1" applyFill="1" applyBorder="1" applyAlignment="1" applyProtection="1">
      <alignment horizontal="left" vertical="center"/>
      <protection locked="0"/>
    </xf>
    <xf numFmtId="10" fontId="47" fillId="16" borderId="21" xfId="0" applyNumberFormat="1" applyFont="1" applyFill="1" applyBorder="1" applyAlignment="1" applyProtection="1">
      <alignment horizontal="right" vertical="center"/>
    </xf>
    <xf numFmtId="10" fontId="49" fillId="7" borderId="1" xfId="0" applyNumberFormat="1" applyFont="1" applyFill="1" applyBorder="1" applyAlignment="1" applyProtection="1">
      <alignment horizontal="center" vertical="center"/>
      <protection locked="0"/>
    </xf>
    <xf numFmtId="0" fontId="47" fillId="21" borderId="57" xfId="0" applyFont="1" applyFill="1" applyBorder="1" applyAlignment="1" applyProtection="1">
      <alignment vertical="center"/>
      <protection locked="0"/>
    </xf>
    <xf numFmtId="0" fontId="47" fillId="21" borderId="36" xfId="0" applyFont="1" applyFill="1" applyBorder="1" applyAlignment="1" applyProtection="1">
      <alignment vertical="center"/>
      <protection locked="0"/>
    </xf>
    <xf numFmtId="0" fontId="47" fillId="21" borderId="62" xfId="0" applyFont="1" applyFill="1" applyBorder="1" applyAlignment="1" applyProtection="1">
      <alignment vertical="center"/>
      <protection locked="0"/>
    </xf>
    <xf numFmtId="0" fontId="47" fillId="21" borderId="20" xfId="0" applyFont="1" applyFill="1" applyBorder="1" applyAlignment="1" applyProtection="1">
      <alignment vertical="center"/>
      <protection locked="0"/>
    </xf>
    <xf numFmtId="0" fontId="23" fillId="12" borderId="5" xfId="0" applyFont="1" applyFill="1" applyBorder="1" applyAlignment="1" applyProtection="1">
      <alignment vertical="center"/>
      <protection locked="0"/>
    </xf>
    <xf numFmtId="0" fontId="23" fillId="12" borderId="20" xfId="0" applyFont="1" applyFill="1" applyBorder="1" applyAlignment="1" applyProtection="1">
      <alignment vertical="center"/>
      <protection locked="0"/>
    </xf>
    <xf numFmtId="0" fontId="23" fillId="16" borderId="5" xfId="0" applyFont="1" applyFill="1" applyBorder="1" applyAlignment="1" applyProtection="1">
      <alignment vertical="center"/>
      <protection locked="0"/>
    </xf>
    <xf numFmtId="10" fontId="49" fillId="18" borderId="5" xfId="0" applyNumberFormat="1" applyFont="1" applyFill="1" applyBorder="1" applyAlignment="1" applyProtection="1">
      <alignment horizontal="center" vertical="center"/>
      <protection locked="0"/>
    </xf>
    <xf numFmtId="4" fontId="49" fillId="18" borderId="5" xfId="0" applyNumberFormat="1" applyFont="1" applyFill="1" applyBorder="1" applyAlignment="1" applyProtection="1">
      <alignment horizontal="center" vertical="center"/>
      <protection locked="0"/>
    </xf>
    <xf numFmtId="0" fontId="23" fillId="12" borderId="1" xfId="0" applyFont="1" applyFill="1" applyBorder="1" applyAlignment="1" applyProtection="1">
      <alignment vertical="center"/>
      <protection locked="0"/>
    </xf>
    <xf numFmtId="0" fontId="47" fillId="21" borderId="8" xfId="0" applyFont="1" applyFill="1" applyBorder="1" applyAlignment="1" applyProtection="1">
      <alignment vertical="center"/>
      <protection locked="0"/>
    </xf>
    <xf numFmtId="0" fontId="47" fillId="21" borderId="19" xfId="0" applyFont="1" applyFill="1" applyBorder="1" applyAlignment="1" applyProtection="1">
      <alignment vertical="center"/>
      <protection locked="0"/>
    </xf>
    <xf numFmtId="0" fontId="47" fillId="21" borderId="7" xfId="0" applyFont="1" applyFill="1" applyBorder="1" applyAlignment="1" applyProtection="1">
      <alignment vertical="center"/>
      <protection locked="0"/>
    </xf>
    <xf numFmtId="0" fontId="47" fillId="21" borderId="21" xfId="0" applyFont="1" applyFill="1" applyBorder="1" applyAlignment="1" applyProtection="1">
      <alignment vertical="center"/>
      <protection locked="0"/>
    </xf>
    <xf numFmtId="0" fontId="80" fillId="21" borderId="20" xfId="0" applyFont="1" applyFill="1" applyBorder="1" applyAlignment="1" applyProtection="1">
      <alignment vertical="center"/>
      <protection locked="0"/>
    </xf>
    <xf numFmtId="0" fontId="58" fillId="21" borderId="20" xfId="0" applyFont="1" applyFill="1" applyBorder="1" applyAlignment="1" applyProtection="1">
      <alignment vertical="center"/>
      <protection locked="0"/>
    </xf>
    <xf numFmtId="0" fontId="58" fillId="16" borderId="20" xfId="0" applyFont="1" applyFill="1" applyBorder="1" applyAlignment="1" applyProtection="1">
      <alignment vertical="center"/>
      <protection locked="0"/>
    </xf>
    <xf numFmtId="0" fontId="58" fillId="21" borderId="5" xfId="0" applyFont="1" applyFill="1" applyBorder="1" applyAlignment="1" applyProtection="1">
      <alignment vertical="center"/>
      <protection locked="0"/>
    </xf>
    <xf numFmtId="0" fontId="49" fillId="18" borderId="1" xfId="0" applyFont="1" applyFill="1" applyBorder="1" applyAlignment="1" applyProtection="1">
      <alignment horizontal="center" vertical="center"/>
      <protection locked="0"/>
    </xf>
    <xf numFmtId="0" fontId="23" fillId="21" borderId="1" xfId="0" applyFont="1" applyFill="1" applyBorder="1" applyAlignment="1" applyProtection="1">
      <alignment vertical="center"/>
      <protection locked="0"/>
    </xf>
    <xf numFmtId="0" fontId="44" fillId="16" borderId="5" xfId="8" applyFont="1" applyFill="1" applyBorder="1" applyAlignment="1" applyProtection="1">
      <alignment vertical="center" wrapText="1"/>
      <protection locked="0"/>
    </xf>
    <xf numFmtId="9" fontId="92" fillId="7" borderId="1" xfId="10" applyFont="1" applyFill="1" applyBorder="1" applyAlignment="1" applyProtection="1">
      <alignment horizontal="center" vertical="center" wrapText="1"/>
      <protection locked="0"/>
    </xf>
    <xf numFmtId="0" fontId="47" fillId="16" borderId="5" xfId="0" applyFont="1" applyFill="1" applyBorder="1" applyAlignment="1" applyProtection="1">
      <alignment vertical="center" wrapText="1"/>
      <protection locked="0"/>
    </xf>
    <xf numFmtId="0" fontId="47" fillId="16" borderId="20" xfId="0" applyFont="1" applyFill="1" applyBorder="1" applyAlignment="1" applyProtection="1">
      <alignment vertical="center" wrapText="1"/>
      <protection locked="0"/>
    </xf>
    <xf numFmtId="0" fontId="23" fillId="28" borderId="20" xfId="0" applyFont="1" applyFill="1" applyBorder="1" applyAlignment="1" applyProtection="1">
      <alignment vertical="center"/>
      <protection locked="0"/>
    </xf>
    <xf numFmtId="0" fontId="23" fillId="28" borderId="5" xfId="0" applyFont="1" applyFill="1" applyBorder="1" applyAlignment="1" applyProtection="1">
      <alignment vertical="center"/>
      <protection locked="0"/>
    </xf>
    <xf numFmtId="0" fontId="23" fillId="28" borderId="18" xfId="0" applyFont="1" applyFill="1" applyBorder="1" applyAlignment="1" applyProtection="1">
      <alignment vertical="center"/>
      <protection locked="0"/>
    </xf>
    <xf numFmtId="0" fontId="23" fillId="12" borderId="1" xfId="0" applyFont="1" applyFill="1" applyBorder="1" applyAlignment="1" applyProtection="1">
      <alignment horizontal="center" vertical="center" wrapText="1"/>
      <protection locked="0"/>
    </xf>
    <xf numFmtId="179" fontId="47" fillId="16" borderId="1" xfId="17" applyNumberFormat="1" applyFont="1" applyFill="1" applyBorder="1" applyAlignment="1" applyProtection="1">
      <alignment horizontal="center" vertical="center"/>
      <protection locked="0"/>
    </xf>
    <xf numFmtId="177" fontId="49" fillId="7" borderId="1" xfId="17" applyNumberFormat="1" applyFont="1" applyFill="1" applyBorder="1" applyAlignment="1" applyProtection="1">
      <alignment horizontal="center" vertical="center"/>
      <protection locked="0"/>
    </xf>
    <xf numFmtId="177" fontId="23" fillId="13" borderId="1" xfId="0" applyNumberFormat="1" applyFont="1" applyFill="1" applyBorder="1" applyAlignment="1" applyProtection="1">
      <alignment horizontal="center" vertical="center"/>
      <protection locked="0"/>
    </xf>
    <xf numFmtId="0" fontId="47" fillId="16" borderId="8" xfId="0" applyFont="1" applyFill="1" applyBorder="1" applyAlignment="1" applyProtection="1">
      <alignment vertical="center"/>
      <protection locked="0"/>
    </xf>
    <xf numFmtId="0" fontId="47" fillId="16" borderId="3" xfId="0" applyFont="1" applyFill="1" applyBorder="1" applyAlignment="1" applyProtection="1">
      <alignment vertical="center"/>
      <protection locked="0"/>
    </xf>
    <xf numFmtId="0" fontId="47" fillId="16" borderId="7" xfId="0" applyFont="1" applyFill="1" applyBorder="1" applyAlignment="1" applyProtection="1">
      <alignment vertical="center"/>
      <protection locked="0"/>
    </xf>
    <xf numFmtId="166" fontId="49" fillId="16" borderId="0" xfId="0" applyNumberFormat="1" applyFont="1" applyFill="1" applyBorder="1" applyAlignment="1" applyProtection="1">
      <alignment vertical="center"/>
      <protection locked="0"/>
    </xf>
    <xf numFmtId="0" fontId="47" fillId="20" borderId="2" xfId="0" applyFont="1" applyFill="1" applyBorder="1" applyAlignment="1" applyProtection="1">
      <alignment horizontal="center" vertical="center"/>
      <protection locked="0"/>
    </xf>
    <xf numFmtId="0" fontId="47" fillId="20" borderId="1" xfId="0" applyFont="1" applyFill="1" applyBorder="1" applyAlignment="1" applyProtection="1">
      <alignment vertical="center"/>
      <protection locked="0"/>
    </xf>
    <xf numFmtId="166" fontId="49" fillId="19" borderId="1" xfId="0" applyNumberFormat="1" applyFont="1" applyFill="1" applyBorder="1" applyAlignment="1" applyProtection="1">
      <alignment horizontal="center" vertical="center"/>
      <protection locked="0"/>
    </xf>
    <xf numFmtId="0" fontId="42" fillId="3" borderId="0" xfId="0" applyFont="1" applyFill="1" applyAlignment="1" applyProtection="1">
      <alignment vertical="center"/>
    </xf>
    <xf numFmtId="0" fontId="42" fillId="20" borderId="1" xfId="0" applyFont="1" applyFill="1" applyBorder="1" applyAlignment="1" applyProtection="1">
      <alignment horizontal="right" vertical="center" wrapText="1"/>
    </xf>
    <xf numFmtId="0" fontId="42" fillId="17" borderId="0" xfId="0" applyFont="1" applyFill="1" applyAlignment="1" applyProtection="1">
      <alignment vertical="top" wrapText="1"/>
    </xf>
    <xf numFmtId="0" fontId="42" fillId="0" borderId="0" xfId="0" applyFont="1" applyProtection="1"/>
    <xf numFmtId="0" fontId="42" fillId="0" borderId="0" xfId="0" applyFont="1" applyAlignment="1" applyProtection="1">
      <alignment vertical="center"/>
    </xf>
    <xf numFmtId="0" fontId="42" fillId="17" borderId="0" xfId="0" applyFont="1" applyFill="1" applyAlignment="1" applyProtection="1">
      <alignment vertical="center" wrapText="1"/>
    </xf>
    <xf numFmtId="0" fontId="45" fillId="16" borderId="1" xfId="0" applyFont="1" applyFill="1" applyBorder="1" applyAlignment="1" applyProtection="1">
      <alignment horizontal="left" vertical="center"/>
    </xf>
    <xf numFmtId="0" fontId="42" fillId="0" borderId="1" xfId="0" applyFont="1" applyBorder="1" applyAlignment="1" applyProtection="1"/>
    <xf numFmtId="0" fontId="45" fillId="16" borderId="1" xfId="0" applyFont="1" applyFill="1" applyBorder="1" applyAlignment="1" applyProtection="1">
      <alignment vertical="center"/>
    </xf>
    <xf numFmtId="0" fontId="45" fillId="16" borderId="1" xfId="0" applyFont="1" applyFill="1" applyBorder="1" applyAlignment="1" applyProtection="1">
      <alignment horizontal="center" vertical="center"/>
    </xf>
    <xf numFmtId="0" fontId="42" fillId="16" borderId="1" xfId="0" applyFont="1" applyFill="1" applyBorder="1" applyAlignment="1" applyProtection="1">
      <alignment horizontal="center" vertical="center"/>
    </xf>
    <xf numFmtId="0" fontId="42" fillId="16" borderId="2" xfId="0" applyFont="1" applyFill="1" applyBorder="1" applyAlignment="1" applyProtection="1">
      <alignment horizontal="center" vertical="center"/>
    </xf>
    <xf numFmtId="0" fontId="42" fillId="16" borderId="1" xfId="0" applyFont="1" applyFill="1" applyBorder="1" applyAlignment="1" applyProtection="1">
      <alignment vertical="center"/>
    </xf>
    <xf numFmtId="0" fontId="42" fillId="16" borderId="5" xfId="0" applyFont="1" applyFill="1" applyBorder="1" applyAlignment="1" applyProtection="1">
      <alignment horizontal="left" vertical="center"/>
    </xf>
    <xf numFmtId="44" fontId="56" fillId="7" borderId="1" xfId="4" applyFont="1" applyFill="1" applyBorder="1" applyAlignment="1" applyProtection="1">
      <alignment vertical="center"/>
    </xf>
    <xf numFmtId="0" fontId="42" fillId="0" borderId="0" xfId="0" applyFont="1" applyAlignment="1" applyProtection="1">
      <alignment horizontal="center" textRotation="180"/>
    </xf>
    <xf numFmtId="9" fontId="56" fillId="7" borderId="1" xfId="10" applyFont="1" applyFill="1" applyBorder="1" applyAlignment="1" applyProtection="1">
      <alignment horizontal="center" vertical="center"/>
    </xf>
    <xf numFmtId="0" fontId="45" fillId="16" borderId="5" xfId="0" applyFont="1" applyFill="1" applyBorder="1" applyAlignment="1" applyProtection="1">
      <alignment horizontal="left" vertical="center" indent="5"/>
    </xf>
    <xf numFmtId="0" fontId="45" fillId="16" borderId="18" xfId="0" applyFont="1" applyFill="1" applyBorder="1" applyAlignment="1" applyProtection="1">
      <alignment horizontal="left" vertical="center" indent="5"/>
    </xf>
    <xf numFmtId="180" fontId="42" fillId="16" borderId="1" xfId="0" applyNumberFormat="1" applyFont="1" applyFill="1" applyBorder="1" applyAlignment="1" applyProtection="1">
      <alignment horizontal="center" vertical="center"/>
    </xf>
    <xf numFmtId="3" fontId="42" fillId="16" borderId="1" xfId="0" applyNumberFormat="1" applyFont="1" applyFill="1" applyBorder="1" applyAlignment="1" applyProtection="1">
      <alignment horizontal="center" vertical="center"/>
    </xf>
    <xf numFmtId="44" fontId="94" fillId="16" borderId="1" xfId="4" applyFont="1" applyFill="1" applyBorder="1" applyAlignment="1" applyProtection="1">
      <alignment vertical="center"/>
    </xf>
    <xf numFmtId="2" fontId="47" fillId="16" borderId="18" xfId="0" applyNumberFormat="1" applyFont="1" applyFill="1" applyBorder="1" applyAlignment="1" applyProtection="1">
      <alignment horizontal="center" vertical="center"/>
    </xf>
    <xf numFmtId="44" fontId="47" fillId="16" borderId="1" xfId="4" applyFont="1" applyFill="1" applyBorder="1" applyAlignment="1" applyProtection="1">
      <alignment horizontal="center" vertical="center"/>
    </xf>
    <xf numFmtId="10" fontId="47" fillId="16" borderId="1" xfId="0" applyNumberFormat="1" applyFont="1" applyFill="1" applyBorder="1" applyAlignment="1" applyProtection="1">
      <alignment horizontal="right" vertical="center"/>
    </xf>
    <xf numFmtId="9" fontId="47" fillId="16" borderId="1" xfId="10" applyFont="1" applyFill="1" applyBorder="1" applyAlignment="1" applyProtection="1">
      <alignment horizontal="center" vertical="center"/>
    </xf>
    <xf numFmtId="43" fontId="47" fillId="16" borderId="1" xfId="17" applyFont="1" applyFill="1" applyBorder="1" applyAlignment="1" applyProtection="1">
      <alignment horizontal="right" vertical="center"/>
    </xf>
    <xf numFmtId="44" fontId="47" fillId="16" borderId="1" xfId="4" applyFont="1" applyFill="1" applyBorder="1" applyAlignment="1" applyProtection="1">
      <alignment horizontal="right" vertical="center"/>
    </xf>
    <xf numFmtId="183" fontId="47" fillId="16" borderId="24" xfId="17" applyNumberFormat="1" applyFont="1" applyFill="1" applyBorder="1" applyAlignment="1" applyProtection="1">
      <alignment horizontal="center" vertical="center"/>
    </xf>
    <xf numFmtId="0" fontId="23" fillId="18" borderId="5" xfId="0" applyFont="1" applyFill="1" applyBorder="1" applyAlignment="1" applyProtection="1">
      <alignment vertical="center"/>
      <protection locked="0"/>
    </xf>
    <xf numFmtId="44" fontId="47" fillId="3" borderId="1" xfId="4" applyFont="1" applyFill="1" applyBorder="1" applyAlignment="1" applyProtection="1">
      <alignment horizontal="center" vertical="center"/>
    </xf>
    <xf numFmtId="2" fontId="47" fillId="3" borderId="1" xfId="17" applyNumberFormat="1" applyFont="1" applyFill="1" applyBorder="1" applyAlignment="1" applyProtection="1">
      <alignment horizontal="center" vertical="center"/>
    </xf>
    <xf numFmtId="181" fontId="6" fillId="38" borderId="74" xfId="4" applyNumberFormat="1" applyFont="1" applyFill="1" applyBorder="1" applyAlignment="1" applyProtection="1">
      <alignment horizontal="center" vertical="center"/>
      <protection locked="0"/>
    </xf>
    <xf numFmtId="0" fontId="42" fillId="0" borderId="0" xfId="0" applyFont="1" applyAlignment="1" applyProtection="1">
      <alignment horizontal="center"/>
    </xf>
    <xf numFmtId="0" fontId="77" fillId="36" borderId="1" xfId="0" applyFont="1" applyFill="1" applyBorder="1" applyAlignment="1">
      <alignment horizontal="center" vertical="center"/>
    </xf>
    <xf numFmtId="10" fontId="47" fillId="16" borderId="5" xfId="10" applyNumberFormat="1" applyFont="1" applyFill="1" applyBorder="1" applyAlignment="1" applyProtection="1">
      <alignment horizontal="center" vertical="center" wrapText="1"/>
    </xf>
    <xf numFmtId="0" fontId="5" fillId="0" borderId="0" xfId="0" applyFont="1"/>
    <xf numFmtId="0" fontId="5" fillId="0" borderId="0" xfId="0" applyFont="1" applyAlignment="1">
      <alignment horizontal="center"/>
    </xf>
    <xf numFmtId="0" fontId="75" fillId="33" borderId="93" xfId="0" applyFont="1" applyFill="1" applyBorder="1" applyAlignment="1">
      <alignment horizontal="center" vertical="center" wrapText="1"/>
    </xf>
    <xf numFmtId="181" fontId="76" fillId="0" borderId="93" xfId="4" applyNumberFormat="1" applyFont="1" applyFill="1" applyBorder="1" applyAlignment="1" applyProtection="1">
      <alignment horizontal="center" vertical="center" wrapText="1"/>
    </xf>
    <xf numFmtId="0" fontId="75" fillId="0" borderId="0" xfId="0" applyFont="1" applyFill="1" applyBorder="1" applyAlignment="1" applyProtection="1">
      <alignment horizontal="center" vertical="center" wrapText="1"/>
    </xf>
    <xf numFmtId="0" fontId="76" fillId="0" borderId="0" xfId="0" applyFont="1" applyFill="1" applyBorder="1"/>
    <xf numFmtId="0" fontId="76" fillId="0" borderId="0" xfId="0" applyFont="1" applyFill="1"/>
    <xf numFmtId="0" fontId="42" fillId="0" borderId="93" xfId="0" applyFont="1" applyBorder="1" applyAlignment="1">
      <alignment vertical="center" wrapText="1"/>
    </xf>
    <xf numFmtId="0" fontId="46" fillId="0" borderId="0" xfId="7" applyFont="1" applyBorder="1" applyAlignment="1">
      <alignment horizontal="left" vertical="top"/>
    </xf>
    <xf numFmtId="0" fontId="46" fillId="0" borderId="0" xfId="7" applyFont="1" applyBorder="1" applyAlignment="1">
      <alignment horizontal="left" vertical="center"/>
    </xf>
    <xf numFmtId="10" fontId="95" fillId="3" borderId="0" xfId="7" applyNumberFormat="1" applyFont="1" applyFill="1" applyBorder="1" applyAlignment="1">
      <alignment horizontal="center" vertical="center"/>
    </xf>
    <xf numFmtId="44" fontId="91" fillId="7" borderId="1" xfId="4" applyFont="1" applyFill="1" applyBorder="1" applyAlignment="1">
      <alignment horizontal="left" vertical="center"/>
    </xf>
    <xf numFmtId="0" fontId="42" fillId="0" borderId="93" xfId="0" applyFont="1" applyBorder="1"/>
    <xf numFmtId="44" fontId="42" fillId="0" borderId="93" xfId="4" applyFont="1" applyBorder="1"/>
    <xf numFmtId="3" fontId="42" fillId="0" borderId="93" xfId="0" applyNumberFormat="1" applyFont="1" applyBorder="1"/>
    <xf numFmtId="3" fontId="42" fillId="0" borderId="93" xfId="0" applyNumberFormat="1" applyFont="1" applyFill="1" applyBorder="1"/>
    <xf numFmtId="0" fontId="42" fillId="0" borderId="92" xfId="0" applyFont="1" applyBorder="1"/>
    <xf numFmtId="0" fontId="42" fillId="0" borderId="18" xfId="0" applyFont="1" applyBorder="1"/>
    <xf numFmtId="0" fontId="42" fillId="0" borderId="93" xfId="0" applyFont="1" applyFill="1" applyBorder="1"/>
    <xf numFmtId="0" fontId="96" fillId="0" borderId="0" xfId="0" applyFont="1" applyAlignment="1" applyProtection="1">
      <alignment vertical="center"/>
    </xf>
    <xf numFmtId="0" fontId="97" fillId="7" borderId="0" xfId="0" applyFont="1" applyFill="1" applyAlignment="1" applyProtection="1">
      <alignment horizontal="centerContinuous" vertical="center"/>
    </xf>
    <xf numFmtId="0" fontId="87" fillId="18" borderId="0" xfId="0" applyFont="1" applyFill="1" applyBorder="1" applyAlignment="1" applyProtection="1">
      <alignment horizontal="centerContinuous" vertical="center"/>
    </xf>
    <xf numFmtId="0" fontId="98" fillId="7" borderId="0" xfId="0" applyFont="1" applyFill="1" applyAlignment="1" applyProtection="1">
      <alignment horizontal="centerContinuous" vertical="center"/>
    </xf>
    <xf numFmtId="0" fontId="97" fillId="7" borderId="0" xfId="0" applyFont="1" applyFill="1" applyAlignment="1" applyProtection="1">
      <alignment horizontal="centerContinuous" vertical="center" wrapText="1"/>
    </xf>
    <xf numFmtId="0" fontId="85" fillId="0" borderId="0" xfId="7" applyFont="1" applyBorder="1" applyAlignment="1">
      <alignment horizontal="center" vertical="center" wrapText="1"/>
    </xf>
    <xf numFmtId="44" fontId="42" fillId="0" borderId="93" xfId="0" applyNumberFormat="1" applyFont="1" applyBorder="1"/>
    <xf numFmtId="169" fontId="47" fillId="3" borderId="1" xfId="0" applyNumberFormat="1" applyFont="1" applyFill="1" applyBorder="1" applyAlignment="1" applyProtection="1">
      <alignment horizontal="center" vertical="center" wrapText="1"/>
    </xf>
    <xf numFmtId="44" fontId="5" fillId="0" borderId="0" xfId="0" applyNumberFormat="1" applyFont="1"/>
    <xf numFmtId="0" fontId="77" fillId="36" borderId="1" xfId="0" applyFont="1" applyFill="1" applyBorder="1" applyAlignment="1">
      <alignment vertical="center"/>
    </xf>
    <xf numFmtId="186" fontId="23" fillId="5" borderId="1" xfId="0" applyNumberFormat="1" applyFont="1" applyFill="1" applyBorder="1" applyAlignment="1" applyProtection="1">
      <alignment horizontal="center" vertical="center" wrapText="1"/>
    </xf>
    <xf numFmtId="186" fontId="23" fillId="3" borderId="1" xfId="0" applyNumberFormat="1" applyFont="1" applyFill="1" applyBorder="1" applyAlignment="1" applyProtection="1">
      <alignment horizontal="center" vertical="center" wrapText="1"/>
    </xf>
    <xf numFmtId="186" fontId="47" fillId="5" borderId="1" xfId="0" applyNumberFormat="1" applyFont="1" applyFill="1" applyBorder="1" applyAlignment="1" applyProtection="1">
      <alignment horizontal="center" vertical="center" wrapText="1"/>
    </xf>
    <xf numFmtId="186" fontId="47" fillId="3" borderId="1" xfId="0" applyNumberFormat="1" applyFont="1" applyFill="1" applyBorder="1" applyAlignment="1" applyProtection="1">
      <alignment horizontal="center" vertical="center" wrapText="1"/>
    </xf>
    <xf numFmtId="44" fontId="53" fillId="3" borderId="1" xfId="0" applyNumberFormat="1" applyFont="1" applyFill="1" applyBorder="1" applyAlignment="1" applyProtection="1">
      <alignment horizontal="center" vertical="center" wrapText="1"/>
    </xf>
    <xf numFmtId="186" fontId="68" fillId="3" borderId="1" xfId="0" applyNumberFormat="1" applyFont="1" applyFill="1" applyBorder="1" applyAlignment="1" applyProtection="1">
      <alignment horizontal="center" vertical="center" wrapText="1"/>
    </xf>
    <xf numFmtId="186" fontId="23" fillId="3" borderId="18" xfId="0" applyNumberFormat="1" applyFont="1" applyFill="1" applyBorder="1" applyAlignment="1" applyProtection="1">
      <alignment horizontal="center" vertical="center" wrapText="1"/>
    </xf>
    <xf numFmtId="186" fontId="23" fillId="5" borderId="18" xfId="0" applyNumberFormat="1" applyFont="1" applyFill="1" applyBorder="1" applyAlignment="1" applyProtection="1">
      <alignment horizontal="center" vertical="center" wrapText="1"/>
    </xf>
    <xf numFmtId="169" fontId="47" fillId="0" borderId="1" xfId="0" applyNumberFormat="1" applyFont="1" applyFill="1" applyBorder="1" applyAlignment="1" applyProtection="1">
      <alignment horizontal="center" vertical="center" wrapText="1"/>
    </xf>
    <xf numFmtId="169" fontId="47" fillId="0" borderId="2" xfId="0" applyNumberFormat="1" applyFont="1" applyFill="1" applyBorder="1" applyAlignment="1" applyProtection="1">
      <alignment horizontal="center" vertical="center" wrapText="1"/>
    </xf>
    <xf numFmtId="169" fontId="23" fillId="0" borderId="1" xfId="0" applyNumberFormat="1" applyFont="1" applyFill="1" applyBorder="1" applyAlignment="1" applyProtection="1">
      <alignment horizontal="center" vertical="center" wrapText="1"/>
    </xf>
    <xf numFmtId="44" fontId="23" fillId="11" borderId="1" xfId="4" applyNumberFormat="1" applyFont="1" applyFill="1" applyBorder="1" applyAlignment="1" applyProtection="1">
      <alignment horizontal="center" vertical="center" wrapText="1"/>
    </xf>
    <xf numFmtId="44" fontId="23" fillId="3" borderId="1" xfId="4" applyNumberFormat="1" applyFont="1" applyFill="1" applyBorder="1" applyAlignment="1" applyProtection="1">
      <alignment horizontal="center" vertical="center" wrapText="1"/>
    </xf>
    <xf numFmtId="0" fontId="4" fillId="0" borderId="93" xfId="0" applyFont="1" applyBorder="1" applyAlignment="1">
      <alignment horizontal="center" vertical="center"/>
    </xf>
    <xf numFmtId="0" fontId="5" fillId="0" borderId="93" xfId="0" applyFont="1" applyBorder="1" applyAlignment="1">
      <alignment horizontal="center" vertical="center"/>
    </xf>
    <xf numFmtId="44" fontId="5" fillId="0" borderId="93" xfId="0" applyNumberFormat="1" applyFont="1" applyBorder="1" applyAlignment="1">
      <alignment horizontal="center" vertical="center"/>
    </xf>
    <xf numFmtId="0" fontId="73" fillId="0" borderId="93" xfId="0" applyFont="1" applyBorder="1" applyAlignment="1">
      <alignment horizontal="center" vertical="center"/>
    </xf>
    <xf numFmtId="0" fontId="99" fillId="52" borderId="95" xfId="0" applyFont="1" applyFill="1" applyBorder="1" applyAlignment="1" applyProtection="1">
      <alignment horizontal="centerContinuous" vertical="center" wrapText="1"/>
    </xf>
    <xf numFmtId="0" fontId="84" fillId="0" borderId="5" xfId="0" applyFont="1" applyBorder="1" applyAlignment="1">
      <alignment horizontal="left" vertical="center"/>
    </xf>
    <xf numFmtId="0" fontId="77" fillId="36" borderId="1" xfId="0" applyFont="1" applyFill="1" applyBorder="1" applyAlignment="1">
      <alignment vertical="center" wrapText="1"/>
    </xf>
    <xf numFmtId="0" fontId="3" fillId="0" borderId="0" xfId="0" applyFont="1" applyProtection="1"/>
    <xf numFmtId="0" fontId="77" fillId="36" borderId="93" xfId="0" applyFont="1" applyFill="1" applyBorder="1" applyAlignment="1">
      <alignment horizontal="center" vertical="center"/>
    </xf>
    <xf numFmtId="0" fontId="77" fillId="36" borderId="93" xfId="0" applyFont="1" applyFill="1" applyBorder="1" applyAlignment="1">
      <alignment horizontal="center" vertical="center" wrapText="1"/>
    </xf>
    <xf numFmtId="0" fontId="3" fillId="0" borderId="93" xfId="0" applyFont="1" applyBorder="1" applyAlignment="1">
      <alignment vertical="center"/>
    </xf>
    <xf numFmtId="44" fontId="3" fillId="0" borderId="93" xfId="4" applyFont="1" applyBorder="1" applyAlignment="1">
      <alignment horizontal="center" vertical="center"/>
    </xf>
    <xf numFmtId="0" fontId="3" fillId="0" borderId="93" xfId="0" applyFont="1" applyBorder="1" applyAlignment="1">
      <alignment horizontal="left" vertical="center"/>
    </xf>
    <xf numFmtId="0" fontId="77" fillId="3" borderId="0" xfId="0" applyFont="1" applyFill="1" applyBorder="1" applyAlignment="1">
      <alignment vertical="center"/>
    </xf>
    <xf numFmtId="0" fontId="86" fillId="52" borderId="95" xfId="0" applyFont="1" applyFill="1" applyBorder="1" applyAlignment="1" applyProtection="1">
      <alignment horizontal="centerContinuous" vertical="center" wrapText="1"/>
    </xf>
    <xf numFmtId="0" fontId="77" fillId="27" borderId="93" xfId="7" applyFont="1" applyFill="1" applyBorder="1" applyAlignment="1">
      <alignment horizontal="center"/>
    </xf>
    <xf numFmtId="0" fontId="3" fillId="0" borderId="18" xfId="0" applyFont="1" applyBorder="1" applyProtection="1"/>
    <xf numFmtId="0" fontId="77" fillId="27" borderId="18" xfId="7" applyFont="1" applyFill="1" applyBorder="1" applyAlignment="1">
      <alignment horizontal="center"/>
    </xf>
    <xf numFmtId="0" fontId="77" fillId="0" borderId="93" xfId="7" applyFont="1" applyBorder="1" applyAlignment="1">
      <alignment vertical="center"/>
    </xf>
    <xf numFmtId="10" fontId="73" fillId="3" borderId="93" xfId="0" applyNumberFormat="1" applyFont="1" applyFill="1" applyBorder="1" applyAlignment="1" applyProtection="1">
      <alignment horizontal="center"/>
    </xf>
    <xf numFmtId="10" fontId="73" fillId="0" borderId="93" xfId="0" applyNumberFormat="1" applyFont="1" applyBorder="1" applyAlignment="1" applyProtection="1">
      <alignment horizontal="center"/>
    </xf>
    <xf numFmtId="0" fontId="78" fillId="0" borderId="93" xfId="7" applyFont="1" applyBorder="1" applyAlignment="1"/>
    <xf numFmtId="0" fontId="78" fillId="0" borderId="93" xfId="7" applyFont="1" applyBorder="1" applyAlignment="1">
      <alignment horizontal="center" vertical="center"/>
    </xf>
    <xf numFmtId="10" fontId="3" fillId="3" borderId="93" xfId="0" applyNumberFormat="1" applyFont="1" applyFill="1" applyBorder="1" applyProtection="1"/>
    <xf numFmtId="10" fontId="82" fillId="7" borderId="93" xfId="0" applyNumberFormat="1" applyFont="1" applyFill="1" applyBorder="1" applyProtection="1"/>
    <xf numFmtId="0" fontId="78" fillId="0" borderId="93" xfId="7" applyFont="1" applyBorder="1" applyAlignment="1">
      <alignment horizontal="left"/>
    </xf>
    <xf numFmtId="0" fontId="78" fillId="0" borderId="93" xfId="7" applyFont="1" applyBorder="1" applyAlignment="1">
      <alignment vertical="center"/>
    </xf>
    <xf numFmtId="0" fontId="78" fillId="0" borderId="93" xfId="7" applyFont="1" applyBorder="1" applyAlignment="1">
      <alignment horizontal="left" vertical="center"/>
    </xf>
    <xf numFmtId="0" fontId="3" fillId="0" borderId="93" xfId="0" applyFont="1" applyBorder="1" applyProtection="1"/>
    <xf numFmtId="0" fontId="3" fillId="3" borderId="93" xfId="0" applyFont="1" applyFill="1" applyBorder="1" applyProtection="1"/>
    <xf numFmtId="0" fontId="82" fillId="7" borderId="93" xfId="0" applyFont="1" applyFill="1" applyBorder="1" applyProtection="1"/>
    <xf numFmtId="0" fontId="86" fillId="0" borderId="93" xfId="7" applyFont="1" applyBorder="1" applyAlignment="1">
      <alignment horizontal="centerContinuous" vertical="center" wrapText="1"/>
    </xf>
    <xf numFmtId="0" fontId="3" fillId="0" borderId="18" xfId="0" applyFont="1" applyBorder="1" applyAlignment="1" applyProtection="1">
      <alignment horizontal="centerContinuous"/>
    </xf>
    <xf numFmtId="10" fontId="77" fillId="27" borderId="93" xfId="7" applyNumberFormat="1" applyFont="1" applyFill="1" applyBorder="1" applyAlignment="1">
      <alignment horizontal="center" vertical="center"/>
    </xf>
    <xf numFmtId="44" fontId="3" fillId="0" borderId="0" xfId="4" applyFont="1" applyProtection="1"/>
    <xf numFmtId="44" fontId="3" fillId="0" borderId="0" xfId="4" applyFont="1"/>
    <xf numFmtId="0" fontId="3" fillId="0" borderId="0" xfId="0" applyFont="1"/>
    <xf numFmtId="0" fontId="3" fillId="0" borderId="0" xfId="0" applyFont="1" applyAlignment="1">
      <alignment horizontal="centerContinuous"/>
    </xf>
    <xf numFmtId="0" fontId="73" fillId="0" borderId="0" xfId="0" applyFont="1" applyAlignment="1">
      <alignment horizontal="centerContinuous"/>
    </xf>
    <xf numFmtId="10" fontId="3" fillId="0" borderId="0" xfId="10" applyNumberFormat="1" applyFont="1"/>
    <xf numFmtId="44" fontId="3" fillId="0" borderId="93" xfId="4" applyFont="1" applyBorder="1"/>
    <xf numFmtId="0" fontId="3" fillId="15" borderId="93" xfId="0" applyFont="1" applyFill="1" applyBorder="1" applyAlignment="1">
      <alignment horizontal="center"/>
    </xf>
    <xf numFmtId="0" fontId="77" fillId="46" borderId="93" xfId="0" applyFont="1" applyFill="1" applyBorder="1" applyAlignment="1">
      <alignment horizontal="center" vertical="center" wrapText="1"/>
    </xf>
    <xf numFmtId="0" fontId="77" fillId="45" borderId="93" xfId="0" applyFont="1" applyFill="1" applyBorder="1" applyAlignment="1">
      <alignment horizontal="center" vertical="center" wrapText="1"/>
    </xf>
    <xf numFmtId="0" fontId="3" fillId="0" borderId="0" xfId="0" applyFont="1" applyAlignment="1">
      <alignment wrapText="1"/>
    </xf>
    <xf numFmtId="0" fontId="3" fillId="0" borderId="93" xfId="0" applyFont="1" applyBorder="1" applyAlignment="1">
      <alignment horizontal="center" vertical="center"/>
    </xf>
    <xf numFmtId="0" fontId="84" fillId="47" borderId="93" xfId="0" applyFont="1" applyFill="1" applyBorder="1" applyAlignment="1">
      <alignment horizontal="left" vertical="center" wrapText="1"/>
    </xf>
    <xf numFmtId="0" fontId="84" fillId="47" borderId="93" xfId="0" applyFont="1" applyFill="1" applyBorder="1" applyAlignment="1">
      <alignment horizontal="center" vertical="center" wrapText="1"/>
    </xf>
    <xf numFmtId="0" fontId="84" fillId="47" borderId="86" xfId="0" applyFont="1" applyFill="1" applyBorder="1" applyAlignment="1">
      <alignment horizontal="center" vertical="center" wrapText="1"/>
    </xf>
    <xf numFmtId="185" fontId="3" fillId="0" borderId="93" xfId="0" applyNumberFormat="1" applyFont="1" applyBorder="1" applyAlignment="1">
      <alignment vertical="center"/>
    </xf>
    <xf numFmtId="4" fontId="3" fillId="0" borderId="0" xfId="0" applyNumberFormat="1" applyFont="1"/>
    <xf numFmtId="9" fontId="3" fillId="0" borderId="0" xfId="10" applyFont="1"/>
    <xf numFmtId="0" fontId="3" fillId="0" borderId="0" xfId="0" applyFont="1" applyAlignment="1">
      <alignment vertical="center"/>
    </xf>
    <xf numFmtId="0" fontId="84" fillId="0" borderId="93" xfId="0" applyFont="1" applyBorder="1"/>
    <xf numFmtId="0" fontId="84" fillId="48" borderId="90" xfId="0" applyFont="1" applyFill="1" applyBorder="1" applyAlignment="1">
      <alignment vertical="center" wrapText="1"/>
    </xf>
    <xf numFmtId="0" fontId="84" fillId="48" borderId="15" xfId="0" applyFont="1" applyFill="1" applyBorder="1" applyAlignment="1">
      <alignment vertical="center" wrapText="1"/>
    </xf>
    <xf numFmtId="0" fontId="3" fillId="0" borderId="93" xfId="0" applyFont="1" applyBorder="1" applyAlignment="1">
      <alignment vertical="center" wrapText="1"/>
    </xf>
    <xf numFmtId="0" fontId="84" fillId="0" borderId="93" xfId="0" applyFont="1" applyBorder="1" applyAlignment="1">
      <alignment vertical="center" wrapText="1"/>
    </xf>
    <xf numFmtId="0" fontId="73" fillId="43" borderId="86" xfId="0" applyFont="1" applyFill="1" applyBorder="1" applyAlignment="1">
      <alignment horizontal="centerContinuous" vertical="center"/>
    </xf>
    <xf numFmtId="0" fontId="73" fillId="43" borderId="92" xfId="0" applyFont="1" applyFill="1" applyBorder="1" applyAlignment="1">
      <alignment horizontal="centerContinuous" vertical="center"/>
    </xf>
    <xf numFmtId="0" fontId="3" fillId="15" borderId="93" xfId="0" applyFont="1" applyFill="1" applyBorder="1" applyAlignment="1">
      <alignment horizontal="center" vertical="center"/>
    </xf>
    <xf numFmtId="0" fontId="3" fillId="0" borderId="4" xfId="0" applyFont="1" applyBorder="1" applyAlignment="1">
      <alignment horizontal="center" vertical="center"/>
    </xf>
    <xf numFmtId="0" fontId="3" fillId="0" borderId="4" xfId="0" applyFont="1" applyBorder="1" applyAlignment="1">
      <alignment vertical="center"/>
    </xf>
    <xf numFmtId="0" fontId="77" fillId="49" borderId="86" xfId="0" applyFont="1" applyFill="1" applyBorder="1" applyAlignment="1">
      <alignment horizontal="centerContinuous" vertical="center" wrapText="1"/>
    </xf>
    <xf numFmtId="0" fontId="77" fillId="49" borderId="92" xfId="0" applyFont="1" applyFill="1" applyBorder="1" applyAlignment="1">
      <alignment horizontal="centerContinuous" vertical="center" wrapText="1"/>
    </xf>
    <xf numFmtId="0" fontId="77" fillId="45" borderId="0" xfId="0" applyFont="1" applyFill="1" applyAlignment="1">
      <alignment horizontal="center" vertical="center"/>
    </xf>
    <xf numFmtId="0" fontId="77" fillId="45" borderId="91" xfId="0" applyFont="1" applyFill="1" applyBorder="1" applyAlignment="1">
      <alignment horizontal="center" vertical="center"/>
    </xf>
    <xf numFmtId="0" fontId="3" fillId="0" borderId="18" xfId="0" applyFont="1" applyBorder="1" applyAlignment="1">
      <alignment vertical="center"/>
    </xf>
    <xf numFmtId="0" fontId="3" fillId="47" borderId="93" xfId="0" applyFont="1" applyFill="1" applyBorder="1" applyAlignment="1">
      <alignment horizontal="center" vertical="center"/>
    </xf>
    <xf numFmtId="0" fontId="3" fillId="0" borderId="18" xfId="0" applyFont="1" applyBorder="1" applyAlignment="1">
      <alignment vertical="center" wrapText="1"/>
    </xf>
    <xf numFmtId="0" fontId="3" fillId="0" borderId="94" xfId="0" applyFont="1" applyBorder="1" applyAlignment="1">
      <alignment vertical="center"/>
    </xf>
    <xf numFmtId="0" fontId="84" fillId="0" borderId="93" xfId="0" applyFont="1" applyBorder="1" applyAlignment="1">
      <alignment vertical="center"/>
    </xf>
    <xf numFmtId="0" fontId="3" fillId="47" borderId="18" xfId="0" applyFont="1" applyFill="1" applyBorder="1" applyAlignment="1">
      <alignment horizontal="center" vertical="center"/>
    </xf>
    <xf numFmtId="0" fontId="3" fillId="0" borderId="22" xfId="0" applyFont="1" applyBorder="1" applyAlignment="1">
      <alignment vertical="center"/>
    </xf>
    <xf numFmtId="0" fontId="91" fillId="0" borderId="93" xfId="0" applyFont="1" applyBorder="1" applyAlignment="1">
      <alignment horizontal="centerContinuous" vertical="center" wrapText="1"/>
    </xf>
    <xf numFmtId="0" fontId="73" fillId="0" borderId="93" xfId="0" applyFont="1" applyBorder="1" applyAlignment="1">
      <alignment horizontal="centerContinuous"/>
    </xf>
    <xf numFmtId="44" fontId="84" fillId="47" borderId="4" xfId="4" applyFont="1" applyFill="1" applyBorder="1" applyAlignment="1" applyProtection="1">
      <alignment horizontal="centerContinuous" vertical="center" wrapText="1"/>
    </xf>
    <xf numFmtId="44" fontId="84" fillId="47" borderId="93" xfId="4" applyFont="1" applyFill="1" applyBorder="1" applyAlignment="1" applyProtection="1">
      <alignment horizontal="center" vertical="center" wrapText="1"/>
    </xf>
    <xf numFmtId="44" fontId="84" fillId="47" borderId="0" xfId="4" applyFont="1" applyFill="1" applyBorder="1" applyAlignment="1" applyProtection="1">
      <alignment horizontal="center" vertical="center" wrapText="1"/>
    </xf>
    <xf numFmtId="0" fontId="3" fillId="0" borderId="0" xfId="0" applyFont="1" applyAlignment="1">
      <alignment horizontal="center" vertical="center"/>
    </xf>
    <xf numFmtId="44" fontId="3" fillId="0" borderId="0" xfId="0" applyNumberFormat="1" applyFont="1"/>
    <xf numFmtId="44" fontId="3" fillId="0" borderId="0" xfId="0" applyNumberFormat="1" applyFont="1" applyAlignment="1">
      <alignment horizontal="centerContinuous"/>
    </xf>
    <xf numFmtId="0" fontId="77" fillId="44" borderId="86" xfId="0" applyFont="1" applyFill="1" applyBorder="1" applyAlignment="1">
      <alignment horizontal="centerContinuous" vertical="center" wrapText="1"/>
    </xf>
    <xf numFmtId="0" fontId="77" fillId="44" borderId="92" xfId="0" applyFont="1" applyFill="1" applyBorder="1" applyAlignment="1">
      <alignment horizontal="centerContinuous" vertical="center" wrapText="1"/>
    </xf>
    <xf numFmtId="0" fontId="73" fillId="15" borderId="93" xfId="0" applyFont="1" applyFill="1" applyBorder="1" applyAlignment="1">
      <alignment horizontal="center" vertical="center"/>
    </xf>
    <xf numFmtId="185" fontId="77" fillId="45" borderId="93" xfId="0" applyNumberFormat="1" applyFont="1" applyFill="1" applyBorder="1" applyAlignment="1">
      <alignment horizontal="center" vertical="center" wrapText="1"/>
    </xf>
    <xf numFmtId="0" fontId="3" fillId="0" borderId="93" xfId="0" applyFont="1" applyBorder="1" applyAlignment="1">
      <alignment horizontal="center"/>
    </xf>
    <xf numFmtId="44" fontId="3" fillId="0" borderId="93" xfId="0" applyNumberFormat="1" applyFont="1" applyBorder="1"/>
    <xf numFmtId="0" fontId="84" fillId="0" borderId="0" xfId="0" applyFont="1" applyAlignment="1">
      <alignment vertical="center"/>
    </xf>
    <xf numFmtId="0" fontId="3" fillId="0" borderId="93" xfId="0" applyFont="1" applyBorder="1"/>
    <xf numFmtId="0" fontId="3" fillId="0" borderId="4" xfId="0" applyFont="1" applyBorder="1" applyAlignment="1">
      <alignment horizontal="center"/>
    </xf>
    <xf numFmtId="0" fontId="3" fillId="0" borderId="4" xfId="0" applyFont="1" applyBorder="1"/>
    <xf numFmtId="0" fontId="3" fillId="0" borderId="83" xfId="0" applyFont="1" applyBorder="1" applyAlignment="1">
      <alignment horizontal="center"/>
    </xf>
    <xf numFmtId="0" fontId="84" fillId="47" borderId="18" xfId="0" applyFont="1" applyFill="1" applyBorder="1" applyAlignment="1">
      <alignment horizontal="center" vertical="center" wrapText="1"/>
    </xf>
    <xf numFmtId="0" fontId="3" fillId="47" borderId="18" xfId="0" applyFont="1" applyFill="1" applyBorder="1" applyAlignment="1">
      <alignment horizontal="center"/>
    </xf>
    <xf numFmtId="0" fontId="3" fillId="47" borderId="93" xfId="0" applyFont="1" applyFill="1" applyBorder="1" applyAlignment="1">
      <alignment horizontal="center"/>
    </xf>
    <xf numFmtId="0" fontId="3" fillId="0" borderId="18" xfId="0" applyFont="1" applyBorder="1" applyAlignment="1">
      <alignment horizontal="center"/>
    </xf>
    <xf numFmtId="0" fontId="3" fillId="0" borderId="86" xfId="0" applyFont="1" applyBorder="1" applyAlignment="1">
      <alignment horizontal="center" vertical="center"/>
    </xf>
    <xf numFmtId="0" fontId="77" fillId="44" borderId="85" xfId="0" applyFont="1" applyFill="1" applyBorder="1" applyAlignment="1">
      <alignment horizontal="centerContinuous" vertical="center" wrapText="1"/>
    </xf>
    <xf numFmtId="0" fontId="3" fillId="0" borderId="18" xfId="0" applyFont="1" applyBorder="1"/>
    <xf numFmtId="0" fontId="3" fillId="0" borderId="18" xfId="0" applyFont="1" applyBorder="1" applyAlignment="1">
      <alignment wrapText="1"/>
    </xf>
    <xf numFmtId="0" fontId="3" fillId="0" borderId="93" xfId="0" applyFont="1" applyBorder="1" applyAlignment="1">
      <alignment wrapText="1"/>
    </xf>
    <xf numFmtId="0" fontId="3" fillId="0" borderId="18" xfId="0" applyFont="1" applyBorder="1" applyAlignment="1">
      <alignment horizontal="center" vertical="center"/>
    </xf>
    <xf numFmtId="0" fontId="3" fillId="0" borderId="93" xfId="0" applyFont="1" applyBorder="1" applyAlignment="1">
      <alignment vertical="top" wrapText="1"/>
    </xf>
    <xf numFmtId="44" fontId="3" fillId="0" borderId="93" xfId="0" applyNumberFormat="1" applyFont="1" applyBorder="1" applyAlignment="1">
      <alignment vertical="center"/>
    </xf>
    <xf numFmtId="0" fontId="91" fillId="0" borderId="4" xfId="0" applyFont="1" applyBorder="1" applyAlignment="1">
      <alignment horizontal="center" vertical="center" wrapText="1"/>
    </xf>
    <xf numFmtId="0" fontId="77" fillId="33" borderId="1" xfId="0" applyFont="1" applyFill="1" applyBorder="1" applyAlignment="1">
      <alignment horizontal="center" vertical="center"/>
    </xf>
    <xf numFmtId="0" fontId="77" fillId="33" borderId="93" xfId="0" applyFont="1" applyFill="1" applyBorder="1" applyAlignment="1">
      <alignment horizontal="center" vertical="center"/>
    </xf>
    <xf numFmtId="4" fontId="3" fillId="0" borderId="1" xfId="0" applyNumberFormat="1" applyFont="1" applyFill="1" applyBorder="1" applyAlignment="1" applyProtection="1">
      <alignment horizontal="left" vertical="center"/>
    </xf>
    <xf numFmtId="4" fontId="3" fillId="0" borderId="1" xfId="0" applyNumberFormat="1" applyFont="1" applyFill="1" applyBorder="1" applyAlignment="1" applyProtection="1">
      <alignment horizontal="center" vertical="center"/>
    </xf>
    <xf numFmtId="181" fontId="3" fillId="3" borderId="1" xfId="0" applyNumberFormat="1" applyFont="1" applyFill="1" applyBorder="1" applyAlignment="1" applyProtection="1">
      <alignment horizontal="center" vertical="center"/>
    </xf>
    <xf numFmtId="181" fontId="3" fillId="0" borderId="1" xfId="0" applyNumberFormat="1" applyFont="1" applyFill="1" applyBorder="1" applyAlignment="1" applyProtection="1">
      <alignment horizontal="center" vertical="center"/>
    </xf>
    <xf numFmtId="4" fontId="3" fillId="3" borderId="1" xfId="0" applyNumberFormat="1" applyFont="1" applyFill="1" applyBorder="1" applyAlignment="1" applyProtection="1">
      <alignment horizontal="left" vertical="center"/>
    </xf>
    <xf numFmtId="4" fontId="3" fillId="3" borderId="1" xfId="0" applyNumberFormat="1" applyFont="1" applyFill="1" applyBorder="1" applyAlignment="1" applyProtection="1">
      <alignment horizontal="center" vertical="center"/>
    </xf>
    <xf numFmtId="0" fontId="77" fillId="42" borderId="1" xfId="0" applyFont="1" applyFill="1" applyBorder="1" applyAlignment="1">
      <alignment vertical="center"/>
    </xf>
    <xf numFmtId="0" fontId="77" fillId="42" borderId="93" xfId="0" applyFont="1" applyFill="1" applyBorder="1" applyAlignment="1">
      <alignment vertical="center"/>
    </xf>
    <xf numFmtId="0" fontId="44" fillId="0" borderId="21" xfId="0" applyFont="1" applyBorder="1" applyAlignment="1" applyProtection="1">
      <alignment horizontal="center" vertical="center"/>
    </xf>
    <xf numFmtId="0" fontId="44" fillId="0" borderId="0" xfId="0" applyFont="1" applyBorder="1" applyAlignment="1" applyProtection="1">
      <alignment horizontal="center" vertical="center"/>
    </xf>
    <xf numFmtId="0" fontId="42" fillId="0" borderId="5" xfId="0" applyFont="1" applyBorder="1" applyProtection="1"/>
    <xf numFmtId="0" fontId="42" fillId="0" borderId="20" xfId="0" applyFont="1" applyBorder="1" applyProtection="1"/>
    <xf numFmtId="0" fontId="42" fillId="0" borderId="18" xfId="0" applyFont="1" applyBorder="1" applyProtection="1"/>
    <xf numFmtId="0" fontId="42" fillId="0" borderId="1" xfId="0" applyFont="1" applyBorder="1" applyAlignment="1" applyProtection="1">
      <alignment vertical="center"/>
    </xf>
    <xf numFmtId="0" fontId="42" fillId="0" borderId="96" xfId="0" applyFont="1" applyBorder="1" applyProtection="1"/>
    <xf numFmtId="0" fontId="42" fillId="0" borderId="95" xfId="0" applyFont="1" applyBorder="1" applyProtection="1"/>
    <xf numFmtId="0" fontId="42" fillId="0" borderId="94" xfId="0" applyFont="1" applyBorder="1" applyProtection="1"/>
    <xf numFmtId="0" fontId="42" fillId="0" borderId="89" xfId="0" applyFont="1" applyBorder="1" applyAlignment="1" applyProtection="1">
      <alignment vertical="center"/>
    </xf>
    <xf numFmtId="0" fontId="44" fillId="33" borderId="5" xfId="0" applyFont="1" applyFill="1" applyBorder="1" applyAlignment="1" applyProtection="1">
      <alignment horizontal="centerContinuous" vertical="center"/>
    </xf>
    <xf numFmtId="0" fontId="44" fillId="33" borderId="20" xfId="0" applyFont="1" applyFill="1" applyBorder="1" applyAlignment="1" applyProtection="1">
      <alignment horizontal="centerContinuous" vertical="center"/>
    </xf>
    <xf numFmtId="0" fontId="44" fillId="33" borderId="18" xfId="0" applyFont="1" applyFill="1" applyBorder="1" applyAlignment="1" applyProtection="1">
      <alignment horizontal="centerContinuous" vertical="center"/>
    </xf>
    <xf numFmtId="0" fontId="102" fillId="0" borderId="0" xfId="0" applyFont="1" applyAlignment="1" applyProtection="1">
      <alignment horizontal="justify" vertical="center"/>
    </xf>
    <xf numFmtId="0" fontId="44" fillId="33" borderId="1" xfId="0" applyFont="1" applyFill="1" applyBorder="1" applyAlignment="1" applyProtection="1">
      <alignment horizontal="center" vertical="center" wrapText="1"/>
    </xf>
    <xf numFmtId="0" fontId="42" fillId="3" borderId="18" xfId="0" applyFont="1" applyFill="1" applyBorder="1" applyAlignment="1" applyProtection="1">
      <alignment horizontal="center" vertical="center" wrapText="1"/>
    </xf>
    <xf numFmtId="44" fontId="46" fillId="50" borderId="7" xfId="0" applyNumberFormat="1" applyFont="1" applyFill="1" applyBorder="1" applyAlignment="1" applyProtection="1">
      <alignment horizontal="center" vertical="center" wrapText="1"/>
    </xf>
    <xf numFmtId="44" fontId="46" fillId="50" borderId="7" xfId="0" applyNumberFormat="1" applyFont="1" applyFill="1" applyBorder="1" applyAlignment="1" applyProtection="1">
      <alignment horizontal="right" vertical="center" wrapText="1"/>
    </xf>
    <xf numFmtId="7" fontId="42" fillId="3" borderId="1" xfId="4" applyNumberFormat="1" applyFont="1" applyFill="1" applyBorder="1" applyAlignment="1" applyProtection="1">
      <alignment horizontal="right" vertical="center" wrapText="1"/>
    </xf>
    <xf numFmtId="0" fontId="45" fillId="3" borderId="18" xfId="0" applyFont="1" applyFill="1" applyBorder="1" applyAlignment="1" applyProtection="1">
      <alignment horizontal="center" vertical="center" wrapText="1"/>
    </xf>
    <xf numFmtId="44" fontId="44" fillId="50" borderId="83" xfId="0" applyNumberFormat="1" applyFont="1" applyFill="1" applyBorder="1" applyAlignment="1" applyProtection="1">
      <alignment horizontal="center" vertical="center" wrapText="1"/>
    </xf>
    <xf numFmtId="44" fontId="44" fillId="50" borderId="83" xfId="0" applyNumberFormat="1" applyFont="1" applyFill="1" applyBorder="1" applyAlignment="1" applyProtection="1">
      <alignment horizontal="right" vertical="center" wrapText="1"/>
    </xf>
    <xf numFmtId="7" fontId="44" fillId="50" borderId="83" xfId="0" applyNumberFormat="1" applyFont="1" applyFill="1" applyBorder="1" applyAlignment="1" applyProtection="1">
      <alignment horizontal="right" vertical="center" wrapText="1"/>
    </xf>
    <xf numFmtId="7" fontId="44" fillId="50" borderId="93" xfId="0" applyNumberFormat="1" applyFont="1" applyFill="1" applyBorder="1" applyAlignment="1" applyProtection="1">
      <alignment horizontal="right" vertical="center" wrapText="1"/>
    </xf>
    <xf numFmtId="0" fontId="42" fillId="43" borderId="18" xfId="0" applyFont="1" applyFill="1" applyBorder="1" applyAlignment="1" applyProtection="1">
      <alignment horizontal="center" vertical="center" wrapText="1"/>
    </xf>
    <xf numFmtId="44" fontId="42" fillId="43" borderId="1" xfId="4" applyNumberFormat="1" applyFont="1" applyFill="1" applyBorder="1" applyAlignment="1" applyProtection="1">
      <alignment horizontal="center" vertical="center" wrapText="1"/>
    </xf>
    <xf numFmtId="44" fontId="42" fillId="43" borderId="1" xfId="4" applyNumberFormat="1" applyFont="1" applyFill="1" applyBorder="1" applyAlignment="1" applyProtection="1">
      <alignment horizontal="right" vertical="center" wrapText="1"/>
    </xf>
    <xf numFmtId="7" fontId="42" fillId="43" borderId="1" xfId="4" applyNumberFormat="1" applyFont="1" applyFill="1" applyBorder="1" applyAlignment="1" applyProtection="1">
      <alignment horizontal="right" vertical="center" wrapText="1"/>
    </xf>
    <xf numFmtId="7" fontId="42" fillId="43" borderId="1" xfId="4" applyNumberFormat="1" applyFont="1" applyFill="1" applyBorder="1" applyAlignment="1" applyProtection="1">
      <alignment horizontal="center" vertical="center" wrapText="1"/>
    </xf>
    <xf numFmtId="0" fontId="45" fillId="43" borderId="18" xfId="0" applyFont="1" applyFill="1" applyBorder="1" applyAlignment="1" applyProtection="1">
      <alignment horizontal="center" vertical="center" wrapText="1"/>
    </xf>
    <xf numFmtId="7" fontId="45" fillId="43" borderId="93" xfId="4" applyNumberFormat="1" applyFont="1" applyFill="1" applyBorder="1" applyAlignment="1" applyProtection="1">
      <alignment horizontal="center" vertical="center" wrapText="1"/>
    </xf>
    <xf numFmtId="44" fontId="45" fillId="43" borderId="93" xfId="4" applyNumberFormat="1" applyFont="1" applyFill="1" applyBorder="1" applyAlignment="1" applyProtection="1">
      <alignment horizontal="right" vertical="center" wrapText="1"/>
    </xf>
    <xf numFmtId="7" fontId="45" fillId="43" borderId="93" xfId="4" applyNumberFormat="1" applyFont="1" applyFill="1" applyBorder="1" applyAlignment="1" applyProtection="1">
      <alignment horizontal="right" vertical="center" wrapText="1"/>
    </xf>
    <xf numFmtId="7" fontId="42" fillId="3" borderId="1" xfId="4" applyNumberFormat="1" applyFont="1" applyFill="1" applyBorder="1" applyAlignment="1" applyProtection="1">
      <alignment horizontal="center" vertical="center" wrapText="1"/>
    </xf>
    <xf numFmtId="44" fontId="42" fillId="3" borderId="1" xfId="4" applyNumberFormat="1" applyFont="1" applyFill="1" applyBorder="1" applyAlignment="1" applyProtection="1">
      <alignment horizontal="right" vertical="center" wrapText="1"/>
    </xf>
    <xf numFmtId="7" fontId="42" fillId="0" borderId="0" xfId="0" applyNumberFormat="1" applyFont="1" applyProtection="1"/>
    <xf numFmtId="7" fontId="45" fillId="3" borderId="93" xfId="4" applyNumberFormat="1" applyFont="1" applyFill="1" applyBorder="1" applyAlignment="1" applyProtection="1">
      <alignment horizontal="center" vertical="center" wrapText="1"/>
    </xf>
    <xf numFmtId="44" fontId="45" fillId="3" borderId="93" xfId="4" applyNumberFormat="1" applyFont="1" applyFill="1" applyBorder="1" applyAlignment="1" applyProtection="1">
      <alignment horizontal="right" vertical="center" wrapText="1"/>
    </xf>
    <xf numFmtId="0" fontId="45" fillId="0" borderId="86" xfId="0" applyFont="1" applyBorder="1" applyAlignment="1" applyProtection="1">
      <alignment horizontal="centerContinuous" wrapText="1"/>
    </xf>
    <xf numFmtId="0" fontId="45" fillId="0" borderId="92" xfId="0" applyFont="1" applyBorder="1" applyAlignment="1" applyProtection="1">
      <alignment horizontal="centerContinuous" wrapText="1"/>
    </xf>
    <xf numFmtId="0" fontId="45" fillId="0" borderId="18" xfId="0" applyFont="1" applyBorder="1" applyAlignment="1" applyProtection="1">
      <alignment horizontal="center" vertical="center" wrapText="1"/>
    </xf>
    <xf numFmtId="44" fontId="45" fillId="0" borderId="93" xfId="0" applyNumberFormat="1" applyFont="1" applyBorder="1" applyAlignment="1" applyProtection="1">
      <alignment horizontal="center" vertical="center" wrapText="1"/>
    </xf>
    <xf numFmtId="44" fontId="45" fillId="0" borderId="93" xfId="0" applyNumberFormat="1" applyFont="1" applyFill="1" applyBorder="1" applyAlignment="1" applyProtection="1">
      <alignment horizontal="right" vertical="center" wrapText="1"/>
    </xf>
    <xf numFmtId="44" fontId="45" fillId="0" borderId="93" xfId="0" applyNumberFormat="1" applyFont="1" applyBorder="1" applyAlignment="1" applyProtection="1">
      <alignment horizontal="right" vertical="center" wrapText="1"/>
    </xf>
    <xf numFmtId="0" fontId="45" fillId="0" borderId="0" xfId="0" applyFont="1" applyProtection="1"/>
    <xf numFmtId="44" fontId="45" fillId="0" borderId="0" xfId="4" applyFont="1" applyProtection="1"/>
    <xf numFmtId="7" fontId="45" fillId="0" borderId="0" xfId="0" applyNumberFormat="1" applyFont="1" applyFill="1" applyProtection="1"/>
    <xf numFmtId="7" fontId="45" fillId="0" borderId="0" xfId="0" applyNumberFormat="1" applyFont="1" applyProtection="1"/>
    <xf numFmtId="44" fontId="42" fillId="0" borderId="0" xfId="0" applyNumberFormat="1" applyFont="1" applyProtection="1"/>
    <xf numFmtId="0" fontId="102" fillId="0" borderId="0" xfId="0" applyFont="1" applyAlignment="1" applyProtection="1">
      <alignment vertical="center"/>
    </xf>
    <xf numFmtId="187" fontId="42" fillId="0" borderId="0" xfId="0" applyNumberFormat="1" applyFont="1" applyProtection="1"/>
    <xf numFmtId="8" fontId="42" fillId="0" borderId="0" xfId="0" applyNumberFormat="1" applyFont="1" applyProtection="1"/>
    <xf numFmtId="0" fontId="41" fillId="0" borderId="0" xfId="0" applyFont="1" applyAlignment="1" applyProtection="1">
      <alignment horizontal="justify" vertical="center"/>
    </xf>
    <xf numFmtId="0" fontId="103" fillId="52" borderId="95" xfId="0" applyFont="1" applyFill="1" applyBorder="1" applyAlignment="1" applyProtection="1">
      <alignment horizontal="centerContinuous" vertical="center" wrapText="1"/>
    </xf>
    <xf numFmtId="0" fontId="2" fillId="0" borderId="0" xfId="0" applyFont="1"/>
    <xf numFmtId="0" fontId="45" fillId="16" borderId="2" xfId="0" applyFont="1" applyFill="1" applyBorder="1" applyAlignment="1" applyProtection="1">
      <alignment horizontal="justify" vertical="center"/>
    </xf>
    <xf numFmtId="0" fontId="45" fillId="16" borderId="6" xfId="0" applyFont="1" applyFill="1" applyBorder="1" applyAlignment="1" applyProtection="1">
      <alignment horizontal="justify" vertical="center"/>
    </xf>
    <xf numFmtId="0" fontId="45" fillId="16" borderId="4" xfId="0" applyFont="1" applyFill="1" applyBorder="1" applyAlignment="1" applyProtection="1">
      <alignment horizontal="justify" vertical="center"/>
    </xf>
    <xf numFmtId="0" fontId="77" fillId="0" borderId="0" xfId="7" applyFont="1" applyFill="1" applyBorder="1" applyAlignment="1">
      <alignment horizontal="left" vertical="center" wrapText="1"/>
    </xf>
    <xf numFmtId="0" fontId="46" fillId="0" borderId="0" xfId="7" applyFont="1" applyBorder="1" applyAlignment="1">
      <alignment horizontal="justify" vertical="top" wrapText="1"/>
    </xf>
    <xf numFmtId="0" fontId="46" fillId="0" borderId="0" xfId="7" applyFont="1" applyBorder="1" applyAlignment="1">
      <alignment horizontal="justify" vertical="center" wrapText="1"/>
    </xf>
    <xf numFmtId="0" fontId="44" fillId="20" borderId="5" xfId="0" applyFont="1" applyFill="1" applyBorder="1" applyAlignment="1" applyProtection="1">
      <alignment horizontal="center" vertical="center" wrapText="1"/>
    </xf>
    <xf numFmtId="0" fontId="44" fillId="20" borderId="20" xfId="0" applyFont="1" applyFill="1" applyBorder="1" applyAlignment="1" applyProtection="1">
      <alignment horizontal="center" vertical="center" wrapText="1"/>
    </xf>
    <xf numFmtId="0" fontId="44" fillId="20" borderId="18" xfId="0" applyFont="1" applyFill="1" applyBorder="1" applyAlignment="1" applyProtection="1">
      <alignment horizontal="center" vertical="center" wrapText="1"/>
    </xf>
    <xf numFmtId="0" fontId="46" fillId="16" borderId="5" xfId="0" applyFont="1" applyFill="1" applyBorder="1" applyAlignment="1" applyProtection="1">
      <alignment horizontal="right" vertical="center"/>
    </xf>
    <xf numFmtId="0" fontId="46" fillId="16" borderId="20" xfId="0" applyFont="1" applyFill="1" applyBorder="1" applyAlignment="1" applyProtection="1">
      <alignment horizontal="right" vertical="center"/>
    </xf>
    <xf numFmtId="0" fontId="46" fillId="16" borderId="18" xfId="0" applyFont="1" applyFill="1" applyBorder="1" applyAlignment="1" applyProtection="1">
      <alignment horizontal="right" vertical="center"/>
    </xf>
    <xf numFmtId="0" fontId="45" fillId="16" borderId="2" xfId="0" applyFont="1" applyFill="1" applyBorder="1" applyAlignment="1" applyProtection="1">
      <alignment horizontal="center" vertical="center"/>
    </xf>
    <xf numFmtId="0" fontId="45" fillId="16" borderId="6" xfId="0" applyFont="1" applyFill="1" applyBorder="1" applyAlignment="1" applyProtection="1">
      <alignment horizontal="center" vertical="center"/>
    </xf>
    <xf numFmtId="0" fontId="45" fillId="16" borderId="4" xfId="0" applyFont="1" applyFill="1" applyBorder="1" applyAlignment="1" applyProtection="1">
      <alignment horizontal="center" vertical="center"/>
    </xf>
    <xf numFmtId="0" fontId="45" fillId="16" borderId="86" xfId="0" applyFont="1" applyFill="1" applyBorder="1" applyAlignment="1" applyProtection="1">
      <alignment horizontal="center" vertical="center"/>
    </xf>
    <xf numFmtId="0" fontId="45" fillId="16" borderId="18" xfId="0" applyFont="1" applyFill="1" applyBorder="1" applyAlignment="1" applyProtection="1">
      <alignment horizontal="center" vertical="center"/>
    </xf>
    <xf numFmtId="0" fontId="45" fillId="16" borderId="2" xfId="0" applyFont="1" applyFill="1" applyBorder="1" applyAlignment="1" applyProtection="1">
      <alignment horizontal="center" vertical="center" wrapText="1"/>
    </xf>
    <xf numFmtId="0" fontId="45" fillId="16" borderId="5" xfId="0" applyFont="1" applyFill="1" applyBorder="1" applyAlignment="1" applyProtection="1">
      <alignment horizontal="center" vertical="center"/>
    </xf>
    <xf numFmtId="0" fontId="45" fillId="16" borderId="20" xfId="0" applyFont="1" applyFill="1" applyBorder="1" applyAlignment="1" applyProtection="1">
      <alignment horizontal="center" vertical="center"/>
    </xf>
    <xf numFmtId="0" fontId="42" fillId="7" borderId="1" xfId="0" applyFont="1" applyFill="1" applyBorder="1" applyAlignment="1" applyProtection="1">
      <alignment horizontal="center" vertical="center"/>
    </xf>
    <xf numFmtId="0" fontId="42" fillId="31" borderId="5" xfId="0" applyFont="1" applyFill="1" applyBorder="1" applyAlignment="1" applyProtection="1">
      <alignment horizontal="left" vertical="center" wrapText="1"/>
    </xf>
    <xf numFmtId="0" fontId="42" fillId="31" borderId="20" xfId="0" applyFont="1" applyFill="1" applyBorder="1" applyAlignment="1" applyProtection="1">
      <alignment horizontal="left" vertical="center" wrapText="1"/>
    </xf>
    <xf numFmtId="0" fontId="42" fillId="31" borderId="18" xfId="0" applyFont="1" applyFill="1" applyBorder="1" applyAlignment="1" applyProtection="1">
      <alignment horizontal="left" vertical="center" wrapText="1"/>
    </xf>
    <xf numFmtId="20" fontId="93" fillId="23" borderId="5" xfId="0" applyNumberFormat="1" applyFont="1" applyFill="1" applyBorder="1" applyAlignment="1" applyProtection="1">
      <alignment horizontal="center" vertical="center" wrapText="1"/>
    </xf>
    <xf numFmtId="20" fontId="93" fillId="23" borderId="18" xfId="0" applyNumberFormat="1" applyFont="1" applyFill="1" applyBorder="1" applyAlignment="1" applyProtection="1">
      <alignment horizontal="center" vertical="center" wrapText="1"/>
    </xf>
    <xf numFmtId="175" fontId="93" fillId="23" borderId="5" xfId="0" applyNumberFormat="1" applyFont="1" applyFill="1" applyBorder="1" applyAlignment="1" applyProtection="1">
      <alignment horizontal="center" vertical="center" wrapText="1"/>
    </xf>
    <xf numFmtId="175" fontId="93" fillId="23" borderId="20" xfId="0" applyNumberFormat="1" applyFont="1" applyFill="1" applyBorder="1" applyAlignment="1" applyProtection="1">
      <alignment horizontal="center" vertical="center" wrapText="1"/>
    </xf>
    <xf numFmtId="175" fontId="93" fillId="23" borderId="18" xfId="0" applyNumberFormat="1" applyFont="1" applyFill="1" applyBorder="1" applyAlignment="1" applyProtection="1">
      <alignment horizontal="center" vertical="center" wrapText="1"/>
    </xf>
    <xf numFmtId="17" fontId="93" fillId="23" borderId="5" xfId="0" applyNumberFormat="1" applyFont="1" applyFill="1" applyBorder="1" applyAlignment="1" applyProtection="1">
      <alignment horizontal="center" vertical="center" wrapText="1"/>
    </xf>
    <xf numFmtId="17" fontId="93" fillId="23" borderId="20" xfId="0" applyNumberFormat="1" applyFont="1" applyFill="1" applyBorder="1" applyAlignment="1" applyProtection="1">
      <alignment horizontal="center" vertical="center" wrapText="1"/>
    </xf>
    <xf numFmtId="0" fontId="93" fillId="23" borderId="5" xfId="0" applyFont="1" applyFill="1" applyBorder="1" applyAlignment="1" applyProtection="1">
      <alignment horizontal="center" vertical="center" wrapText="1"/>
    </xf>
    <xf numFmtId="0" fontId="93" fillId="23" borderId="20" xfId="0" applyFont="1" applyFill="1" applyBorder="1" applyAlignment="1" applyProtection="1">
      <alignment horizontal="center" vertical="center" wrapText="1"/>
    </xf>
    <xf numFmtId="175" fontId="93" fillId="23" borderId="1" xfId="0" applyNumberFormat="1" applyFont="1" applyFill="1" applyBorder="1" applyAlignment="1" applyProtection="1">
      <alignment horizontal="center" vertical="center" wrapText="1"/>
    </xf>
    <xf numFmtId="0" fontId="42" fillId="7" borderId="20" xfId="0" applyFont="1" applyFill="1" applyBorder="1" applyAlignment="1" applyProtection="1">
      <alignment horizontal="center" vertical="center"/>
    </xf>
    <xf numFmtId="0" fontId="42" fillId="7" borderId="18" xfId="0" applyFont="1" applyFill="1" applyBorder="1" applyAlignment="1" applyProtection="1">
      <alignment horizontal="center" vertical="center"/>
    </xf>
    <xf numFmtId="0" fontId="42" fillId="7" borderId="5" xfId="0" applyFont="1" applyFill="1" applyBorder="1" applyAlignment="1" applyProtection="1">
      <alignment horizontal="left" vertical="center"/>
    </xf>
    <xf numFmtId="0" fontId="42" fillId="7" borderId="20" xfId="0" applyFont="1" applyFill="1" applyBorder="1" applyAlignment="1" applyProtection="1">
      <alignment horizontal="left" vertical="center"/>
    </xf>
    <xf numFmtId="0" fontId="42" fillId="7" borderId="18" xfId="0" applyFont="1" applyFill="1" applyBorder="1" applyAlignment="1" applyProtection="1">
      <alignment horizontal="left" vertical="center"/>
    </xf>
    <xf numFmtId="0" fontId="45" fillId="16" borderId="5" xfId="0" applyFont="1" applyFill="1" applyBorder="1" applyAlignment="1" applyProtection="1">
      <alignment horizontal="left" vertical="center"/>
    </xf>
    <xf numFmtId="0" fontId="45" fillId="16" borderId="18" xfId="0" applyFont="1" applyFill="1" applyBorder="1" applyAlignment="1" applyProtection="1">
      <alignment horizontal="left" vertical="center"/>
    </xf>
    <xf numFmtId="3" fontId="42" fillId="7" borderId="20" xfId="0" applyNumberFormat="1" applyFont="1" applyFill="1" applyBorder="1" applyAlignment="1" applyProtection="1">
      <alignment horizontal="center" vertical="center"/>
    </xf>
    <xf numFmtId="8" fontId="56" fillId="7" borderId="1" xfId="0" applyNumberFormat="1" applyFont="1" applyFill="1" applyBorder="1" applyAlignment="1" applyProtection="1">
      <alignment horizontal="center" vertical="center"/>
    </xf>
    <xf numFmtId="0" fontId="56" fillId="7" borderId="1" xfId="0" applyFont="1" applyFill="1" applyBorder="1" applyAlignment="1" applyProtection="1">
      <alignment horizontal="center" vertical="center"/>
    </xf>
    <xf numFmtId="0" fontId="42" fillId="16" borderId="2" xfId="0" applyFont="1" applyFill="1" applyBorder="1" applyAlignment="1" applyProtection="1">
      <alignment horizontal="center" vertical="center"/>
    </xf>
    <xf numFmtId="0" fontId="42" fillId="16" borderId="4" xfId="0" applyFont="1" applyFill="1" applyBorder="1" applyAlignment="1" applyProtection="1">
      <alignment horizontal="center" vertical="center"/>
    </xf>
    <xf numFmtId="0" fontId="42" fillId="16" borderId="89" xfId="0" applyFont="1" applyFill="1" applyBorder="1" applyAlignment="1" applyProtection="1">
      <alignment horizontal="center" vertical="center"/>
    </xf>
    <xf numFmtId="9" fontId="56" fillId="19" borderId="1" xfId="10" applyFont="1" applyFill="1" applyBorder="1" applyAlignment="1" applyProtection="1">
      <alignment horizontal="center" vertical="center" wrapText="1"/>
    </xf>
    <xf numFmtId="0" fontId="42" fillId="0" borderId="8" xfId="0" applyFont="1" applyBorder="1" applyAlignment="1" applyProtection="1">
      <alignment horizontal="left" vertical="center" wrapText="1"/>
    </xf>
    <xf numFmtId="0" fontId="42" fillId="0" borderId="9" xfId="0" applyFont="1" applyBorder="1" applyAlignment="1" applyProtection="1">
      <alignment horizontal="left" vertical="center" wrapText="1"/>
    </xf>
    <xf numFmtId="0" fontId="42" fillId="0" borderId="83" xfId="0" applyFont="1" applyBorder="1" applyAlignment="1" applyProtection="1">
      <alignment horizontal="left" vertical="center" wrapText="1"/>
    </xf>
    <xf numFmtId="0" fontId="42" fillId="0" borderId="22" xfId="0" applyFont="1" applyBorder="1" applyAlignment="1" applyProtection="1">
      <alignment horizontal="left" vertical="center" wrapText="1"/>
    </xf>
    <xf numFmtId="0" fontId="42" fillId="0" borderId="9" xfId="0" applyFont="1" applyBorder="1" applyAlignment="1" applyProtection="1">
      <alignment horizontal="left" vertical="center" indent="9"/>
    </xf>
    <xf numFmtId="0" fontId="42" fillId="0" borderId="22" xfId="0" applyFont="1" applyBorder="1" applyAlignment="1" applyProtection="1">
      <alignment horizontal="left" vertical="center" indent="9"/>
    </xf>
    <xf numFmtId="0" fontId="42" fillId="0" borderId="8" xfId="0" applyFont="1" applyBorder="1" applyAlignment="1" applyProtection="1">
      <alignment horizontal="left" vertical="center" indent="1"/>
    </xf>
    <xf numFmtId="0" fontId="42" fillId="0" borderId="83" xfId="0" applyFont="1" applyBorder="1" applyAlignment="1" applyProtection="1">
      <alignment horizontal="left" vertical="center" indent="1"/>
    </xf>
    <xf numFmtId="0" fontId="47" fillId="20" borderId="1" xfId="0" applyFont="1" applyFill="1" applyBorder="1" applyAlignment="1" applyProtection="1">
      <alignment horizontal="center" vertical="center"/>
      <protection locked="0"/>
    </xf>
    <xf numFmtId="0" fontId="47" fillId="21" borderId="27" xfId="0" applyFont="1" applyFill="1" applyBorder="1" applyAlignment="1" applyProtection="1">
      <alignment horizontal="left" vertical="center" wrapText="1"/>
      <protection locked="0"/>
    </xf>
    <xf numFmtId="0" fontId="47" fillId="21" borderId="64" xfId="0" applyFont="1" applyFill="1" applyBorder="1" applyAlignment="1" applyProtection="1">
      <alignment horizontal="left" vertical="center" wrapText="1"/>
      <protection locked="0"/>
    </xf>
    <xf numFmtId="0" fontId="47" fillId="21" borderId="21" xfId="0" applyFont="1" applyFill="1" applyBorder="1" applyAlignment="1" applyProtection="1">
      <alignment horizontal="left" vertical="center" wrapText="1"/>
      <protection locked="0"/>
    </xf>
    <xf numFmtId="0" fontId="47" fillId="21" borderId="22" xfId="0" applyFont="1" applyFill="1" applyBorder="1" applyAlignment="1" applyProtection="1">
      <alignment horizontal="left" vertical="center" wrapText="1"/>
      <protection locked="0"/>
    </xf>
    <xf numFmtId="10" fontId="47" fillId="16" borderId="1" xfId="0" applyNumberFormat="1" applyFont="1" applyFill="1" applyBorder="1" applyAlignment="1" applyProtection="1">
      <alignment horizontal="center" vertical="center"/>
      <protection locked="0"/>
    </xf>
    <xf numFmtId="0" fontId="44" fillId="30" borderId="1" xfId="8" applyFont="1" applyFill="1" applyBorder="1" applyAlignment="1" applyProtection="1">
      <alignment horizontal="left" vertical="center" wrapText="1"/>
      <protection locked="0"/>
    </xf>
    <xf numFmtId="9" fontId="49" fillId="18" borderId="1" xfId="10" applyFont="1" applyFill="1" applyBorder="1" applyAlignment="1" applyProtection="1">
      <alignment horizontal="center" vertical="center"/>
      <protection locked="0"/>
    </xf>
    <xf numFmtId="0" fontId="47" fillId="21" borderId="8" xfId="0" applyFont="1" applyFill="1" applyBorder="1" applyAlignment="1" applyProtection="1">
      <alignment horizontal="center" vertical="center"/>
      <protection locked="0"/>
    </xf>
    <xf numFmtId="0" fontId="47" fillId="21" borderId="3" xfId="0" applyFont="1" applyFill="1" applyBorder="1" applyAlignment="1" applyProtection="1">
      <alignment horizontal="center" vertical="center"/>
      <protection locked="0"/>
    </xf>
    <xf numFmtId="0" fontId="47" fillId="21" borderId="7" xfId="0" applyFont="1" applyFill="1" applyBorder="1" applyAlignment="1" applyProtection="1">
      <alignment horizontal="center" vertical="center"/>
      <protection locked="0"/>
    </xf>
    <xf numFmtId="0" fontId="47" fillId="21" borderId="8" xfId="0" applyFont="1" applyFill="1" applyBorder="1" applyAlignment="1" applyProtection="1">
      <alignment horizontal="left" vertical="center"/>
      <protection locked="0"/>
    </xf>
    <xf numFmtId="0" fontId="47" fillId="21" borderId="19" xfId="0" applyFont="1" applyFill="1" applyBorder="1" applyAlignment="1" applyProtection="1">
      <alignment horizontal="left" vertical="center"/>
      <protection locked="0"/>
    </xf>
    <xf numFmtId="0" fontId="47" fillId="21" borderId="7" xfId="0" applyFont="1" applyFill="1" applyBorder="1" applyAlignment="1" applyProtection="1">
      <alignment horizontal="left" vertical="center"/>
      <protection locked="0"/>
    </xf>
    <xf numFmtId="0" fontId="47" fillId="21" borderId="21" xfId="0" applyFont="1" applyFill="1" applyBorder="1" applyAlignment="1" applyProtection="1">
      <alignment horizontal="left" vertical="center"/>
      <protection locked="0"/>
    </xf>
    <xf numFmtId="0" fontId="23" fillId="21" borderId="89" xfId="0" applyFont="1" applyFill="1" applyBorder="1" applyAlignment="1" applyProtection="1">
      <alignment horizontal="center" vertical="center" wrapText="1"/>
      <protection locked="0"/>
    </xf>
    <xf numFmtId="0" fontId="23" fillId="21" borderId="6" xfId="0" applyFont="1" applyFill="1" applyBorder="1" applyAlignment="1" applyProtection="1">
      <alignment horizontal="center" vertical="center" wrapText="1"/>
      <protection locked="0"/>
    </xf>
    <xf numFmtId="0" fontId="23" fillId="21" borderId="4" xfId="0" applyFont="1" applyFill="1" applyBorder="1" applyAlignment="1" applyProtection="1">
      <alignment horizontal="center" vertical="center" wrapText="1"/>
      <protection locked="0"/>
    </xf>
    <xf numFmtId="0" fontId="58" fillId="21" borderId="89" xfId="0" applyFont="1" applyFill="1" applyBorder="1" applyAlignment="1" applyProtection="1">
      <alignment horizontal="center" vertical="center"/>
      <protection locked="0"/>
    </xf>
    <xf numFmtId="0" fontId="58" fillId="21" borderId="4" xfId="0" applyFont="1" applyFill="1" applyBorder="1" applyAlignment="1" applyProtection="1">
      <alignment horizontal="center" vertical="center"/>
      <protection locked="0"/>
    </xf>
    <xf numFmtId="0" fontId="77" fillId="37" borderId="5" xfId="0" applyFont="1" applyFill="1" applyBorder="1" applyAlignment="1" applyProtection="1">
      <alignment horizontal="center" vertical="center" wrapText="1"/>
    </xf>
    <xf numFmtId="0" fontId="77" fillId="37" borderId="20" xfId="0" applyFont="1" applyFill="1" applyBorder="1" applyAlignment="1" applyProtection="1">
      <alignment horizontal="center" vertical="center" wrapText="1"/>
    </xf>
    <xf numFmtId="0" fontId="77" fillId="37" borderId="92" xfId="0" applyFont="1" applyFill="1" applyBorder="1" applyAlignment="1" applyProtection="1">
      <alignment horizontal="center" vertical="center" wrapText="1"/>
    </xf>
    <xf numFmtId="0" fontId="7" fillId="40" borderId="5" xfId="0" applyFont="1" applyFill="1" applyBorder="1" applyAlignment="1" applyProtection="1">
      <alignment horizontal="left" vertical="center" wrapText="1"/>
    </xf>
    <xf numFmtId="0" fontId="7" fillId="40" borderId="20" xfId="0" applyFont="1" applyFill="1" applyBorder="1" applyAlignment="1" applyProtection="1">
      <alignment horizontal="left" vertical="center" wrapText="1"/>
    </xf>
    <xf numFmtId="0" fontId="7" fillId="40" borderId="82" xfId="0" applyFont="1" applyFill="1" applyBorder="1" applyAlignment="1" applyProtection="1">
      <alignment horizontal="left" vertical="center" wrapText="1"/>
    </xf>
    <xf numFmtId="0" fontId="78" fillId="40" borderId="5" xfId="0" applyFont="1" applyFill="1" applyBorder="1" applyAlignment="1" applyProtection="1">
      <alignment horizontal="left" vertical="center" wrapText="1"/>
    </xf>
    <xf numFmtId="0" fontId="78" fillId="40" borderId="20" xfId="0" applyFont="1" applyFill="1" applyBorder="1" applyAlignment="1" applyProtection="1">
      <alignment horizontal="left" vertical="center" wrapText="1"/>
    </xf>
    <xf numFmtId="0" fontId="78" fillId="40" borderId="82" xfId="0" applyFont="1" applyFill="1" applyBorder="1" applyAlignment="1" applyProtection="1">
      <alignment horizontal="left" vertical="center" wrapText="1"/>
    </xf>
    <xf numFmtId="0" fontId="77" fillId="39" borderId="1" xfId="0" applyFont="1" applyFill="1" applyBorder="1" applyAlignment="1" applyProtection="1">
      <alignment horizontal="center" vertical="center" wrapText="1"/>
    </xf>
    <xf numFmtId="0" fontId="77" fillId="39" borderId="93" xfId="0" applyFont="1" applyFill="1" applyBorder="1" applyAlignment="1" applyProtection="1">
      <alignment horizontal="center" vertical="center" wrapText="1"/>
    </xf>
    <xf numFmtId="0" fontId="77" fillId="33" borderId="5" xfId="0" applyFont="1" applyFill="1" applyBorder="1" applyAlignment="1" applyProtection="1">
      <alignment horizontal="center" vertical="center" wrapText="1"/>
    </xf>
    <xf numFmtId="0" fontId="77" fillId="33" borderId="20" xfId="0" applyFont="1" applyFill="1" applyBorder="1" applyAlignment="1" applyProtection="1">
      <alignment horizontal="center" vertical="center" wrapText="1"/>
    </xf>
    <xf numFmtId="0" fontId="77" fillId="33" borderId="18" xfId="0" applyFont="1" applyFill="1" applyBorder="1" applyAlignment="1" applyProtection="1">
      <alignment horizontal="center" vertical="center" wrapText="1"/>
    </xf>
    <xf numFmtId="0" fontId="77" fillId="8" borderId="5" xfId="0" applyFont="1" applyFill="1" applyBorder="1" applyAlignment="1">
      <alignment horizontal="center" vertical="center" wrapText="1"/>
    </xf>
    <xf numFmtId="0" fontId="77" fillId="8" borderId="20" xfId="0" applyFont="1" applyFill="1" applyBorder="1" applyAlignment="1">
      <alignment horizontal="center" vertical="center" wrapText="1"/>
    </xf>
    <xf numFmtId="0" fontId="77" fillId="8" borderId="18" xfId="0" applyFont="1" applyFill="1" applyBorder="1" applyAlignment="1">
      <alignment horizontal="center" vertical="center" wrapText="1"/>
    </xf>
    <xf numFmtId="0" fontId="86" fillId="37" borderId="7" xfId="0" applyFont="1" applyFill="1" applyBorder="1" applyAlignment="1" applyProtection="1">
      <alignment horizontal="center" vertical="center" wrapText="1"/>
    </xf>
    <xf numFmtId="0" fontId="86" fillId="37" borderId="21" xfId="0" applyFont="1" applyFill="1" applyBorder="1" applyAlignment="1" applyProtection="1">
      <alignment horizontal="center" vertical="center" wrapText="1"/>
    </xf>
    <xf numFmtId="0" fontId="86" fillId="37" borderId="85" xfId="0" applyFont="1" applyFill="1" applyBorder="1" applyAlignment="1" applyProtection="1">
      <alignment horizontal="center" vertical="center" wrapText="1"/>
    </xf>
    <xf numFmtId="0" fontId="77" fillId="9" borderId="1" xfId="0" applyFont="1" applyFill="1" applyBorder="1" applyAlignment="1" applyProtection="1">
      <alignment horizontal="center" vertical="center" wrapText="1"/>
    </xf>
    <xf numFmtId="0" fontId="77" fillId="9" borderId="88" xfId="0" applyFont="1" applyFill="1" applyBorder="1" applyAlignment="1" applyProtection="1">
      <alignment horizontal="center" vertical="center" wrapText="1"/>
    </xf>
    <xf numFmtId="0" fontId="77" fillId="33" borderId="1" xfId="0" applyFont="1" applyFill="1" applyBorder="1" applyAlignment="1" applyProtection="1">
      <alignment horizontal="center" vertical="center" wrapText="1"/>
    </xf>
    <xf numFmtId="0" fontId="103" fillId="37" borderId="7" xfId="0" applyFont="1" applyFill="1" applyBorder="1" applyAlignment="1" applyProtection="1">
      <alignment horizontal="center" vertical="center" wrapText="1"/>
    </xf>
    <xf numFmtId="0" fontId="103" fillId="37" borderId="21" xfId="0" applyFont="1" applyFill="1" applyBorder="1" applyAlignment="1" applyProtection="1">
      <alignment horizontal="center" vertical="center" wrapText="1"/>
    </xf>
    <xf numFmtId="0" fontId="103" fillId="37" borderId="85" xfId="0" applyFont="1" applyFill="1" applyBorder="1" applyAlignment="1" applyProtection="1">
      <alignment horizontal="center" vertical="center" wrapText="1"/>
    </xf>
    <xf numFmtId="0" fontId="7" fillId="0" borderId="74" xfId="0" applyFont="1" applyBorder="1" applyAlignment="1" applyProtection="1">
      <alignment horizontal="left" vertical="center" wrapText="1"/>
    </xf>
    <xf numFmtId="0" fontId="103" fillId="41" borderId="5" xfId="0" applyFont="1" applyFill="1" applyBorder="1" applyAlignment="1" applyProtection="1">
      <alignment horizontal="center" vertical="center" wrapText="1"/>
    </xf>
    <xf numFmtId="0" fontId="103" fillId="41" borderId="20" xfId="0" applyFont="1" applyFill="1" applyBorder="1" applyAlignment="1" applyProtection="1">
      <alignment horizontal="center" vertical="center" wrapText="1"/>
    </xf>
    <xf numFmtId="0" fontId="103" fillId="41" borderId="87" xfId="0" applyFont="1" applyFill="1" applyBorder="1" applyAlignment="1" applyProtection="1">
      <alignment horizontal="center" vertical="center" wrapText="1"/>
    </xf>
    <xf numFmtId="0" fontId="103" fillId="41" borderId="18" xfId="0" applyFont="1" applyFill="1" applyBorder="1" applyAlignment="1" applyProtection="1">
      <alignment horizontal="center" vertical="center" wrapText="1"/>
    </xf>
    <xf numFmtId="0" fontId="7" fillId="0" borderId="75" xfId="0" applyFont="1" applyBorder="1" applyAlignment="1" applyProtection="1">
      <alignment horizontal="left" vertical="center" wrapText="1"/>
    </xf>
    <xf numFmtId="0" fontId="7" fillId="0" borderId="76" xfId="0" applyFont="1" applyFill="1" applyBorder="1" applyAlignment="1" applyProtection="1">
      <alignment horizontal="left" vertical="center" wrapText="1"/>
    </xf>
    <xf numFmtId="0" fontId="7" fillId="0" borderId="77" xfId="0" applyFont="1" applyFill="1" applyBorder="1" applyAlignment="1" applyProtection="1">
      <alignment horizontal="left" vertical="center" wrapText="1"/>
    </xf>
    <xf numFmtId="0" fontId="7" fillId="0" borderId="80" xfId="0" applyFont="1" applyFill="1" applyBorder="1" applyAlignment="1" applyProtection="1">
      <alignment horizontal="left" vertical="center" wrapText="1"/>
    </xf>
    <xf numFmtId="0" fontId="7" fillId="0" borderId="74" xfId="0" applyFont="1" applyFill="1" applyBorder="1" applyAlignment="1" applyProtection="1">
      <alignment horizontal="left" vertical="center" wrapText="1"/>
    </xf>
    <xf numFmtId="0" fontId="77" fillId="41" borderId="5" xfId="0" applyFont="1" applyFill="1" applyBorder="1" applyAlignment="1" applyProtection="1">
      <alignment horizontal="center" vertical="center" wrapText="1"/>
    </xf>
    <xf numFmtId="0" fontId="77" fillId="41" borderId="20" xfId="0" applyFont="1" applyFill="1" applyBorder="1" applyAlignment="1" applyProtection="1">
      <alignment horizontal="center" vertical="center" wrapText="1"/>
    </xf>
    <xf numFmtId="0" fontId="77" fillId="41" borderId="92" xfId="0" applyFont="1" applyFill="1" applyBorder="1" applyAlignment="1" applyProtection="1">
      <alignment horizontal="center" vertical="center" wrapText="1"/>
    </xf>
    <xf numFmtId="0" fontId="77" fillId="9" borderId="93" xfId="0" applyFont="1" applyFill="1" applyBorder="1" applyAlignment="1" applyProtection="1">
      <alignment horizontal="center" vertical="center" wrapText="1"/>
    </xf>
    <xf numFmtId="0" fontId="5" fillId="0" borderId="9" xfId="0" applyFont="1" applyBorder="1" applyAlignment="1">
      <alignment horizontal="justify" vertical="center"/>
    </xf>
    <xf numFmtId="0" fontId="5" fillId="0" borderId="22" xfId="0" applyFont="1" applyBorder="1" applyAlignment="1">
      <alignment horizontal="justify" vertical="center"/>
    </xf>
    <xf numFmtId="0" fontId="45" fillId="0" borderId="0" xfId="0" applyFont="1" applyAlignment="1">
      <alignment horizontal="center" vertical="center"/>
    </xf>
    <xf numFmtId="0" fontId="45" fillId="0" borderId="85" xfId="0" applyFont="1" applyBorder="1" applyAlignment="1">
      <alignment horizontal="center" vertical="center"/>
    </xf>
    <xf numFmtId="3" fontId="42" fillId="0" borderId="93" xfId="0" applyNumberFormat="1" applyFont="1" applyBorder="1" applyAlignment="1">
      <alignment horizontal="center"/>
    </xf>
    <xf numFmtId="0" fontId="86" fillId="18" borderId="85" xfId="0" applyFont="1" applyFill="1" applyBorder="1" applyAlignment="1" applyProtection="1">
      <alignment horizontal="center" vertical="center"/>
    </xf>
    <xf numFmtId="0" fontId="77" fillId="33" borderId="93" xfId="0" applyFont="1" applyFill="1" applyBorder="1" applyAlignment="1">
      <alignment horizontal="center" vertical="center"/>
    </xf>
    <xf numFmtId="0" fontId="78" fillId="0" borderId="93" xfId="0" applyFont="1" applyBorder="1" applyAlignment="1">
      <alignment horizontal="left" vertical="center" wrapText="1"/>
    </xf>
    <xf numFmtId="0" fontId="84" fillId="0" borderId="89" xfId="0" applyFont="1" applyBorder="1" applyAlignment="1">
      <alignment horizontal="center" vertical="center"/>
    </xf>
    <xf numFmtId="0" fontId="84" fillId="0" borderId="4" xfId="0" applyFont="1" applyBorder="1" applyAlignment="1">
      <alignment horizontal="center" vertical="center"/>
    </xf>
    <xf numFmtId="44" fontId="86" fillId="45" borderId="89" xfId="4" applyFont="1" applyFill="1" applyBorder="1" applyAlignment="1">
      <alignment horizontal="center" vertical="center" wrapText="1"/>
    </xf>
    <xf numFmtId="44" fontId="86" fillId="45" borderId="4" xfId="4" applyFont="1" applyFill="1" applyBorder="1" applyAlignment="1">
      <alignment horizontal="center" vertical="center" wrapText="1"/>
    </xf>
    <xf numFmtId="44" fontId="77" fillId="45" borderId="89" xfId="0" applyNumberFormat="1" applyFont="1" applyFill="1" applyBorder="1" applyAlignment="1">
      <alignment horizontal="center" vertical="center" wrapText="1"/>
    </xf>
    <xf numFmtId="44" fontId="77" fillId="45" borderId="4" xfId="0" applyNumberFormat="1" applyFont="1" applyFill="1" applyBorder="1" applyAlignment="1">
      <alignment horizontal="center" vertical="center" wrapText="1"/>
    </xf>
    <xf numFmtId="0" fontId="77" fillId="0" borderId="95" xfId="7" applyFont="1" applyFill="1" applyBorder="1" applyAlignment="1">
      <alignment horizontal="center" vertical="center" wrapText="1"/>
    </xf>
    <xf numFmtId="0" fontId="78" fillId="0" borderId="0" xfId="7" applyFont="1" applyBorder="1" applyAlignment="1">
      <alignment horizontal="center" vertical="top" wrapText="1"/>
    </xf>
    <xf numFmtId="0" fontId="78" fillId="0" borderId="0" xfId="7" applyFont="1" applyBorder="1" applyAlignment="1">
      <alignment horizontal="center" vertical="center"/>
    </xf>
    <xf numFmtId="0" fontId="73" fillId="51" borderId="86" xfId="0" applyFont="1" applyFill="1" applyBorder="1" applyAlignment="1">
      <alignment horizontal="center" vertical="center" wrapText="1"/>
    </xf>
    <xf numFmtId="0" fontId="73" fillId="51" borderId="92" xfId="0" applyFont="1" applyFill="1" applyBorder="1" applyAlignment="1">
      <alignment horizontal="center" vertical="center" wrapText="1"/>
    </xf>
    <xf numFmtId="0" fontId="73" fillId="51" borderId="18" xfId="0" applyFont="1" applyFill="1" applyBorder="1" applyAlignment="1">
      <alignment horizontal="center" vertical="center" wrapText="1"/>
    </xf>
    <xf numFmtId="0" fontId="77" fillId="44" borderId="86" xfId="0" applyFont="1" applyFill="1" applyBorder="1" applyAlignment="1">
      <alignment horizontal="center" vertical="center" wrapText="1"/>
    </xf>
    <xf numFmtId="0" fontId="77" fillId="44" borderId="92" xfId="0" applyFont="1" applyFill="1" applyBorder="1" applyAlignment="1">
      <alignment horizontal="center" vertical="center" wrapText="1"/>
    </xf>
    <xf numFmtId="0" fontId="58" fillId="16" borderId="20" xfId="0" applyFont="1" applyFill="1" applyBorder="1" applyAlignment="1" applyProtection="1">
      <alignment horizontal="right" vertical="center"/>
    </xf>
    <xf numFmtId="0" fontId="58" fillId="16" borderId="18" xfId="0" applyFont="1" applyFill="1" applyBorder="1" applyAlignment="1" applyProtection="1">
      <alignment horizontal="right" vertical="center"/>
    </xf>
    <xf numFmtId="0" fontId="47" fillId="21" borderId="19" xfId="0" applyFont="1" applyFill="1" applyBorder="1" applyAlignment="1" applyProtection="1">
      <alignment horizontal="left" vertical="center"/>
    </xf>
    <xf numFmtId="0" fontId="47" fillId="21" borderId="0" xfId="0" applyFont="1" applyFill="1" applyBorder="1" applyAlignment="1" applyProtection="1">
      <alignment horizontal="left" vertical="center"/>
    </xf>
    <xf numFmtId="0" fontId="47" fillId="21" borderId="21" xfId="0" applyFont="1" applyFill="1" applyBorder="1" applyAlignment="1" applyProtection="1">
      <alignment horizontal="left" vertical="center"/>
    </xf>
    <xf numFmtId="0" fontId="58" fillId="21" borderId="8" xfId="0" applyFont="1" applyFill="1" applyBorder="1" applyAlignment="1" applyProtection="1">
      <alignment horizontal="center" vertical="center"/>
    </xf>
    <xf numFmtId="0" fontId="58" fillId="21" borderId="9" xfId="0" applyFont="1" applyFill="1" applyBorder="1" applyAlignment="1" applyProtection="1">
      <alignment horizontal="center" vertical="center"/>
    </xf>
    <xf numFmtId="0" fontId="58" fillId="21" borderId="7" xfId="0" applyFont="1" applyFill="1" applyBorder="1" applyAlignment="1" applyProtection="1">
      <alignment horizontal="center" vertical="center"/>
    </xf>
    <xf numFmtId="0" fontId="58" fillId="21" borderId="22" xfId="0" applyFont="1" applyFill="1" applyBorder="1" applyAlignment="1" applyProtection="1">
      <alignment horizontal="center" vertical="center"/>
    </xf>
    <xf numFmtId="44" fontId="47" fillId="5" borderId="6" xfId="4" applyNumberFormat="1" applyFont="1" applyFill="1" applyBorder="1" applyAlignment="1" applyProtection="1">
      <alignment horizontal="center" vertical="center"/>
    </xf>
    <xf numFmtId="44" fontId="47" fillId="5" borderId="4" xfId="4" applyNumberFormat="1" applyFont="1" applyFill="1" applyBorder="1" applyAlignment="1" applyProtection="1">
      <alignment horizontal="center" vertical="center"/>
    </xf>
    <xf numFmtId="0" fontId="47" fillId="11" borderId="2" xfId="0" applyFont="1" applyFill="1" applyBorder="1" applyAlignment="1" applyProtection="1">
      <alignment horizontal="center" vertical="center" wrapText="1"/>
    </xf>
    <xf numFmtId="0" fontId="47" fillId="11" borderId="4" xfId="0" applyFont="1" applyFill="1" applyBorder="1" applyAlignment="1" applyProtection="1">
      <alignment horizontal="center" vertical="center" wrapText="1"/>
    </xf>
    <xf numFmtId="169" fontId="47" fillId="3" borderId="8" xfId="0" applyNumberFormat="1" applyFont="1" applyFill="1" applyBorder="1" applyAlignment="1" applyProtection="1">
      <alignment horizontal="center" vertical="center" wrapText="1"/>
    </xf>
    <xf numFmtId="169" fontId="47" fillId="3" borderId="7" xfId="0" applyNumberFormat="1" applyFont="1" applyFill="1" applyBorder="1" applyAlignment="1" applyProtection="1">
      <alignment horizontal="center" vertical="center" wrapText="1"/>
    </xf>
    <xf numFmtId="44" fontId="47" fillId="5" borderId="2" xfId="4" applyNumberFormat="1" applyFont="1" applyFill="1" applyBorder="1" applyAlignment="1" applyProtection="1">
      <alignment horizontal="center" vertical="center"/>
    </xf>
    <xf numFmtId="44" fontId="47" fillId="3" borderId="2" xfId="0" applyNumberFormat="1" applyFont="1" applyFill="1" applyBorder="1" applyAlignment="1" applyProtection="1">
      <alignment horizontal="center" vertical="center" wrapText="1"/>
    </xf>
    <xf numFmtId="44" fontId="47" fillId="3" borderId="4" xfId="0" applyNumberFormat="1" applyFont="1" applyFill="1" applyBorder="1" applyAlignment="1" applyProtection="1">
      <alignment horizontal="center" vertical="center" wrapText="1"/>
    </xf>
    <xf numFmtId="0" fontId="47" fillId="5" borderId="0" xfId="0" applyFont="1" applyFill="1" applyBorder="1" applyAlignment="1" applyProtection="1">
      <alignment horizontal="left" vertical="center"/>
    </xf>
    <xf numFmtId="0" fontId="47" fillId="5" borderId="21" xfId="0" applyFont="1" applyFill="1" applyBorder="1" applyAlignment="1" applyProtection="1">
      <alignment horizontal="left" vertical="center"/>
    </xf>
    <xf numFmtId="0" fontId="58" fillId="3" borderId="20" xfId="0" applyFont="1" applyFill="1" applyBorder="1" applyAlignment="1" applyProtection="1">
      <alignment horizontal="right" vertical="center"/>
    </xf>
    <xf numFmtId="0" fontId="58" fillId="3" borderId="18" xfId="0" applyFont="1" applyFill="1" applyBorder="1" applyAlignment="1" applyProtection="1">
      <alignment horizontal="right" vertical="center"/>
    </xf>
    <xf numFmtId="0" fontId="58" fillId="5" borderId="8" xfId="0" applyFont="1" applyFill="1" applyBorder="1" applyAlignment="1" applyProtection="1">
      <alignment horizontal="center" vertical="center"/>
    </xf>
    <xf numFmtId="0" fontId="58" fillId="5" borderId="9" xfId="0" applyFont="1" applyFill="1" applyBorder="1" applyAlignment="1" applyProtection="1">
      <alignment horizontal="center" vertical="center"/>
    </xf>
    <xf numFmtId="0" fontId="58" fillId="5" borderId="3" xfId="0" applyFont="1" applyFill="1" applyBorder="1" applyAlignment="1" applyProtection="1">
      <alignment horizontal="center" vertical="center"/>
    </xf>
    <xf numFmtId="0" fontId="58" fillId="5" borderId="23" xfId="0" applyFont="1" applyFill="1" applyBorder="1" applyAlignment="1" applyProtection="1">
      <alignment horizontal="center" vertical="center"/>
    </xf>
    <xf numFmtId="0" fontId="58" fillId="5" borderId="7" xfId="0" applyFont="1" applyFill="1" applyBorder="1" applyAlignment="1" applyProtection="1">
      <alignment horizontal="center" vertical="center"/>
    </xf>
    <xf numFmtId="0" fontId="58" fillId="5" borderId="22" xfId="0" applyFont="1" applyFill="1" applyBorder="1" applyAlignment="1" applyProtection="1">
      <alignment horizontal="center" vertical="center"/>
    </xf>
    <xf numFmtId="44" fontId="47" fillId="3" borderId="2" xfId="4" applyNumberFormat="1" applyFont="1" applyFill="1" applyBorder="1" applyAlignment="1" applyProtection="1">
      <alignment horizontal="center" vertical="center"/>
    </xf>
    <xf numFmtId="44" fontId="47" fillId="3" borderId="4" xfId="4" applyNumberFormat="1" applyFont="1" applyFill="1" applyBorder="1" applyAlignment="1" applyProtection="1">
      <alignment horizontal="center" vertical="center"/>
    </xf>
    <xf numFmtId="0" fontId="47" fillId="11" borderId="6" xfId="0" applyFont="1" applyFill="1" applyBorder="1" applyAlignment="1" applyProtection="1">
      <alignment horizontal="center" vertical="center" wrapText="1"/>
    </xf>
    <xf numFmtId="0" fontId="47" fillId="3" borderId="2" xfId="0" applyFont="1" applyFill="1" applyBorder="1" applyAlignment="1" applyProtection="1">
      <alignment horizontal="center" vertical="center" wrapText="1"/>
    </xf>
    <xf numFmtId="0" fontId="47" fillId="3" borderId="4" xfId="0" applyFont="1" applyFill="1" applyBorder="1" applyAlignment="1" applyProtection="1">
      <alignment horizontal="center" vertical="center" wrapText="1"/>
    </xf>
    <xf numFmtId="169" fontId="47" fillId="3" borderId="1" xfId="0" applyNumberFormat="1" applyFont="1" applyFill="1" applyBorder="1" applyAlignment="1" applyProtection="1">
      <alignment horizontal="center" vertical="center" wrapText="1"/>
    </xf>
    <xf numFmtId="0" fontId="47" fillId="3" borderId="1" xfId="0" applyFont="1" applyFill="1" applyBorder="1" applyAlignment="1" applyProtection="1">
      <alignment horizontal="center" vertical="center" wrapText="1"/>
    </xf>
    <xf numFmtId="0" fontId="72" fillId="0" borderId="29" xfId="0" applyFont="1" applyBorder="1" applyAlignment="1" applyProtection="1">
      <alignment horizontal="left" vertical="top" wrapText="1"/>
    </xf>
    <xf numFmtId="0" fontId="23" fillId="16" borderId="5" xfId="0" applyFont="1" applyFill="1" applyBorder="1" applyAlignment="1" applyProtection="1">
      <alignment horizontal="center" vertical="center"/>
    </xf>
    <xf numFmtId="0" fontId="23" fillId="16" borderId="20" xfId="0" applyFont="1" applyFill="1" applyBorder="1" applyAlignment="1" applyProtection="1">
      <alignment horizontal="center" vertical="center"/>
    </xf>
    <xf numFmtId="0" fontId="23" fillId="12" borderId="5" xfId="0" applyFont="1" applyFill="1" applyBorder="1" applyAlignment="1" applyProtection="1">
      <alignment horizontal="left" vertical="center"/>
    </xf>
    <xf numFmtId="0" fontId="23" fillId="12" borderId="20" xfId="0" applyFont="1" applyFill="1" applyBorder="1" applyAlignment="1" applyProtection="1">
      <alignment horizontal="left" vertical="center"/>
    </xf>
    <xf numFmtId="0" fontId="23" fillId="12" borderId="18" xfId="0" applyFont="1" applyFill="1" applyBorder="1" applyAlignment="1" applyProtection="1">
      <alignment horizontal="left" vertical="center"/>
    </xf>
    <xf numFmtId="0" fontId="47" fillId="21" borderId="5" xfId="0" applyFont="1" applyFill="1" applyBorder="1" applyAlignment="1" applyProtection="1">
      <alignment horizontal="left" vertical="center"/>
    </xf>
    <xf numFmtId="0" fontId="47" fillId="21" borderId="20" xfId="0" applyFont="1" applyFill="1" applyBorder="1" applyAlignment="1" applyProtection="1">
      <alignment horizontal="left" vertical="center"/>
    </xf>
    <xf numFmtId="0" fontId="47" fillId="21" borderId="18" xfId="0" applyFont="1" applyFill="1" applyBorder="1" applyAlignment="1" applyProtection="1">
      <alignment horizontal="left" vertical="center"/>
    </xf>
    <xf numFmtId="0" fontId="23" fillId="21" borderId="5" xfId="0" applyFont="1" applyFill="1" applyBorder="1" applyAlignment="1" applyProtection="1">
      <alignment horizontal="left" vertical="center"/>
    </xf>
    <xf numFmtId="0" fontId="23" fillId="21" borderId="20" xfId="0" applyFont="1" applyFill="1" applyBorder="1" applyAlignment="1" applyProtection="1">
      <alignment horizontal="left" vertical="center"/>
    </xf>
    <xf numFmtId="0" fontId="47" fillId="16" borderId="5" xfId="0" applyFont="1" applyFill="1" applyBorder="1" applyAlignment="1" applyProtection="1">
      <alignment horizontal="left" vertical="center" wrapText="1"/>
    </xf>
    <xf numFmtId="0" fontId="47" fillId="16" borderId="20" xfId="0" applyFont="1" applyFill="1" applyBorder="1" applyAlignment="1" applyProtection="1">
      <alignment horizontal="left" vertical="center" wrapText="1"/>
    </xf>
    <xf numFmtId="0" fontId="47" fillId="16" borderId="18" xfId="0" applyFont="1" applyFill="1" applyBorder="1" applyAlignment="1" applyProtection="1">
      <alignment horizontal="left" vertical="center" wrapText="1"/>
    </xf>
    <xf numFmtId="0" fontId="47" fillId="16" borderId="20" xfId="0" applyFont="1" applyFill="1" applyBorder="1" applyAlignment="1" applyProtection="1">
      <alignment horizontal="left" vertical="center"/>
    </xf>
    <xf numFmtId="0" fontId="47" fillId="16" borderId="18" xfId="0" applyFont="1" applyFill="1" applyBorder="1" applyAlignment="1" applyProtection="1">
      <alignment horizontal="left" vertical="center"/>
    </xf>
    <xf numFmtId="0" fontId="47" fillId="20" borderId="48" xfId="0" applyFont="1" applyFill="1" applyBorder="1" applyAlignment="1" applyProtection="1">
      <alignment horizontal="center" vertical="center"/>
    </xf>
    <xf numFmtId="0" fontId="47" fillId="20" borderId="47" xfId="0" applyFont="1" applyFill="1" applyBorder="1" applyAlignment="1" applyProtection="1">
      <alignment horizontal="center" vertical="center"/>
    </xf>
    <xf numFmtId="0" fontId="47" fillId="20" borderId="45" xfId="0" applyFont="1" applyFill="1" applyBorder="1" applyAlignment="1" applyProtection="1">
      <alignment horizontal="center" vertical="center"/>
    </xf>
    <xf numFmtId="0" fontId="23" fillId="16" borderId="5" xfId="0" applyFont="1" applyFill="1" applyBorder="1" applyAlignment="1" applyProtection="1">
      <alignment horizontal="left" vertical="center"/>
    </xf>
    <xf numFmtId="0" fontId="23" fillId="16" borderId="20" xfId="0" applyFont="1" applyFill="1" applyBorder="1" applyAlignment="1" applyProtection="1">
      <alignment horizontal="left" vertical="center"/>
    </xf>
    <xf numFmtId="0" fontId="23" fillId="16" borderId="68" xfId="0" applyFont="1" applyFill="1" applyBorder="1" applyAlignment="1" applyProtection="1">
      <alignment horizontal="left" vertical="center"/>
    </xf>
    <xf numFmtId="0" fontId="47" fillId="16" borderId="8" xfId="0" applyFont="1" applyFill="1" applyBorder="1" applyAlignment="1" applyProtection="1">
      <alignment horizontal="left" vertical="center"/>
    </xf>
    <xf numFmtId="0" fontId="47" fillId="16" borderId="19" xfId="0" applyFont="1" applyFill="1" applyBorder="1" applyAlignment="1" applyProtection="1">
      <alignment horizontal="left" vertical="center"/>
    </xf>
    <xf numFmtId="0" fontId="47" fillId="16" borderId="9" xfId="0" applyFont="1" applyFill="1" applyBorder="1" applyAlignment="1" applyProtection="1">
      <alignment horizontal="left" vertical="center"/>
    </xf>
    <xf numFmtId="0" fontId="47" fillId="16" borderId="3" xfId="0" applyFont="1" applyFill="1" applyBorder="1" applyAlignment="1" applyProtection="1">
      <alignment horizontal="left" vertical="center"/>
    </xf>
    <xf numFmtId="0" fontId="47" fillId="16" borderId="0" xfId="0" applyFont="1" applyFill="1" applyBorder="1" applyAlignment="1" applyProtection="1">
      <alignment horizontal="left" vertical="center"/>
    </xf>
    <xf numFmtId="0" fontId="47" fillId="16" borderId="23" xfId="0" applyFont="1" applyFill="1" applyBorder="1" applyAlignment="1" applyProtection="1">
      <alignment horizontal="left" vertical="center"/>
    </xf>
    <xf numFmtId="0" fontId="47" fillId="16" borderId="7" xfId="0" applyFont="1" applyFill="1" applyBorder="1" applyAlignment="1" applyProtection="1">
      <alignment horizontal="left" vertical="center"/>
    </xf>
    <xf numFmtId="0" fontId="47" fillId="16" borderId="21" xfId="0" applyFont="1" applyFill="1" applyBorder="1" applyAlignment="1" applyProtection="1">
      <alignment horizontal="left" vertical="center"/>
    </xf>
    <xf numFmtId="0" fontId="47" fillId="16" borderId="22" xfId="0" applyFont="1" applyFill="1" applyBorder="1" applyAlignment="1" applyProtection="1">
      <alignment horizontal="left" vertical="center"/>
    </xf>
    <xf numFmtId="0" fontId="23" fillId="21" borderId="8" xfId="0" applyFont="1" applyFill="1" applyBorder="1" applyAlignment="1" applyProtection="1">
      <alignment horizontal="left" vertical="center"/>
    </xf>
    <xf numFmtId="0" fontId="23" fillId="21" borderId="19" xfId="0" applyFont="1" applyFill="1" applyBorder="1" applyAlignment="1" applyProtection="1">
      <alignment horizontal="left" vertical="center"/>
    </xf>
    <xf numFmtId="0" fontId="23" fillId="21" borderId="7" xfId="0" applyFont="1" applyFill="1" applyBorder="1" applyAlignment="1" applyProtection="1">
      <alignment horizontal="left" vertical="center"/>
    </xf>
    <xf numFmtId="0" fontId="23" fillId="21" borderId="21" xfId="0" applyFont="1" applyFill="1" applyBorder="1" applyAlignment="1" applyProtection="1">
      <alignment horizontal="left" vertical="center"/>
    </xf>
    <xf numFmtId="0" fontId="23" fillId="21" borderId="21" xfId="0" applyFont="1" applyFill="1" applyBorder="1" applyAlignment="1" applyProtection="1">
      <alignment horizontal="center" vertical="center"/>
    </xf>
    <xf numFmtId="0" fontId="23" fillId="21" borderId="22" xfId="0" applyFont="1" applyFill="1" applyBorder="1" applyAlignment="1" applyProtection="1">
      <alignment horizontal="center" vertical="center"/>
    </xf>
    <xf numFmtId="0" fontId="23" fillId="29" borderId="5" xfId="0" applyFont="1" applyFill="1" applyBorder="1" applyAlignment="1" applyProtection="1">
      <alignment horizontal="left" vertical="center" wrapText="1"/>
    </xf>
    <xf numFmtId="0" fontId="23" fillId="29" borderId="20" xfId="0" applyFont="1" applyFill="1" applyBorder="1" applyAlignment="1" applyProtection="1">
      <alignment horizontal="left" vertical="center" wrapText="1"/>
    </xf>
    <xf numFmtId="0" fontId="23" fillId="29" borderId="18" xfId="0" applyFont="1" applyFill="1" applyBorder="1" applyAlignment="1" applyProtection="1">
      <alignment horizontal="left" vertical="center" wrapText="1"/>
    </xf>
    <xf numFmtId="0" fontId="47" fillId="29" borderId="5" xfId="0" applyFont="1" applyFill="1" applyBorder="1" applyAlignment="1" applyProtection="1">
      <alignment horizontal="left" vertical="center" wrapText="1"/>
    </xf>
    <xf numFmtId="0" fontId="47" fillId="29" borderId="20" xfId="0" applyFont="1" applyFill="1" applyBorder="1" applyAlignment="1" applyProtection="1">
      <alignment horizontal="left" vertical="center" wrapText="1"/>
    </xf>
    <xf numFmtId="0" fontId="47" fillId="29" borderId="18" xfId="0" applyFont="1" applyFill="1" applyBorder="1" applyAlignment="1" applyProtection="1">
      <alignment horizontal="left" vertical="center" wrapText="1"/>
    </xf>
    <xf numFmtId="0" fontId="47" fillId="32" borderId="5" xfId="0" applyFont="1" applyFill="1" applyBorder="1" applyAlignment="1" applyProtection="1">
      <alignment horizontal="left" vertical="center" wrapText="1"/>
    </xf>
    <xf numFmtId="0" fontId="47" fillId="32" borderId="20" xfId="0" applyFont="1" applyFill="1" applyBorder="1" applyAlignment="1" applyProtection="1">
      <alignment horizontal="left" vertical="center" wrapText="1"/>
    </xf>
    <xf numFmtId="0" fontId="47" fillId="32" borderId="18" xfId="0" applyFont="1" applyFill="1" applyBorder="1" applyAlignment="1" applyProtection="1">
      <alignment horizontal="left" vertical="center" wrapText="1"/>
    </xf>
    <xf numFmtId="0" fontId="23" fillId="21" borderId="5" xfId="0" applyFont="1" applyFill="1" applyBorder="1" applyAlignment="1" applyProtection="1">
      <alignment horizontal="center" vertical="center"/>
    </xf>
    <xf numFmtId="0" fontId="23" fillId="21" borderId="20" xfId="0" applyFont="1" applyFill="1" applyBorder="1" applyAlignment="1" applyProtection="1">
      <alignment horizontal="center" vertical="center"/>
    </xf>
    <xf numFmtId="0" fontId="23" fillId="14" borderId="32" xfId="0" applyFont="1" applyFill="1" applyBorder="1" applyAlignment="1" applyProtection="1">
      <alignment horizontal="center" vertical="center" wrapText="1"/>
    </xf>
    <xf numFmtId="0" fontId="23" fillId="14" borderId="36" xfId="0" applyFont="1" applyFill="1" applyBorder="1" applyAlignment="1" applyProtection="1">
      <alignment horizontal="center" vertical="center" wrapText="1"/>
    </xf>
    <xf numFmtId="0" fontId="23" fillId="14" borderId="54" xfId="0" applyFont="1" applyFill="1" applyBorder="1" applyAlignment="1" applyProtection="1">
      <alignment horizontal="center" vertical="center" wrapText="1"/>
    </xf>
    <xf numFmtId="0" fontId="47" fillId="24" borderId="1" xfId="0" applyFont="1" applyFill="1" applyBorder="1" applyAlignment="1" applyProtection="1">
      <alignment horizontal="left" vertical="center"/>
    </xf>
    <xf numFmtId="0" fontId="23" fillId="12" borderId="1" xfId="0" applyFont="1" applyFill="1" applyBorder="1" applyAlignment="1" applyProtection="1">
      <alignment horizontal="left" vertical="center"/>
    </xf>
    <xf numFmtId="0" fontId="74" fillId="0" borderId="20" xfId="0" applyFont="1" applyBorder="1" applyAlignment="1" applyProtection="1">
      <alignment horizontal="justify" vertical="top" wrapText="1"/>
    </xf>
    <xf numFmtId="0" fontId="47" fillId="16" borderId="5" xfId="0" applyFont="1" applyFill="1" applyBorder="1" applyAlignment="1" applyProtection="1">
      <alignment horizontal="left" vertical="center"/>
    </xf>
    <xf numFmtId="0" fontId="23" fillId="28" borderId="5" xfId="0" applyFont="1" applyFill="1" applyBorder="1" applyAlignment="1" applyProtection="1">
      <alignment horizontal="left" vertical="center"/>
    </xf>
    <xf numFmtId="0" fontId="23" fillId="28" borderId="20" xfId="0" applyFont="1" applyFill="1" applyBorder="1" applyAlignment="1" applyProtection="1">
      <alignment horizontal="left" vertical="center"/>
    </xf>
    <xf numFmtId="0" fontId="23" fillId="28" borderId="18" xfId="0" applyFont="1" applyFill="1" applyBorder="1" applyAlignment="1" applyProtection="1">
      <alignment horizontal="left" vertical="center"/>
    </xf>
    <xf numFmtId="0" fontId="44" fillId="16" borderId="5" xfId="8" applyFont="1" applyFill="1" applyBorder="1" applyAlignment="1" applyProtection="1">
      <alignment horizontal="center" vertical="center" wrapText="1"/>
    </xf>
    <xf numFmtId="0" fontId="44" fillId="16" borderId="20" xfId="8" applyFont="1" applyFill="1" applyBorder="1" applyAlignment="1" applyProtection="1">
      <alignment horizontal="center" vertical="center" wrapText="1"/>
    </xf>
    <xf numFmtId="0" fontId="44" fillId="16" borderId="18" xfId="8" applyFont="1" applyFill="1" applyBorder="1" applyAlignment="1" applyProtection="1">
      <alignment horizontal="center" vertical="center" wrapText="1"/>
    </xf>
    <xf numFmtId="0" fontId="23" fillId="16" borderId="18" xfId="0" applyFont="1" applyFill="1" applyBorder="1" applyAlignment="1" applyProtection="1">
      <alignment horizontal="left" vertical="center"/>
    </xf>
    <xf numFmtId="0" fontId="23" fillId="21" borderId="32" xfId="0" applyFont="1" applyFill="1" applyBorder="1" applyAlignment="1" applyProtection="1">
      <alignment horizontal="center" vertical="center"/>
    </xf>
    <xf numFmtId="0" fontId="23" fillId="21" borderId="36" xfId="0" applyFont="1" applyFill="1" applyBorder="1" applyAlignment="1" applyProtection="1">
      <alignment horizontal="center" vertical="center"/>
    </xf>
    <xf numFmtId="0" fontId="47" fillId="5" borderId="8" xfId="0" applyFont="1" applyFill="1" applyBorder="1" applyAlignment="1" applyProtection="1">
      <alignment horizontal="left" vertical="center"/>
    </xf>
    <xf numFmtId="0" fontId="47" fillId="5" borderId="19" xfId="0" applyFont="1" applyFill="1" applyBorder="1" applyAlignment="1" applyProtection="1">
      <alignment horizontal="left" vertical="center"/>
    </xf>
    <xf numFmtId="0" fontId="47" fillId="5" borderId="7" xfId="0" applyFont="1" applyFill="1" applyBorder="1" applyAlignment="1" applyProtection="1">
      <alignment horizontal="left" vertical="center"/>
    </xf>
    <xf numFmtId="0" fontId="46" fillId="16" borderId="5" xfId="8" applyFont="1" applyFill="1" applyBorder="1" applyAlignment="1" applyProtection="1">
      <alignment horizontal="left" vertical="center" wrapText="1"/>
    </xf>
    <xf numFmtId="0" fontId="46" fillId="16" borderId="20" xfId="8" applyFont="1" applyFill="1" applyBorder="1" applyAlignment="1" applyProtection="1">
      <alignment horizontal="left" vertical="center" wrapText="1"/>
    </xf>
    <xf numFmtId="0" fontId="23" fillId="20" borderId="5" xfId="0" applyFont="1" applyFill="1" applyBorder="1" applyAlignment="1" applyProtection="1">
      <alignment horizontal="left" vertical="center"/>
    </xf>
    <xf numFmtId="0" fontId="23" fillId="20" borderId="20" xfId="0" applyFont="1" applyFill="1" applyBorder="1" applyAlignment="1" applyProtection="1">
      <alignment horizontal="left" vertical="center"/>
    </xf>
    <xf numFmtId="0" fontId="44" fillId="30" borderId="5" xfId="8" applyFont="1" applyFill="1" applyBorder="1" applyAlignment="1" applyProtection="1">
      <alignment horizontal="left" vertical="center" wrapText="1"/>
    </xf>
    <xf numFmtId="0" fontId="44" fillId="30" borderId="20" xfId="8" applyFont="1" applyFill="1" applyBorder="1" applyAlignment="1" applyProtection="1">
      <alignment horizontal="left" vertical="center" wrapText="1"/>
    </xf>
    <xf numFmtId="0" fontId="44" fillId="30" borderId="18" xfId="8" applyFont="1" applyFill="1" applyBorder="1" applyAlignment="1" applyProtection="1">
      <alignment horizontal="left" vertical="center" wrapText="1"/>
    </xf>
    <xf numFmtId="0" fontId="44" fillId="16" borderId="5" xfId="8" applyFont="1" applyFill="1" applyBorder="1" applyAlignment="1" applyProtection="1">
      <alignment horizontal="left" vertical="center" wrapText="1"/>
    </xf>
    <xf numFmtId="0" fontId="44" fillId="16" borderId="20" xfId="8" applyFont="1" applyFill="1" applyBorder="1" applyAlignment="1" applyProtection="1">
      <alignment horizontal="left" vertical="center" wrapText="1"/>
    </xf>
    <xf numFmtId="0" fontId="47" fillId="21" borderId="8" xfId="0" applyFont="1" applyFill="1" applyBorder="1" applyAlignment="1" applyProtection="1">
      <alignment horizontal="left" vertical="center"/>
    </xf>
    <xf numFmtId="0" fontId="47" fillId="21" borderId="7" xfId="0" applyFont="1" applyFill="1" applyBorder="1" applyAlignment="1" applyProtection="1">
      <alignment horizontal="left" vertical="center"/>
    </xf>
    <xf numFmtId="0" fontId="80" fillId="21" borderId="20" xfId="0" applyFont="1" applyFill="1" applyBorder="1" applyAlignment="1" applyProtection="1">
      <alignment horizontal="right" vertical="center"/>
    </xf>
    <xf numFmtId="0" fontId="80" fillId="21" borderId="18" xfId="0" applyFont="1" applyFill="1" applyBorder="1" applyAlignment="1" applyProtection="1">
      <alignment horizontal="right" vertical="center"/>
    </xf>
    <xf numFmtId="44" fontId="47" fillId="21" borderId="2" xfId="4" applyFont="1" applyFill="1" applyBorder="1" applyAlignment="1" applyProtection="1">
      <alignment horizontal="center" vertical="center"/>
    </xf>
    <xf numFmtId="44" fontId="47" fillId="21" borderId="4" xfId="4" applyFont="1" applyFill="1" applyBorder="1" applyAlignment="1" applyProtection="1">
      <alignment horizontal="center" vertical="center"/>
    </xf>
    <xf numFmtId="0" fontId="49" fillId="16" borderId="20" xfId="0" applyFont="1" applyFill="1" applyBorder="1" applyAlignment="1" applyProtection="1">
      <alignment horizontal="left" vertical="center"/>
    </xf>
    <xf numFmtId="0" fontId="49" fillId="16" borderId="18" xfId="0" applyFont="1" applyFill="1" applyBorder="1" applyAlignment="1" applyProtection="1">
      <alignment horizontal="left" vertical="center"/>
    </xf>
    <xf numFmtId="0" fontId="58" fillId="21" borderId="5" xfId="0" applyFont="1" applyFill="1" applyBorder="1" applyAlignment="1" applyProtection="1">
      <alignment horizontal="right" vertical="center"/>
    </xf>
    <xf numFmtId="0" fontId="58" fillId="21" borderId="18" xfId="0" applyFont="1" applyFill="1" applyBorder="1" applyAlignment="1" applyProtection="1">
      <alignment horizontal="right" vertical="center"/>
    </xf>
    <xf numFmtId="44" fontId="47" fillId="21" borderId="6" xfId="4" applyFont="1" applyFill="1" applyBorder="1" applyAlignment="1" applyProtection="1">
      <alignment horizontal="center" vertical="center"/>
    </xf>
    <xf numFmtId="0" fontId="80" fillId="5" borderId="20" xfId="0" applyFont="1" applyFill="1" applyBorder="1" applyAlignment="1" applyProtection="1">
      <alignment horizontal="right" vertical="center"/>
    </xf>
    <xf numFmtId="0" fontId="80" fillId="5" borderId="18" xfId="0" applyFont="1" applyFill="1" applyBorder="1" applyAlignment="1" applyProtection="1">
      <alignment horizontal="right" vertical="center"/>
    </xf>
    <xf numFmtId="0" fontId="58" fillId="5" borderId="20" xfId="0" applyFont="1" applyFill="1" applyBorder="1" applyAlignment="1" applyProtection="1">
      <alignment horizontal="right" vertical="center"/>
    </xf>
    <xf numFmtId="0" fontId="58" fillId="5" borderId="18" xfId="0" applyFont="1" applyFill="1" applyBorder="1" applyAlignment="1" applyProtection="1">
      <alignment horizontal="right" vertical="center"/>
    </xf>
    <xf numFmtId="0" fontId="58" fillId="21" borderId="20" xfId="0" applyFont="1" applyFill="1" applyBorder="1" applyAlignment="1" applyProtection="1">
      <alignment horizontal="right" vertical="center"/>
    </xf>
    <xf numFmtId="0" fontId="47" fillId="21" borderId="59" xfId="0" applyFont="1" applyFill="1" applyBorder="1" applyAlignment="1" applyProtection="1">
      <alignment horizontal="left" vertical="center"/>
    </xf>
    <xf numFmtId="0" fontId="23" fillId="16" borderId="7" xfId="0" applyFont="1" applyFill="1" applyBorder="1" applyAlignment="1" applyProtection="1">
      <alignment horizontal="center" vertical="center"/>
    </xf>
    <xf numFmtId="0" fontId="23" fillId="16" borderId="21" xfId="0" applyFont="1" applyFill="1" applyBorder="1" applyAlignment="1" applyProtection="1">
      <alignment horizontal="center" vertical="center"/>
    </xf>
    <xf numFmtId="0" fontId="23" fillId="16" borderId="22" xfId="0" applyFont="1" applyFill="1" applyBorder="1" applyAlignment="1" applyProtection="1">
      <alignment horizontal="center" vertical="center"/>
    </xf>
    <xf numFmtId="0" fontId="47" fillId="21" borderId="57" xfId="0" applyFont="1" applyFill="1" applyBorder="1" applyAlignment="1" applyProtection="1">
      <alignment horizontal="left" vertical="center"/>
    </xf>
    <xf numFmtId="0" fontId="47" fillId="21" borderId="36" xfId="0" applyFont="1" applyFill="1" applyBorder="1" applyAlignment="1" applyProtection="1">
      <alignment horizontal="left" vertical="center"/>
    </xf>
    <xf numFmtId="0" fontId="47" fillId="21" borderId="58" xfId="0" applyFont="1" applyFill="1" applyBorder="1" applyAlignment="1" applyProtection="1">
      <alignment horizontal="left" vertical="center"/>
    </xf>
    <xf numFmtId="0" fontId="47" fillId="20" borderId="66" xfId="0" applyFont="1" applyFill="1" applyBorder="1" applyAlignment="1" applyProtection="1">
      <alignment horizontal="center" vertical="center"/>
    </xf>
    <xf numFmtId="0" fontId="47" fillId="20" borderId="67" xfId="0" applyFont="1" applyFill="1" applyBorder="1" applyAlignment="1" applyProtection="1">
      <alignment horizontal="center" vertical="center"/>
    </xf>
    <xf numFmtId="0" fontId="47" fillId="21" borderId="60" xfId="0" applyFont="1" applyFill="1" applyBorder="1" applyAlignment="1" applyProtection="1">
      <alignment horizontal="left" vertical="center" wrapText="1"/>
    </xf>
    <xf numFmtId="0" fontId="47" fillId="21" borderId="64" xfId="0" applyFont="1" applyFill="1" applyBorder="1" applyAlignment="1" applyProtection="1">
      <alignment horizontal="left" vertical="center" wrapText="1"/>
    </xf>
    <xf numFmtId="0" fontId="47" fillId="21" borderId="61" xfId="0" applyFont="1" applyFill="1" applyBorder="1" applyAlignment="1" applyProtection="1">
      <alignment horizontal="left" vertical="center" wrapText="1"/>
    </xf>
    <xf numFmtId="0" fontId="47" fillId="21" borderId="22" xfId="0" applyFont="1" applyFill="1" applyBorder="1" applyAlignment="1" applyProtection="1">
      <alignment horizontal="left" vertical="center" wrapText="1"/>
    </xf>
    <xf numFmtId="10" fontId="47" fillId="16" borderId="2" xfId="0" applyNumberFormat="1" applyFont="1" applyFill="1" applyBorder="1" applyAlignment="1" applyProtection="1">
      <alignment horizontal="center" vertical="center"/>
    </xf>
    <xf numFmtId="10" fontId="47" fillId="16" borderId="4" xfId="0" applyNumberFormat="1" applyFont="1" applyFill="1" applyBorder="1" applyAlignment="1" applyProtection="1">
      <alignment horizontal="center" vertical="center"/>
    </xf>
    <xf numFmtId="0" fontId="23" fillId="16" borderId="18" xfId="0" applyFont="1" applyFill="1" applyBorder="1" applyAlignment="1" applyProtection="1">
      <alignment horizontal="center" vertical="center"/>
    </xf>
    <xf numFmtId="0" fontId="47" fillId="21" borderId="62" xfId="0" applyFont="1" applyFill="1" applyBorder="1" applyAlignment="1" applyProtection="1">
      <alignment horizontal="left" vertical="center"/>
    </xf>
    <xf numFmtId="0" fontId="47" fillId="21" borderId="63" xfId="0" applyFont="1" applyFill="1" applyBorder="1" applyAlignment="1" applyProtection="1">
      <alignment horizontal="left" vertical="center"/>
    </xf>
    <xf numFmtId="0" fontId="60" fillId="16" borderId="1" xfId="0" applyFont="1" applyFill="1" applyBorder="1" applyAlignment="1" applyProtection="1">
      <alignment horizontal="right" vertical="center"/>
    </xf>
    <xf numFmtId="0" fontId="23" fillId="16" borderId="21" xfId="0" applyFont="1" applyFill="1" applyBorder="1" applyAlignment="1" applyProtection="1">
      <alignment horizontal="left" vertical="center"/>
    </xf>
    <xf numFmtId="0" fontId="46" fillId="3" borderId="5" xfId="0" applyFont="1" applyFill="1" applyBorder="1" applyAlignment="1" applyProtection="1">
      <alignment horizontal="right" vertical="center"/>
    </xf>
    <xf numFmtId="0" fontId="46" fillId="3" borderId="20" xfId="0" applyFont="1" applyFill="1" applyBorder="1" applyAlignment="1" applyProtection="1">
      <alignment horizontal="right" vertical="center"/>
    </xf>
    <xf numFmtId="0" fontId="46" fillId="3" borderId="18" xfId="0" applyFont="1" applyFill="1" applyBorder="1" applyAlignment="1" applyProtection="1">
      <alignment horizontal="right" vertical="center"/>
    </xf>
    <xf numFmtId="9" fontId="47" fillId="20" borderId="5" xfId="10" applyFont="1" applyFill="1" applyBorder="1" applyAlignment="1" applyProtection="1">
      <alignment horizontal="right" vertical="center"/>
    </xf>
    <xf numFmtId="9" fontId="47" fillId="20" borderId="20" xfId="10" applyFont="1" applyFill="1" applyBorder="1" applyAlignment="1" applyProtection="1">
      <alignment horizontal="right" vertical="center"/>
    </xf>
    <xf numFmtId="0" fontId="23" fillId="20" borderId="18" xfId="0" applyFont="1" applyFill="1" applyBorder="1" applyAlignment="1" applyProtection="1">
      <alignment horizontal="left" vertical="center"/>
    </xf>
    <xf numFmtId="0" fontId="42" fillId="0" borderId="93" xfId="0" applyFont="1" applyBorder="1" applyAlignment="1" applyProtection="1">
      <alignment horizontal="justify" vertical="center"/>
    </xf>
    <xf numFmtId="0" fontId="42" fillId="0" borderId="93" xfId="0" applyFont="1" applyBorder="1" applyAlignment="1" applyProtection="1">
      <alignment horizontal="center"/>
    </xf>
    <xf numFmtId="0" fontId="42" fillId="0" borderId="86" xfId="0" applyFont="1" applyBorder="1" applyAlignment="1" applyProtection="1">
      <alignment horizontal="center"/>
    </xf>
    <xf numFmtId="0" fontId="42" fillId="0" borderId="18" xfId="0" applyFont="1" applyBorder="1" applyAlignment="1" applyProtection="1">
      <alignment horizontal="center"/>
    </xf>
    <xf numFmtId="0" fontId="44" fillId="9" borderId="93" xfId="0" applyFont="1" applyFill="1" applyBorder="1" applyAlignment="1" applyProtection="1">
      <alignment horizontal="center" vertical="center"/>
    </xf>
    <xf numFmtId="0" fontId="42" fillId="0" borderId="8" xfId="0" applyFont="1" applyBorder="1" applyAlignment="1" applyProtection="1">
      <alignment horizontal="center" vertical="center"/>
    </xf>
    <xf numFmtId="0" fontId="42" fillId="0" borderId="9" xfId="0" applyFont="1" applyBorder="1" applyAlignment="1" applyProtection="1">
      <alignment horizontal="center" vertical="center"/>
    </xf>
    <xf numFmtId="0" fontId="42" fillId="0" borderId="3" xfId="0" applyFont="1" applyBorder="1" applyAlignment="1" applyProtection="1">
      <alignment horizontal="center" vertical="center"/>
    </xf>
    <xf numFmtId="0" fontId="42" fillId="0" borderId="23" xfId="0" applyFont="1" applyBorder="1" applyAlignment="1" applyProtection="1">
      <alignment horizontal="center" vertical="center"/>
    </xf>
    <xf numFmtId="0" fontId="42" fillId="0" borderId="7" xfId="0" applyFont="1" applyBorder="1" applyAlignment="1" applyProtection="1">
      <alignment horizontal="center" vertical="center"/>
    </xf>
    <xf numFmtId="0" fontId="42" fillId="0" borderId="22" xfId="0" applyFont="1" applyBorder="1" applyAlignment="1" applyProtection="1">
      <alignment horizontal="center" vertical="center"/>
    </xf>
    <xf numFmtId="0" fontId="42" fillId="0" borderId="5" xfId="0" applyFont="1" applyBorder="1" applyAlignment="1" applyProtection="1">
      <alignment vertical="center"/>
    </xf>
    <xf numFmtId="0" fontId="42" fillId="0" borderId="18" xfId="0" applyFont="1" applyBorder="1" applyAlignment="1" applyProtection="1">
      <alignment vertical="center"/>
    </xf>
    <xf numFmtId="0" fontId="42" fillId="0" borderId="5" xfId="0" applyFont="1" applyBorder="1" applyAlignment="1" applyProtection="1">
      <alignment horizontal="center" vertical="center"/>
    </xf>
    <xf numFmtId="0" fontId="42" fillId="0" borderId="18" xfId="0" applyFont="1" applyBorder="1" applyAlignment="1" applyProtection="1">
      <alignment horizontal="center" vertical="center"/>
    </xf>
    <xf numFmtId="0" fontId="102" fillId="0" borderId="0" xfId="0" applyFont="1" applyAlignment="1" applyProtection="1">
      <alignment horizontal="left" vertical="center"/>
    </xf>
    <xf numFmtId="0" fontId="44" fillId="3" borderId="93" xfId="0" applyFont="1" applyFill="1" applyBorder="1" applyAlignment="1" applyProtection="1">
      <alignment horizontal="center" vertical="center" wrapText="1"/>
    </xf>
    <xf numFmtId="0" fontId="46" fillId="3" borderId="93" xfId="0" applyFont="1" applyFill="1" applyBorder="1" applyAlignment="1" applyProtection="1">
      <alignment horizontal="center" vertical="center" wrapText="1"/>
    </xf>
    <xf numFmtId="0" fontId="44" fillId="43" borderId="93" xfId="0" applyFont="1" applyFill="1" applyBorder="1" applyAlignment="1" applyProtection="1">
      <alignment horizontal="center" vertical="center" wrapText="1"/>
    </xf>
    <xf numFmtId="4" fontId="42" fillId="43" borderId="93" xfId="0" applyNumberFormat="1" applyFont="1" applyFill="1" applyBorder="1" applyAlignment="1" applyProtection="1">
      <alignment horizontal="center" vertical="center" wrapText="1"/>
    </xf>
    <xf numFmtId="0" fontId="44" fillId="0" borderId="93" xfId="0" applyFont="1" applyBorder="1" applyAlignment="1" applyProtection="1">
      <alignment horizontal="center" vertical="center" wrapText="1"/>
    </xf>
    <xf numFmtId="0" fontId="44" fillId="3" borderId="89" xfId="0" applyFont="1" applyFill="1" applyBorder="1" applyAlignment="1" applyProtection="1">
      <alignment horizontal="center" vertical="center" wrapText="1"/>
    </xf>
    <xf numFmtId="0" fontId="44" fillId="3" borderId="6" xfId="0" applyFont="1" applyFill="1" applyBorder="1" applyAlignment="1" applyProtection="1">
      <alignment horizontal="center" vertical="center" wrapText="1"/>
    </xf>
    <xf numFmtId="0" fontId="44" fillId="3" borderId="4" xfId="0" applyFont="1" applyFill="1" applyBorder="1" applyAlignment="1" applyProtection="1">
      <alignment horizontal="center" vertical="center" wrapText="1"/>
    </xf>
    <xf numFmtId="4" fontId="46" fillId="3" borderId="93" xfId="0" applyNumberFormat="1" applyFont="1" applyFill="1" applyBorder="1" applyAlignment="1" applyProtection="1">
      <alignment horizontal="center" vertical="center" wrapText="1"/>
    </xf>
    <xf numFmtId="0" fontId="46" fillId="2" borderId="65" xfId="0" applyFont="1" applyFill="1" applyBorder="1" applyAlignment="1">
      <alignment horizontal="center" vertical="center" wrapText="1"/>
    </xf>
    <xf numFmtId="0" fontId="46" fillId="2" borderId="69" xfId="0" applyFont="1" applyFill="1" applyBorder="1" applyAlignment="1">
      <alignment horizontal="center" vertical="center" wrapText="1"/>
    </xf>
    <xf numFmtId="168" fontId="42" fillId="3" borderId="70" xfId="0" applyNumberFormat="1" applyFont="1" applyFill="1" applyBorder="1" applyAlignment="1">
      <alignment horizontal="left" vertical="center"/>
    </xf>
    <xf numFmtId="168" fontId="42" fillId="3" borderId="72" xfId="0" applyNumberFormat="1" applyFont="1" applyFill="1" applyBorder="1" applyAlignment="1">
      <alignment horizontal="left" vertical="center"/>
    </xf>
    <xf numFmtId="168" fontId="42" fillId="3" borderId="71" xfId="0" applyNumberFormat="1" applyFont="1" applyFill="1" applyBorder="1" applyAlignment="1">
      <alignment horizontal="left" vertical="center"/>
    </xf>
    <xf numFmtId="0" fontId="46" fillId="2" borderId="65" xfId="0" applyFont="1" applyFill="1" applyBorder="1" applyAlignment="1">
      <alignment horizontal="left" vertical="center" wrapText="1"/>
    </xf>
    <xf numFmtId="0" fontId="46" fillId="2" borderId="56" xfId="0" applyFont="1" applyFill="1" applyBorder="1" applyAlignment="1">
      <alignment horizontal="left" vertical="center" wrapText="1"/>
    </xf>
    <xf numFmtId="168" fontId="42" fillId="3" borderId="65" xfId="0" applyNumberFormat="1" applyFont="1" applyFill="1" applyBorder="1" applyAlignment="1">
      <alignment horizontal="center" vertical="center"/>
    </xf>
    <xf numFmtId="168" fontId="42" fillId="3" borderId="56" xfId="0" applyNumberFormat="1" applyFont="1" applyFill="1" applyBorder="1" applyAlignment="1">
      <alignment horizontal="center" vertical="center"/>
    </xf>
    <xf numFmtId="0" fontId="46" fillId="2" borderId="56" xfId="0" applyFont="1" applyFill="1" applyBorder="1" applyAlignment="1">
      <alignment horizontal="center" vertical="center" wrapText="1"/>
    </xf>
    <xf numFmtId="0" fontId="46" fillId="2" borderId="69" xfId="0" applyFont="1" applyFill="1" applyBorder="1" applyAlignment="1">
      <alignment horizontal="left" vertical="center" wrapText="1"/>
    </xf>
    <xf numFmtId="168" fontId="42" fillId="3" borderId="69" xfId="0" applyNumberFormat="1" applyFont="1" applyFill="1" applyBorder="1" applyAlignment="1">
      <alignment horizontal="center" vertical="center"/>
    </xf>
    <xf numFmtId="0" fontId="42" fillId="0" borderId="65" xfId="0" applyFont="1" applyBorder="1" applyAlignment="1">
      <alignment horizontal="left" vertical="center" wrapText="1"/>
    </xf>
    <xf numFmtId="0" fontId="42" fillId="0" borderId="69" xfId="0" applyFont="1" applyBorder="1" applyAlignment="1">
      <alignment horizontal="left" vertical="center" wrapText="1"/>
    </xf>
    <xf numFmtId="0" fontId="42" fillId="0" borderId="56" xfId="0" applyFont="1" applyBorder="1" applyAlignment="1">
      <alignment horizontal="left" vertical="center" wrapText="1"/>
    </xf>
    <xf numFmtId="0" fontId="42" fillId="0" borderId="65" xfId="0" applyFont="1" applyBorder="1" applyAlignment="1">
      <alignment horizontal="center" vertical="center" wrapText="1"/>
    </xf>
    <xf numFmtId="0" fontId="42" fillId="0" borderId="56" xfId="0" applyFont="1" applyBorder="1" applyAlignment="1">
      <alignment horizontal="center" vertical="center" wrapText="1"/>
    </xf>
    <xf numFmtId="0" fontId="79" fillId="0" borderId="1" xfId="0" applyFont="1" applyBorder="1" applyAlignment="1">
      <alignment horizontal="center" vertical="center" wrapText="1"/>
    </xf>
    <xf numFmtId="0" fontId="19" fillId="25" borderId="0" xfId="0" applyFont="1" applyFill="1" applyAlignment="1">
      <alignment horizontal="center" vertical="center"/>
    </xf>
    <xf numFmtId="0" fontId="11" fillId="0" borderId="0" xfId="0" applyFont="1" applyAlignment="1">
      <alignment horizontal="center" vertical="center"/>
    </xf>
    <xf numFmtId="0" fontId="40" fillId="0" borderId="1" xfId="0" applyFont="1" applyBorder="1" applyAlignment="1" applyProtection="1">
      <alignment horizontal="center" vertical="center"/>
      <protection hidden="1"/>
    </xf>
    <xf numFmtId="0" fontId="19" fillId="4" borderId="0" xfId="0" applyFont="1" applyFill="1" applyAlignment="1">
      <alignment horizontal="center" vertical="center"/>
    </xf>
    <xf numFmtId="0" fontId="19" fillId="14" borderId="32" xfId="0" applyFont="1" applyFill="1" applyBorder="1" applyAlignment="1">
      <alignment horizontal="left" vertical="center" wrapText="1"/>
    </xf>
    <xf numFmtId="0" fontId="19" fillId="14" borderId="36" xfId="0" applyFont="1" applyFill="1" applyBorder="1" applyAlignment="1">
      <alignment horizontal="left" vertical="center" wrapText="1"/>
    </xf>
    <xf numFmtId="0" fontId="40" fillId="3" borderId="1" xfId="0" applyFont="1" applyFill="1" applyBorder="1" applyAlignment="1" applyProtection="1">
      <alignment horizontal="center" vertical="center"/>
      <protection hidden="1"/>
    </xf>
    <xf numFmtId="0" fontId="21" fillId="0" borderId="1" xfId="0" applyFont="1" applyBorder="1" applyAlignment="1">
      <alignment horizontal="center" vertical="center"/>
    </xf>
    <xf numFmtId="0" fontId="19" fillId="12" borderId="5" xfId="0" applyFont="1" applyFill="1" applyBorder="1" applyAlignment="1">
      <alignment horizontal="left" vertical="center"/>
    </xf>
    <xf numFmtId="0" fontId="19" fillId="12" borderId="20" xfId="0" applyFont="1" applyFill="1" applyBorder="1" applyAlignment="1">
      <alignment horizontal="left" vertical="center"/>
    </xf>
    <xf numFmtId="0" fontId="19" fillId="12" borderId="18" xfId="0" applyFont="1" applyFill="1" applyBorder="1" applyAlignment="1">
      <alignment horizontal="left" vertical="center"/>
    </xf>
    <xf numFmtId="0" fontId="11" fillId="4" borderId="5" xfId="0" applyFont="1" applyFill="1" applyBorder="1" applyAlignment="1">
      <alignment horizontal="left" vertical="center"/>
    </xf>
    <xf numFmtId="0" fontId="11" fillId="4" borderId="20" xfId="0" applyFont="1" applyFill="1" applyBorder="1" applyAlignment="1">
      <alignment horizontal="left" vertical="center"/>
    </xf>
    <xf numFmtId="0" fontId="11" fillId="4" borderId="18" xfId="0" applyFont="1" applyFill="1" applyBorder="1" applyAlignment="1">
      <alignment horizontal="left" vertical="center"/>
    </xf>
    <xf numFmtId="0" fontId="19" fillId="0" borderId="5" xfId="0" applyFont="1" applyBorder="1" applyAlignment="1">
      <alignment horizontal="left" vertical="center"/>
    </xf>
    <xf numFmtId="0" fontId="19" fillId="0" borderId="20" xfId="0" applyFont="1" applyBorder="1" applyAlignment="1">
      <alignment horizontal="left" vertical="center"/>
    </xf>
    <xf numFmtId="0" fontId="19" fillId="0" borderId="18" xfId="0" applyFont="1" applyBorder="1" applyAlignment="1">
      <alignment horizontal="left" vertical="center"/>
    </xf>
    <xf numFmtId="0" fontId="19" fillId="0" borderId="7" xfId="0" applyFont="1" applyBorder="1" applyAlignment="1">
      <alignment horizontal="left" vertical="center"/>
    </xf>
    <xf numFmtId="0" fontId="19" fillId="0" borderId="21" xfId="0" applyFont="1" applyBorder="1" applyAlignment="1">
      <alignment horizontal="left" vertical="center"/>
    </xf>
    <xf numFmtId="0" fontId="19" fillId="0" borderId="22" xfId="0" applyFont="1" applyBorder="1" applyAlignment="1">
      <alignment horizontal="left" vertical="center"/>
    </xf>
    <xf numFmtId="0" fontId="19" fillId="0" borderId="38" xfId="0" applyFont="1" applyBorder="1" applyAlignment="1">
      <alignment horizontal="left" vertical="center"/>
    </xf>
    <xf numFmtId="0" fontId="19" fillId="0" borderId="27" xfId="0" applyFont="1" applyBorder="1" applyAlignment="1">
      <alignment horizontal="left" vertical="center"/>
    </xf>
    <xf numFmtId="0" fontId="19" fillId="12" borderId="1" xfId="0" applyFont="1" applyFill="1" applyBorder="1" applyAlignment="1">
      <alignment horizontal="center" vertical="center" wrapText="1"/>
    </xf>
    <xf numFmtId="0" fontId="11" fillId="4" borderId="8" xfId="0" applyFont="1" applyFill="1" applyBorder="1" applyAlignment="1">
      <alignment horizontal="center" vertical="center"/>
    </xf>
    <xf numFmtId="0" fontId="11" fillId="4" borderId="19" xfId="0" applyFont="1" applyFill="1" applyBorder="1" applyAlignment="1">
      <alignment horizontal="center" vertical="center"/>
    </xf>
    <xf numFmtId="0" fontId="11" fillId="4" borderId="9" xfId="0" applyFont="1" applyFill="1" applyBorder="1" applyAlignment="1">
      <alignment horizontal="center" vertical="center"/>
    </xf>
    <xf numFmtId="0" fontId="11" fillId="4" borderId="3" xfId="0" applyFont="1" applyFill="1" applyBorder="1" applyAlignment="1">
      <alignment horizontal="center" vertical="center"/>
    </xf>
    <xf numFmtId="0" fontId="11" fillId="4" borderId="0" xfId="0" applyFont="1" applyFill="1" applyAlignment="1">
      <alignment horizontal="center" vertical="center"/>
    </xf>
    <xf numFmtId="0" fontId="11" fillId="4" borderId="23" xfId="0" applyFont="1" applyFill="1" applyBorder="1" applyAlignment="1">
      <alignment horizontal="center" vertical="center"/>
    </xf>
    <xf numFmtId="0" fontId="11" fillId="4" borderId="7" xfId="0" applyFont="1" applyFill="1" applyBorder="1" applyAlignment="1">
      <alignment horizontal="center" vertical="center"/>
    </xf>
    <xf numFmtId="0" fontId="11" fillId="4" borderId="21" xfId="0" applyFont="1" applyFill="1" applyBorder="1" applyAlignment="1">
      <alignment horizontal="center" vertical="center"/>
    </xf>
    <xf numFmtId="0" fontId="11" fillId="4" borderId="22" xfId="0" applyFont="1" applyFill="1" applyBorder="1" applyAlignment="1">
      <alignment horizontal="center" vertical="center"/>
    </xf>
    <xf numFmtId="0" fontId="19" fillId="11" borderId="48" xfId="0" applyFont="1" applyFill="1" applyBorder="1" applyAlignment="1">
      <alignment horizontal="center" vertical="center"/>
    </xf>
    <xf numFmtId="0" fontId="19" fillId="11" borderId="47" xfId="0" applyFont="1" applyFill="1" applyBorder="1" applyAlignment="1">
      <alignment horizontal="center" vertical="center"/>
    </xf>
    <xf numFmtId="0" fontId="19" fillId="11" borderId="49" xfId="0" applyFont="1" applyFill="1" applyBorder="1" applyAlignment="1">
      <alignment horizontal="center" vertical="center"/>
    </xf>
    <xf numFmtId="166" fontId="11" fillId="0" borderId="24" xfId="0" applyNumberFormat="1" applyFont="1" applyBorder="1" applyAlignment="1">
      <alignment horizontal="center" vertical="center"/>
    </xf>
    <xf numFmtId="166" fontId="11" fillId="0" borderId="26" xfId="0" applyNumberFormat="1" applyFont="1" applyBorder="1" applyAlignment="1">
      <alignment horizontal="center" vertical="center"/>
    </xf>
    <xf numFmtId="166" fontId="11" fillId="0" borderId="27" xfId="0" applyNumberFormat="1" applyFont="1" applyBorder="1" applyAlignment="1">
      <alignment horizontal="center" vertical="center"/>
    </xf>
    <xf numFmtId="44" fontId="11" fillId="0" borderId="1" xfId="0" applyNumberFormat="1" applyFont="1" applyBorder="1" applyAlignment="1">
      <alignment vertical="center"/>
    </xf>
    <xf numFmtId="0" fontId="11" fillId="4" borderId="0" xfId="0" applyFont="1" applyFill="1" applyAlignment="1">
      <alignment horizontal="center" vertical="center" wrapText="1"/>
    </xf>
    <xf numFmtId="0" fontId="11" fillId="5" borderId="0" xfId="0" applyFont="1" applyFill="1" applyAlignment="1">
      <alignment horizontal="justify" vertical="center" wrapText="1"/>
    </xf>
    <xf numFmtId="0" fontId="19" fillId="4" borderId="0" xfId="0" applyFont="1" applyFill="1" applyAlignment="1">
      <alignment vertical="center"/>
    </xf>
    <xf numFmtId="0" fontId="11" fillId="10" borderId="20" xfId="0" applyFont="1" applyFill="1" applyBorder="1" applyAlignment="1" applyProtection="1">
      <protection locked="0"/>
    </xf>
    <xf numFmtId="0" fontId="11" fillId="10" borderId="18" xfId="0" applyFont="1" applyFill="1" applyBorder="1" applyAlignment="1" applyProtection="1">
      <protection locked="0"/>
    </xf>
    <xf numFmtId="0" fontId="77" fillId="0" borderId="1" xfId="0" applyFont="1" applyBorder="1" applyAlignment="1">
      <alignment horizontal="center" vertical="center" textRotation="90"/>
    </xf>
    <xf numFmtId="0" fontId="77" fillId="0" borderId="2" xfId="0" applyFont="1" applyBorder="1" applyAlignment="1">
      <alignment horizontal="center" vertical="center" textRotation="90"/>
    </xf>
    <xf numFmtId="0" fontId="77" fillId="0" borderId="6" xfId="0" applyFont="1" applyBorder="1" applyAlignment="1">
      <alignment horizontal="center" vertical="center" textRotation="90"/>
    </xf>
    <xf numFmtId="0" fontId="77" fillId="0" borderId="4" xfId="0" applyFont="1" applyBorder="1" applyAlignment="1">
      <alignment horizontal="center" vertical="center" textRotation="90"/>
    </xf>
    <xf numFmtId="0" fontId="35" fillId="26" borderId="2" xfId="0" applyFont="1" applyFill="1" applyBorder="1" applyAlignment="1">
      <alignment horizontal="center" vertical="center" wrapText="1"/>
    </xf>
    <xf numFmtId="0" fontId="35" fillId="26" borderId="4" xfId="0" applyFont="1" applyFill="1" applyBorder="1" applyAlignment="1">
      <alignment horizontal="center" vertical="center" wrapText="1"/>
    </xf>
    <xf numFmtId="0" fontId="35" fillId="6" borderId="1" xfId="0" applyFont="1" applyFill="1" applyBorder="1" applyAlignment="1">
      <alignment horizontal="center" vertical="center" wrapText="1"/>
    </xf>
    <xf numFmtId="0" fontId="35" fillId="27" borderId="18" xfId="0" applyFont="1" applyFill="1" applyBorder="1" applyAlignment="1">
      <alignment horizontal="center" vertical="center" wrapText="1"/>
    </xf>
    <xf numFmtId="0" fontId="35" fillId="27" borderId="1" xfId="0" applyFont="1" applyFill="1" applyBorder="1" applyAlignment="1">
      <alignment horizontal="center" vertical="center" wrapText="1"/>
    </xf>
    <xf numFmtId="0" fontId="16" fillId="0" borderId="1" xfId="0" applyFont="1" applyBorder="1" applyAlignment="1">
      <alignment horizontal="center" vertical="center" wrapText="1"/>
    </xf>
    <xf numFmtId="0" fontId="18" fillId="9" borderId="13" xfId="0" applyFont="1" applyFill="1" applyBorder="1" applyAlignment="1">
      <alignment horizontal="left" vertical="top" wrapText="1"/>
    </xf>
    <xf numFmtId="0" fontId="18" fillId="9" borderId="14" xfId="0" applyFont="1" applyFill="1" applyBorder="1" applyAlignment="1">
      <alignment horizontal="left" vertical="top" wrapText="1"/>
    </xf>
    <xf numFmtId="0" fontId="18" fillId="9" borderId="15" xfId="0" applyFont="1" applyFill="1" applyBorder="1" applyAlignment="1">
      <alignment horizontal="left" vertical="top" wrapText="1"/>
    </xf>
    <xf numFmtId="0" fontId="18" fillId="0" borderId="13" xfId="0" applyFont="1" applyBorder="1" applyAlignment="1">
      <alignment horizontal="center" vertical="top" wrapText="1"/>
    </xf>
    <xf numFmtId="0" fontId="18" fillId="0" borderId="15" xfId="0" applyFont="1" applyBorder="1" applyAlignment="1">
      <alignment horizontal="center" vertical="top" wrapText="1"/>
    </xf>
    <xf numFmtId="0" fontId="18" fillId="8" borderId="13" xfId="0" applyFont="1" applyFill="1" applyBorder="1" applyAlignment="1" applyProtection="1">
      <alignment horizontal="center" vertical="top" wrapText="1"/>
      <protection locked="0"/>
    </xf>
    <xf numFmtId="0" fontId="18" fillId="8" borderId="15" xfId="0" applyFont="1" applyFill="1" applyBorder="1" applyAlignment="1" applyProtection="1">
      <alignment horizontal="center" vertical="top" wrapText="1"/>
      <protection locked="0"/>
    </xf>
    <xf numFmtId="0" fontId="35" fillId="6" borderId="2" xfId="0" applyFont="1" applyFill="1" applyBorder="1" applyAlignment="1">
      <alignment horizontal="center" vertical="center" wrapText="1"/>
    </xf>
    <xf numFmtId="0" fontId="35" fillId="6" borderId="4" xfId="0" applyFont="1" applyFill="1" applyBorder="1" applyAlignment="1">
      <alignment horizontal="center" vertical="center" wrapText="1"/>
    </xf>
    <xf numFmtId="0" fontId="36" fillId="0" borderId="1" xfId="0" applyFont="1" applyBorder="1" applyAlignment="1">
      <alignment horizontal="center"/>
    </xf>
    <xf numFmtId="44" fontId="35" fillId="6" borderId="2" xfId="4" applyFont="1" applyFill="1" applyBorder="1" applyAlignment="1" applyProtection="1">
      <alignment horizontal="center" vertical="center" wrapText="1"/>
    </xf>
    <xf numFmtId="44" fontId="35" fillId="6" borderId="6" xfId="4" applyFont="1" applyFill="1" applyBorder="1" applyAlignment="1" applyProtection="1">
      <alignment horizontal="center" vertical="center" wrapText="1"/>
    </xf>
    <xf numFmtId="44" fontId="35" fillId="6" borderId="4" xfId="4" applyFont="1" applyFill="1" applyBorder="1" applyAlignment="1" applyProtection="1">
      <alignment horizontal="center" vertical="center" wrapText="1"/>
    </xf>
    <xf numFmtId="173" fontId="18" fillId="0" borderId="13" xfId="0" applyNumberFormat="1" applyFont="1" applyBorder="1" applyAlignment="1">
      <alignment horizontal="center" vertical="center" wrapText="1"/>
    </xf>
    <xf numFmtId="173" fontId="18" fillId="0" borderId="15" xfId="0" applyNumberFormat="1" applyFont="1" applyBorder="1" applyAlignment="1">
      <alignment horizontal="center" vertical="center" wrapText="1"/>
    </xf>
    <xf numFmtId="0" fontId="35" fillId="6" borderId="6" xfId="0" applyFont="1" applyFill="1" applyBorder="1" applyAlignment="1">
      <alignment horizontal="center" vertical="center" wrapText="1"/>
    </xf>
    <xf numFmtId="0" fontId="35" fillId="6" borderId="1" xfId="0" applyFont="1" applyFill="1" applyBorder="1" applyAlignment="1">
      <alignment horizontal="center" wrapText="1"/>
    </xf>
    <xf numFmtId="0" fontId="0" fillId="8" borderId="1" xfId="0" applyFill="1" applyBorder="1" applyAlignment="1">
      <alignment horizontal="center" vertical="center"/>
    </xf>
    <xf numFmtId="0" fontId="103" fillId="0" borderId="3" xfId="0" applyFont="1" applyBorder="1" applyAlignment="1" applyProtection="1">
      <alignment horizontal="justify" vertical="justify"/>
    </xf>
    <xf numFmtId="0" fontId="103" fillId="0" borderId="0" xfId="0" applyFont="1" applyAlignment="1" applyProtection="1">
      <alignment horizontal="justify" vertical="justify"/>
    </xf>
    <xf numFmtId="0" fontId="95" fillId="41" borderId="5" xfId="0" applyFont="1" applyFill="1" applyBorder="1" applyAlignment="1" applyProtection="1">
      <alignment horizontal="center" vertical="center" wrapText="1"/>
    </xf>
    <xf numFmtId="0" fontId="95" fillId="41" borderId="20" xfId="0" applyFont="1" applyFill="1" applyBorder="1" applyAlignment="1" applyProtection="1">
      <alignment horizontal="center" vertical="center" wrapText="1"/>
    </xf>
    <xf numFmtId="0" fontId="95" fillId="41" borderId="92" xfId="0" applyFont="1" applyFill="1" applyBorder="1" applyAlignment="1" applyProtection="1">
      <alignment horizontal="center" vertical="center" wrapText="1"/>
    </xf>
    <xf numFmtId="0" fontId="95" fillId="41" borderId="18" xfId="0" applyFont="1" applyFill="1" applyBorder="1" applyAlignment="1" applyProtection="1">
      <alignment horizontal="center" vertical="center" wrapText="1"/>
    </xf>
    <xf numFmtId="0" fontId="83" fillId="0" borderId="0" xfId="0" applyFont="1"/>
    <xf numFmtId="0" fontId="85" fillId="41" borderId="5" xfId="0" applyFont="1" applyFill="1" applyBorder="1" applyAlignment="1" applyProtection="1">
      <alignment horizontal="center" vertical="center" wrapText="1"/>
    </xf>
    <xf numFmtId="0" fontId="85" fillId="41" borderId="20" xfId="0" applyFont="1" applyFill="1" applyBorder="1" applyAlignment="1" applyProtection="1">
      <alignment horizontal="center" vertical="center" wrapText="1"/>
    </xf>
    <xf numFmtId="0" fontId="85" fillId="41" borderId="92" xfId="0" applyFont="1" applyFill="1" applyBorder="1" applyAlignment="1" applyProtection="1">
      <alignment horizontal="center" vertical="center" wrapText="1"/>
    </xf>
    <xf numFmtId="0" fontId="85" fillId="41" borderId="18" xfId="0" applyFont="1" applyFill="1" applyBorder="1" applyAlignment="1" applyProtection="1">
      <alignment horizontal="center" vertical="center" wrapText="1"/>
    </xf>
    <xf numFmtId="0" fontId="95" fillId="8" borderId="1" xfId="0" applyFont="1" applyFill="1" applyBorder="1" applyAlignment="1">
      <alignment vertical="center" wrapText="1"/>
    </xf>
    <xf numFmtId="0" fontId="95" fillId="8" borderId="9" xfId="0" applyFont="1" applyFill="1" applyBorder="1" applyAlignment="1">
      <alignment horizontal="center" vertical="center" wrapText="1"/>
    </xf>
    <xf numFmtId="0" fontId="95" fillId="8" borderId="94" xfId="0" applyFont="1" applyFill="1" applyBorder="1" applyAlignment="1">
      <alignment horizontal="center" vertical="center" wrapText="1"/>
    </xf>
    <xf numFmtId="0" fontId="95" fillId="8" borderId="1" xfId="0" applyFont="1" applyFill="1" applyBorder="1" applyAlignment="1">
      <alignment horizontal="center" vertical="center" wrapText="1"/>
    </xf>
    <xf numFmtId="182" fontId="95" fillId="8" borderId="1" xfId="4" applyNumberFormat="1" applyFont="1" applyFill="1" applyBorder="1" applyAlignment="1" applyProtection="1">
      <alignment horizontal="center" vertical="center" wrapText="1"/>
    </xf>
    <xf numFmtId="0" fontId="83" fillId="0" borderId="0" xfId="0" applyFont="1" applyAlignment="1">
      <alignment wrapText="1"/>
    </xf>
    <xf numFmtId="0" fontId="104" fillId="3" borderId="5" xfId="0" applyFont="1" applyFill="1" applyBorder="1" applyAlignment="1" applyProtection="1">
      <alignment horizontal="left" vertical="center" wrapText="1"/>
    </xf>
    <xf numFmtId="0" fontId="83" fillId="3" borderId="1" xfId="0" applyFont="1" applyFill="1" applyBorder="1" applyAlignment="1" applyProtection="1">
      <alignment horizontal="center" vertical="center" wrapText="1"/>
    </xf>
    <xf numFmtId="44" fontId="83" fillId="3" borderId="93" xfId="4" applyFont="1" applyFill="1" applyBorder="1" applyAlignment="1" applyProtection="1">
      <alignment horizontal="center" vertical="center" wrapText="1"/>
    </xf>
    <xf numFmtId="37" fontId="83" fillId="34" borderId="84" xfId="4" applyNumberFormat="1" applyFont="1" applyFill="1" applyBorder="1" applyAlignment="1" applyProtection="1">
      <alignment horizontal="center" vertical="center" wrapText="1"/>
    </xf>
    <xf numFmtId="181" fontId="83" fillId="0" borderId="1" xfId="4" applyNumberFormat="1" applyFont="1" applyFill="1" applyBorder="1" applyAlignment="1" applyProtection="1">
      <alignment horizontal="center" vertical="center" wrapText="1"/>
    </xf>
    <xf numFmtId="37" fontId="83" fillId="34" borderId="74" xfId="4" applyNumberFormat="1" applyFont="1" applyFill="1" applyBorder="1" applyAlignment="1" applyProtection="1">
      <alignment horizontal="center" vertical="center" wrapText="1"/>
    </xf>
    <xf numFmtId="0" fontId="83" fillId="0" borderId="0" xfId="0" applyFont="1" applyFill="1" applyBorder="1" applyAlignment="1" applyProtection="1">
      <alignment horizontal="center" vertical="center" wrapText="1"/>
    </xf>
    <xf numFmtId="44" fontId="83" fillId="0" borderId="0" xfId="4" applyFont="1"/>
    <xf numFmtId="37" fontId="83" fillId="40" borderId="80" xfId="4" applyNumberFormat="1" applyFont="1" applyFill="1" applyBorder="1" applyAlignment="1" applyProtection="1">
      <alignment horizontal="center" vertical="center" wrapText="1"/>
    </xf>
    <xf numFmtId="0" fontId="83" fillId="3" borderId="5" xfId="0" applyFont="1" applyFill="1" applyBorder="1" applyAlignment="1" applyProtection="1">
      <alignment horizontal="left" vertical="center" wrapText="1"/>
    </xf>
    <xf numFmtId="0" fontId="83" fillId="7" borderId="1" xfId="0" applyFont="1" applyFill="1" applyBorder="1" applyAlignment="1" applyProtection="1">
      <alignment horizontal="center" vertical="center" wrapText="1"/>
    </xf>
    <xf numFmtId="0" fontId="83" fillId="3" borderId="93" xfId="0" applyFont="1" applyFill="1" applyBorder="1" applyAlignment="1" applyProtection="1">
      <alignment horizontal="center" vertical="center" wrapText="1"/>
    </xf>
    <xf numFmtId="181" fontId="105" fillId="7" borderId="1" xfId="4" applyNumberFormat="1" applyFont="1" applyFill="1" applyBorder="1" applyAlignment="1">
      <alignment horizontal="center" vertical="center"/>
    </xf>
    <xf numFmtId="37" fontId="83" fillId="35" borderId="80" xfId="4" applyNumberFormat="1" applyFont="1" applyFill="1" applyBorder="1" applyAlignment="1" applyProtection="1">
      <alignment horizontal="center" vertical="center" wrapText="1"/>
    </xf>
    <xf numFmtId="0" fontId="95" fillId="42" borderId="1" xfId="0" applyFont="1" applyFill="1" applyBorder="1" applyAlignment="1">
      <alignment horizontal="center" vertical="center"/>
    </xf>
    <xf numFmtId="0" fontId="95" fillId="42" borderId="93" xfId="0" applyFont="1" applyFill="1" applyBorder="1" applyAlignment="1">
      <alignment horizontal="center" vertical="center"/>
    </xf>
    <xf numFmtId="181" fontId="95" fillId="42" borderId="1" xfId="0" applyNumberFormat="1" applyFont="1" applyFill="1" applyBorder="1" applyAlignment="1">
      <alignment horizontal="center" vertical="center"/>
    </xf>
    <xf numFmtId="181" fontId="83" fillId="0" borderId="93" xfId="4" applyNumberFormat="1" applyFont="1" applyFill="1" applyBorder="1" applyAlignment="1" applyProtection="1">
      <alignment horizontal="center" vertical="center" wrapText="1"/>
    </xf>
    <xf numFmtId="37" fontId="83" fillId="34" borderId="75" xfId="4" applyNumberFormat="1" applyFont="1" applyFill="1" applyBorder="1" applyAlignment="1" applyProtection="1">
      <alignment horizontal="center" vertical="center" wrapText="1"/>
    </xf>
    <xf numFmtId="0" fontId="106" fillId="0" borderId="0" xfId="0" applyFont="1"/>
    <xf numFmtId="1" fontId="105" fillId="7" borderId="1" xfId="4" applyNumberFormat="1" applyFont="1" applyFill="1" applyBorder="1" applyAlignment="1">
      <alignment horizontal="center" vertical="center"/>
    </xf>
    <xf numFmtId="181" fontId="105" fillId="3" borderId="93" xfId="4" applyNumberFormat="1" applyFont="1" applyFill="1" applyBorder="1" applyAlignment="1">
      <alignment horizontal="center" vertical="center"/>
    </xf>
    <xf numFmtId="181" fontId="106" fillId="0" borderId="0" xfId="0" applyNumberFormat="1" applyFont="1"/>
    <xf numFmtId="0" fontId="103" fillId="0" borderId="0" xfId="0" applyFont="1" applyAlignment="1" applyProtection="1">
      <alignment horizontal="justify" vertical="justify"/>
    </xf>
    <xf numFmtId="185" fontId="3" fillId="7" borderId="93" xfId="0" applyNumberFormat="1" applyFont="1" applyFill="1" applyBorder="1" applyAlignment="1">
      <alignment vertical="center"/>
    </xf>
    <xf numFmtId="44" fontId="84" fillId="53" borderId="4" xfId="4" applyFont="1" applyFill="1" applyBorder="1" applyAlignment="1" applyProtection="1">
      <alignment horizontal="centerContinuous" vertical="center" wrapText="1"/>
    </xf>
    <xf numFmtId="44" fontId="3" fillId="7" borderId="93" xfId="0" applyNumberFormat="1" applyFont="1" applyFill="1" applyBorder="1"/>
    <xf numFmtId="44" fontId="3" fillId="7" borderId="93" xfId="0" applyNumberFormat="1" applyFont="1" applyFill="1" applyBorder="1" applyAlignment="1">
      <alignment vertical="center"/>
    </xf>
    <xf numFmtId="44" fontId="86" fillId="54" borderId="89" xfId="4" applyFont="1" applyFill="1" applyBorder="1" applyAlignment="1">
      <alignment horizontal="center" vertical="center" wrapText="1"/>
    </xf>
    <xf numFmtId="44" fontId="86" fillId="54" borderId="4" xfId="4" applyFont="1" applyFill="1" applyBorder="1" applyAlignment="1">
      <alignment horizontal="center" vertical="center" wrapText="1"/>
    </xf>
    <xf numFmtId="44" fontId="86" fillId="54" borderId="89" xfId="4" applyFont="1" applyFill="1" applyBorder="1" applyAlignment="1">
      <alignment vertical="center" wrapText="1"/>
    </xf>
    <xf numFmtId="181" fontId="3" fillId="7" borderId="1" xfId="0" applyNumberFormat="1" applyFont="1" applyFill="1" applyBorder="1" applyAlignment="1" applyProtection="1">
      <alignment horizontal="center" vertical="center"/>
    </xf>
    <xf numFmtId="44" fontId="83" fillId="7" borderId="1" xfId="4" applyFont="1" applyFill="1" applyBorder="1" applyAlignment="1" applyProtection="1">
      <alignment horizontal="center" vertical="center" wrapText="1"/>
    </xf>
    <xf numFmtId="181" fontId="83" fillId="7" borderId="1" xfId="4" applyNumberFormat="1" applyFont="1" applyFill="1" applyBorder="1" applyAlignment="1" applyProtection="1">
      <alignment horizontal="center" vertical="center" wrapText="1"/>
    </xf>
  </cellXfs>
  <cellStyles count="20">
    <cellStyle name="Excel_BuiltIn_Currency" xfId="1" xr:uid="{00000000-0005-0000-0000-000000000000}"/>
    <cellStyle name="Heading" xfId="2" xr:uid="{00000000-0005-0000-0000-000001000000}"/>
    <cellStyle name="Heading1" xfId="3" xr:uid="{00000000-0005-0000-0000-000002000000}"/>
    <cellStyle name="Moeda" xfId="4" builtinId="4"/>
    <cellStyle name="Moeda 2" xfId="18" xr:uid="{00000000-0005-0000-0000-00003E000000}"/>
    <cellStyle name="Moeda 4" xfId="5" xr:uid="{00000000-0005-0000-0000-000004000000}"/>
    <cellStyle name="Normal" xfId="0" builtinId="0" customBuiltin="1"/>
    <cellStyle name="Normal 2" xfId="6" xr:uid="{00000000-0005-0000-0000-000006000000}"/>
    <cellStyle name="Normal 2 2" xfId="7" xr:uid="{00000000-0005-0000-0000-000007000000}"/>
    <cellStyle name="Normal 3" xfId="8" xr:uid="{00000000-0005-0000-0000-000008000000}"/>
    <cellStyle name="Normal 4" xfId="9" xr:uid="{00000000-0005-0000-0000-000009000000}"/>
    <cellStyle name="Porcentagem" xfId="10" builtinId="5"/>
    <cellStyle name="Porcentagem 2" xfId="19" xr:uid="{00000000-0005-0000-0000-00003F000000}"/>
    <cellStyle name="Porcentagem 4" xfId="11" xr:uid="{00000000-0005-0000-0000-00000B000000}"/>
    <cellStyle name="Result" xfId="12" xr:uid="{00000000-0005-0000-0000-00000C000000}"/>
    <cellStyle name="Result2" xfId="13" xr:uid="{00000000-0005-0000-0000-00000D000000}"/>
    <cellStyle name="Título 5" xfId="14" xr:uid="{00000000-0005-0000-0000-00000E000000}"/>
    <cellStyle name="Título 6" xfId="15" xr:uid="{00000000-0005-0000-0000-00000F000000}"/>
    <cellStyle name="Total" xfId="16" builtinId="25" customBuiltin="1"/>
    <cellStyle name="Vírgula" xfId="17" builtinId="3"/>
  </cellStyles>
  <dxfs count="2">
    <dxf>
      <font>
        <color auto="1"/>
      </font>
      <fill>
        <patternFill>
          <bgColor theme="5" tint="0.79998168889431442"/>
        </patternFill>
      </fill>
    </dxf>
    <dxf>
      <fill>
        <patternFill>
          <bgColor theme="9" tint="0.79998168889431442"/>
        </patternFill>
      </fill>
    </dxf>
  </dxfs>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230275</xdr:colOff>
      <xdr:row>98</xdr:row>
      <xdr:rowOff>111379</xdr:rowOff>
    </xdr:from>
    <xdr:to>
      <xdr:col>4</xdr:col>
      <xdr:colOff>4091991</xdr:colOff>
      <xdr:row>99</xdr:row>
      <xdr:rowOff>550779</xdr:rowOff>
    </xdr:to>
    <xdr:pic>
      <xdr:nvPicPr>
        <xdr:cNvPr id="3" name="Imagem 2">
          <a:extLst>
            <a:ext uri="{FF2B5EF4-FFF2-40B4-BE49-F238E27FC236}">
              <a16:creationId xmlns:a16="http://schemas.microsoft.com/office/drawing/2014/main" id="{054269D8-90F8-4FC1-BBEA-2A0A2CE1EE4E}"/>
            </a:ext>
          </a:extLst>
        </xdr:cNvPr>
        <xdr:cNvPicPr>
          <a:picLocks noChangeAspect="1"/>
        </xdr:cNvPicPr>
      </xdr:nvPicPr>
      <xdr:blipFill>
        <a:blip xmlns:r="http://schemas.openxmlformats.org/officeDocument/2006/relationships" r:embed="rId1"/>
        <a:stretch>
          <a:fillRect/>
        </a:stretch>
      </xdr:blipFill>
      <xdr:spPr>
        <a:xfrm>
          <a:off x="7295522" y="29576077"/>
          <a:ext cx="3861716" cy="1109290"/>
        </a:xfrm>
        <a:prstGeom prst="rect">
          <a:avLst/>
        </a:prstGeom>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Planilha1">
    <tabColor theme="5" tint="0.79998168889431442"/>
  </sheetPr>
  <dimension ref="A1:J95"/>
  <sheetViews>
    <sheetView showGridLines="0" tabSelected="1" zoomScale="89" zoomScaleNormal="89" workbookViewId="0">
      <selection activeCell="E26" sqref="E26"/>
    </sheetView>
  </sheetViews>
  <sheetFormatPr defaultColWidth="9" defaultRowHeight="15.75"/>
  <cols>
    <col min="1" max="1" width="3" style="530" customWidth="1"/>
    <col min="2" max="2" width="18.125" style="530" customWidth="1"/>
    <col min="3" max="3" width="28.625" style="530" customWidth="1"/>
    <col min="4" max="4" width="17.625" style="530" customWidth="1"/>
    <col min="5" max="5" width="22.5" style="530" customWidth="1"/>
    <col min="6" max="6" width="23.75" style="530" customWidth="1"/>
    <col min="7" max="7" width="29" style="530" customWidth="1"/>
    <col min="8" max="8" width="33.875" style="530" customWidth="1"/>
    <col min="9" max="9" width="31.375" style="530" customWidth="1"/>
    <col min="10" max="10" width="17.625" style="530" bestFit="1" customWidth="1"/>
    <col min="11" max="11" width="17.875" style="530" customWidth="1"/>
    <col min="12" max="12" width="17.625" style="530" bestFit="1" customWidth="1"/>
    <col min="13" max="13" width="14.375" style="530" customWidth="1"/>
    <col min="14" max="14" width="14.875" style="530" customWidth="1"/>
    <col min="15" max="15" width="11.875" style="530" customWidth="1"/>
    <col min="16" max="16" width="9.75" style="530" customWidth="1"/>
    <col min="17" max="17" width="20.75" style="530" customWidth="1"/>
    <col min="18" max="18" width="14.375" style="530" customWidth="1"/>
    <col min="19" max="19" width="34" style="530" customWidth="1"/>
    <col min="20" max="20" width="15" style="530" customWidth="1"/>
    <col min="21" max="21" width="11.25" style="530" customWidth="1"/>
    <col min="22" max="16384" width="9" style="530"/>
  </cols>
  <sheetData>
    <row r="1" spans="1:10" ht="49.5" customHeight="1">
      <c r="A1" s="527"/>
      <c r="B1" s="555" t="s">
        <v>42</v>
      </c>
      <c r="C1" s="528"/>
      <c r="D1" s="528"/>
      <c r="E1" s="528"/>
      <c r="F1" s="528"/>
      <c r="G1" s="528"/>
      <c r="H1" s="528"/>
      <c r="I1" s="529"/>
      <c r="J1" s="529"/>
    </row>
    <row r="2" spans="1:10" s="657" customFormat="1" ht="45" customHeight="1">
      <c r="A2" s="654"/>
      <c r="B2" s="655" t="s">
        <v>43</v>
      </c>
      <c r="C2" s="924" t="s">
        <v>553</v>
      </c>
      <c r="D2" s="925"/>
      <c r="E2" s="925"/>
      <c r="F2" s="925"/>
      <c r="G2" s="925"/>
      <c r="H2" s="926"/>
      <c r="I2" s="656"/>
      <c r="J2" s="656"/>
    </row>
    <row r="3" spans="1:10" s="657" customFormat="1" ht="12" hidden="1">
      <c r="A3" s="658"/>
      <c r="B3" s="655" t="s">
        <v>44</v>
      </c>
      <c r="C3" s="934"/>
      <c r="D3" s="935"/>
      <c r="E3" s="935"/>
      <c r="F3" s="935"/>
      <c r="G3" s="935"/>
      <c r="H3" s="935"/>
      <c r="I3" s="659"/>
      <c r="J3" s="659"/>
    </row>
    <row r="4" spans="1:10" s="657" customFormat="1" ht="12" hidden="1">
      <c r="A4" s="658"/>
      <c r="B4" s="655" t="s">
        <v>45</v>
      </c>
      <c r="C4" s="932"/>
      <c r="D4" s="933"/>
      <c r="E4" s="933"/>
      <c r="F4" s="933"/>
      <c r="G4" s="933"/>
      <c r="H4" s="933"/>
      <c r="I4" s="659"/>
      <c r="J4" s="659"/>
    </row>
    <row r="5" spans="1:10" s="657" customFormat="1" ht="12" hidden="1">
      <c r="A5" s="654"/>
      <c r="B5" s="655" t="s">
        <v>46</v>
      </c>
      <c r="C5" s="936"/>
      <c r="D5" s="936"/>
      <c r="E5" s="936"/>
      <c r="F5" s="655" t="s">
        <v>47</v>
      </c>
      <c r="G5" s="927"/>
      <c r="H5" s="928"/>
      <c r="I5" s="659"/>
      <c r="J5" s="659"/>
    </row>
    <row r="6" spans="1:10" s="657" customFormat="1" ht="12" hidden="1">
      <c r="A6" s="654"/>
      <c r="B6" s="912" t="s">
        <v>48</v>
      </c>
      <c r="C6" s="913"/>
      <c r="D6" s="913"/>
      <c r="E6" s="914"/>
      <c r="F6" s="929"/>
      <c r="G6" s="930"/>
      <c r="H6" s="931"/>
      <c r="I6" s="658"/>
      <c r="J6" s="658"/>
    </row>
    <row r="7" spans="1:10" s="657" customFormat="1" ht="12" hidden="1">
      <c r="A7" s="654"/>
      <c r="B7" s="912" t="s">
        <v>49</v>
      </c>
      <c r="C7" s="913"/>
      <c r="D7" s="913"/>
      <c r="E7" s="914"/>
      <c r="F7" s="909">
        <v>40</v>
      </c>
      <c r="G7" s="910"/>
      <c r="H7" s="911"/>
      <c r="I7" s="658"/>
      <c r="J7" s="658"/>
    </row>
    <row r="8" spans="1:10" s="657" customFormat="1" ht="12">
      <c r="A8" s="654"/>
      <c r="B8" s="654"/>
      <c r="C8" s="654"/>
      <c r="D8" s="654"/>
      <c r="E8" s="654"/>
      <c r="F8" s="654"/>
      <c r="G8" s="654"/>
      <c r="H8" s="654"/>
      <c r="I8" s="654"/>
      <c r="J8" s="654"/>
    </row>
    <row r="9" spans="1:10" s="657" customFormat="1" ht="12">
      <c r="A9" s="654"/>
      <c r="B9" s="903" t="s">
        <v>554</v>
      </c>
      <c r="C9" s="660" t="s">
        <v>556</v>
      </c>
      <c r="D9" s="921" t="s">
        <v>398</v>
      </c>
      <c r="E9" s="922"/>
      <c r="F9" s="922"/>
      <c r="G9" s="921" t="s">
        <v>399</v>
      </c>
      <c r="H9" s="919"/>
      <c r="I9" s="654"/>
      <c r="J9" s="654"/>
    </row>
    <row r="10" spans="1:10" s="657" customFormat="1" ht="12">
      <c r="A10" s="654"/>
      <c r="B10" s="904"/>
      <c r="C10" s="661" t="s">
        <v>475</v>
      </c>
      <c r="D10" s="923" t="s">
        <v>583</v>
      </c>
      <c r="E10" s="923"/>
      <c r="F10" s="923"/>
      <c r="G10" s="937" t="s">
        <v>582</v>
      </c>
      <c r="H10" s="938"/>
      <c r="I10" s="654"/>
      <c r="J10" s="654"/>
    </row>
    <row r="11" spans="1:10" s="657" customFormat="1" ht="12">
      <c r="A11" s="654"/>
      <c r="B11" s="905"/>
      <c r="C11" s="661" t="s">
        <v>476</v>
      </c>
      <c r="D11" s="923" t="s">
        <v>581</v>
      </c>
      <c r="E11" s="923"/>
      <c r="F11" s="923"/>
      <c r="G11" s="937" t="s">
        <v>585</v>
      </c>
      <c r="H11" s="938"/>
      <c r="I11" s="654"/>
      <c r="J11" s="654"/>
    </row>
    <row r="12" spans="1:10" s="654" customFormat="1" ht="12"/>
    <row r="13" spans="1:10" s="657" customFormat="1" ht="12">
      <c r="A13" s="654"/>
      <c r="B13" s="903" t="s">
        <v>555</v>
      </c>
      <c r="C13" s="660" t="s">
        <v>556</v>
      </c>
      <c r="D13" s="921" t="s">
        <v>398</v>
      </c>
      <c r="E13" s="922"/>
      <c r="F13" s="922"/>
      <c r="G13" s="921" t="s">
        <v>399</v>
      </c>
      <c r="H13" s="919"/>
      <c r="I13" s="654"/>
      <c r="J13" s="654"/>
    </row>
    <row r="14" spans="1:10" s="657" customFormat="1" ht="12">
      <c r="A14" s="654"/>
      <c r="B14" s="904"/>
      <c r="C14" s="661" t="s">
        <v>475</v>
      </c>
      <c r="D14" s="923" t="s">
        <v>583</v>
      </c>
      <c r="E14" s="923"/>
      <c r="F14" s="923"/>
      <c r="G14" s="937" t="s">
        <v>584</v>
      </c>
      <c r="H14" s="938"/>
      <c r="I14" s="654"/>
      <c r="J14" s="654"/>
    </row>
    <row r="15" spans="1:10" s="657" customFormat="1" ht="12">
      <c r="B15" s="905"/>
      <c r="C15" s="661" t="s">
        <v>476</v>
      </c>
      <c r="D15" s="923" t="s">
        <v>581</v>
      </c>
      <c r="E15" s="923"/>
      <c r="F15" s="923"/>
      <c r="G15" s="944">
        <v>58194333</v>
      </c>
      <c r="H15" s="938"/>
    </row>
    <row r="16" spans="1:10" s="657" customFormat="1" ht="12">
      <c r="A16" s="654"/>
      <c r="B16" s="654"/>
      <c r="C16" s="654"/>
      <c r="D16" s="654"/>
      <c r="E16" s="654"/>
      <c r="F16" s="654"/>
      <c r="G16" s="654"/>
      <c r="H16" s="654"/>
    </row>
    <row r="17" spans="1:8" s="657" customFormat="1" ht="12">
      <c r="A17" s="654"/>
      <c r="B17" s="662" t="s">
        <v>478</v>
      </c>
      <c r="C17" s="662"/>
      <c r="D17" s="939"/>
      <c r="E17" s="940"/>
      <c r="F17" s="940"/>
      <c r="G17" s="940"/>
      <c r="H17" s="941"/>
    </row>
    <row r="18" spans="1:8" s="657" customFormat="1" ht="12">
      <c r="A18" s="654"/>
      <c r="B18" s="942" t="s">
        <v>477</v>
      </c>
      <c r="C18" s="943"/>
      <c r="D18" s="939"/>
      <c r="E18" s="940"/>
      <c r="F18" s="940"/>
      <c r="G18" s="940"/>
      <c r="H18" s="941"/>
    </row>
    <row r="19" spans="1:8" s="654" customFormat="1" ht="12"/>
    <row r="20" spans="1:8" s="657" customFormat="1" ht="12"/>
    <row r="21" spans="1:8" s="657" customFormat="1" ht="12"/>
    <row r="22" spans="1:8" s="657" customFormat="1" ht="12">
      <c r="B22" s="915" t="s">
        <v>258</v>
      </c>
      <c r="C22" s="915" t="s">
        <v>387</v>
      </c>
      <c r="D22" s="918" t="s">
        <v>388</v>
      </c>
      <c r="E22" s="919"/>
    </row>
    <row r="23" spans="1:8" s="657" customFormat="1" ht="12">
      <c r="B23" s="916"/>
      <c r="C23" s="916"/>
      <c r="D23" s="663" t="s">
        <v>405</v>
      </c>
      <c r="E23" s="663" t="s">
        <v>406</v>
      </c>
      <c r="G23" s="669"/>
    </row>
    <row r="24" spans="1:8" s="657" customFormat="1" ht="12">
      <c r="B24" s="917"/>
      <c r="C24" s="917"/>
      <c r="D24" s="947" t="s">
        <v>837</v>
      </c>
      <c r="E24" s="949" t="s">
        <v>389</v>
      </c>
    </row>
    <row r="25" spans="1:8" s="657" customFormat="1" ht="12">
      <c r="B25" s="664" t="s">
        <v>390</v>
      </c>
      <c r="C25" s="665" t="s">
        <v>234</v>
      </c>
      <c r="D25" s="948"/>
      <c r="E25" s="948"/>
    </row>
    <row r="26" spans="1:8" s="657" customFormat="1" ht="12">
      <c r="B26" s="666" t="s">
        <v>62</v>
      </c>
      <c r="C26" s="667" t="s">
        <v>260</v>
      </c>
      <c r="D26" s="668">
        <v>3664.33</v>
      </c>
      <c r="E26" s="668">
        <v>2160</v>
      </c>
    </row>
    <row r="27" spans="1:8" s="657" customFormat="1" ht="12">
      <c r="B27" s="666" t="s">
        <v>0</v>
      </c>
      <c r="C27" s="667" t="s">
        <v>261</v>
      </c>
      <c r="D27" s="668">
        <v>3664.33</v>
      </c>
      <c r="E27" s="668">
        <v>2160</v>
      </c>
    </row>
    <row r="28" spans="1:8" s="657" customFormat="1" ht="12"/>
    <row r="29" spans="1:8" s="657" customFormat="1" ht="12">
      <c r="B29" s="915" t="s">
        <v>258</v>
      </c>
      <c r="C29" s="915" t="s">
        <v>387</v>
      </c>
      <c r="D29" s="920" t="s">
        <v>572</v>
      </c>
      <c r="E29" s="663" t="s">
        <v>386</v>
      </c>
      <c r="F29" s="957" t="s">
        <v>578</v>
      </c>
      <c r="G29" s="955" t="s">
        <v>579</v>
      </c>
      <c r="H29" s="945">
        <v>2160</v>
      </c>
    </row>
    <row r="30" spans="1:8" s="657" customFormat="1" ht="15.75" customHeight="1">
      <c r="B30" s="916"/>
      <c r="C30" s="916"/>
      <c r="D30" s="917"/>
      <c r="E30" s="663" t="s">
        <v>396</v>
      </c>
      <c r="F30" s="958"/>
      <c r="G30" s="956"/>
      <c r="H30" s="946"/>
    </row>
    <row r="31" spans="1:8" s="657" customFormat="1" ht="12">
      <c r="B31" s="917"/>
      <c r="C31" s="917"/>
      <c r="D31" s="664" t="s">
        <v>394</v>
      </c>
      <c r="E31" s="664" t="s">
        <v>389</v>
      </c>
    </row>
    <row r="32" spans="1:8" s="657" customFormat="1" ht="48" customHeight="1">
      <c r="B32" s="664" t="s">
        <v>390</v>
      </c>
      <c r="C32" s="665" t="s">
        <v>234</v>
      </c>
      <c r="D32" s="664" t="s">
        <v>38</v>
      </c>
      <c r="E32" s="664" t="s">
        <v>397</v>
      </c>
      <c r="F32" s="951" t="s">
        <v>580</v>
      </c>
      <c r="G32" s="952"/>
      <c r="H32" s="950">
        <v>0.03</v>
      </c>
    </row>
    <row r="33" spans="2:8" s="657" customFormat="1" ht="12">
      <c r="B33" s="666" t="s">
        <v>62</v>
      </c>
      <c r="C33" s="667" t="s">
        <v>260</v>
      </c>
      <c r="D33" s="670">
        <v>0.03</v>
      </c>
      <c r="E33" s="668">
        <v>5.25</v>
      </c>
      <c r="F33" s="953"/>
      <c r="G33" s="954"/>
      <c r="H33" s="950"/>
    </row>
    <row r="34" spans="2:8" s="657" customFormat="1" ht="12">
      <c r="B34" s="666" t="s">
        <v>0</v>
      </c>
      <c r="C34" s="667" t="s">
        <v>261</v>
      </c>
      <c r="D34" s="670">
        <v>0.05</v>
      </c>
      <c r="E34" s="668">
        <v>2</v>
      </c>
      <c r="G34" s="687"/>
    </row>
    <row r="35" spans="2:8" s="657" customFormat="1" ht="12"/>
    <row r="36" spans="2:8" s="657" customFormat="1" ht="12">
      <c r="B36" s="915" t="s">
        <v>258</v>
      </c>
      <c r="C36" s="915" t="s">
        <v>387</v>
      </c>
      <c r="D36" s="915" t="s">
        <v>392</v>
      </c>
      <c r="E36" s="918" t="s">
        <v>231</v>
      </c>
      <c r="F36" s="919"/>
      <c r="G36" s="671" t="s">
        <v>395</v>
      </c>
      <c r="H36" s="672"/>
    </row>
    <row r="37" spans="2:8" s="657" customFormat="1" ht="12">
      <c r="B37" s="916"/>
      <c r="C37" s="916"/>
      <c r="D37" s="917"/>
      <c r="E37" s="663" t="s">
        <v>405</v>
      </c>
      <c r="F37" s="663" t="s">
        <v>406</v>
      </c>
      <c r="G37" s="663" t="s">
        <v>405</v>
      </c>
      <c r="H37" s="663" t="s">
        <v>406</v>
      </c>
    </row>
    <row r="38" spans="2:8" s="657" customFormat="1" ht="12">
      <c r="B38" s="917"/>
      <c r="C38" s="917"/>
      <c r="D38" s="673" t="s">
        <v>393</v>
      </c>
      <c r="E38" s="673" t="s">
        <v>391</v>
      </c>
      <c r="F38" s="673" t="s">
        <v>391</v>
      </c>
      <c r="G38" s="664" t="s">
        <v>389</v>
      </c>
      <c r="H38" s="664" t="s">
        <v>389</v>
      </c>
    </row>
    <row r="39" spans="2:8" s="657" customFormat="1" ht="12">
      <c r="B39" s="666" t="s">
        <v>62</v>
      </c>
      <c r="C39" s="667" t="s">
        <v>260</v>
      </c>
      <c r="D39" s="674">
        <v>2</v>
      </c>
      <c r="E39" s="674">
        <v>22</v>
      </c>
      <c r="F39" s="674">
        <v>22</v>
      </c>
      <c r="G39" s="675">
        <f>($E33*$D39*$E39)-($H$32*$D$39*$E$39*$E$33)</f>
        <v>224.07</v>
      </c>
      <c r="H39" s="675">
        <f>($E33*$D39*$E39)-($H$32*D39*E39*E33)</f>
        <v>224.07</v>
      </c>
    </row>
    <row r="40" spans="2:8" s="657" customFormat="1" ht="12">
      <c r="B40" s="666" t="s">
        <v>0</v>
      </c>
      <c r="C40" s="667" t="s">
        <v>261</v>
      </c>
      <c r="D40" s="674">
        <v>2</v>
      </c>
      <c r="E40" s="674">
        <v>22</v>
      </c>
      <c r="F40" s="674">
        <v>22</v>
      </c>
      <c r="G40" s="675">
        <f>(E34*$D40*$E40)-(($H$32*$D$40*$E$40*$E$34))</f>
        <v>85.36</v>
      </c>
      <c r="H40" s="675">
        <f>($E34*$D40*$E40)-($H$32*E34*D40*E40)</f>
        <v>85.36</v>
      </c>
    </row>
    <row r="43" spans="2:8">
      <c r="B43" s="620" t="s">
        <v>80</v>
      </c>
      <c r="C43" s="621"/>
      <c r="D43" s="621"/>
      <c r="E43" s="621"/>
      <c r="F43" s="621"/>
      <c r="G43" s="625"/>
    </row>
    <row r="44" spans="2:8">
      <c r="B44" s="592" t="s">
        <v>50</v>
      </c>
      <c r="C44" s="593"/>
      <c r="D44" s="593"/>
      <c r="E44" s="593"/>
      <c r="F44" s="595"/>
      <c r="G44" s="591" t="s">
        <v>75</v>
      </c>
    </row>
    <row r="45" spans="2:8">
      <c r="B45" s="596" t="s">
        <v>7</v>
      </c>
      <c r="C45" s="616" t="s">
        <v>8</v>
      </c>
      <c r="D45" s="617"/>
      <c r="E45" s="617"/>
      <c r="F45" s="617"/>
      <c r="G45" s="615">
        <v>0.2</v>
      </c>
    </row>
    <row r="46" spans="2:8">
      <c r="B46" s="600" t="s">
        <v>9</v>
      </c>
      <c r="C46" s="616" t="s">
        <v>51</v>
      </c>
      <c r="D46" s="617"/>
      <c r="E46" s="617"/>
      <c r="F46" s="617"/>
      <c r="G46" s="615">
        <v>2.5000000000000001E-2</v>
      </c>
    </row>
    <row r="47" spans="2:8">
      <c r="B47" s="959" t="s">
        <v>11</v>
      </c>
      <c r="C47" s="960" t="s">
        <v>52</v>
      </c>
      <c r="D47" s="961"/>
      <c r="E47" s="598" t="s">
        <v>53</v>
      </c>
      <c r="F47" s="623">
        <v>0.03</v>
      </c>
      <c r="G47" s="964">
        <f>F47*F48</f>
        <v>0.03</v>
      </c>
    </row>
    <row r="48" spans="2:8">
      <c r="B48" s="959"/>
      <c r="C48" s="962"/>
      <c r="D48" s="963"/>
      <c r="E48" s="599" t="s">
        <v>54</v>
      </c>
      <c r="F48" s="624">
        <v>1</v>
      </c>
      <c r="G48" s="964"/>
    </row>
    <row r="49" spans="2:7">
      <c r="B49" s="596" t="s">
        <v>13</v>
      </c>
      <c r="C49" s="618" t="s">
        <v>55</v>
      </c>
      <c r="D49" s="619"/>
      <c r="E49" s="619"/>
      <c r="F49" s="619"/>
      <c r="G49" s="615">
        <v>1.4999999999999999E-2</v>
      </c>
    </row>
    <row r="50" spans="2:7">
      <c r="B50" s="597" t="s">
        <v>15</v>
      </c>
      <c r="C50" s="618" t="s">
        <v>16</v>
      </c>
      <c r="D50" s="619"/>
      <c r="E50" s="619"/>
      <c r="F50" s="619"/>
      <c r="G50" s="615">
        <v>0.01</v>
      </c>
    </row>
    <row r="51" spans="2:7">
      <c r="B51" s="597" t="s">
        <v>18</v>
      </c>
      <c r="C51" s="618" t="s">
        <v>19</v>
      </c>
      <c r="D51" s="619"/>
      <c r="E51" s="619"/>
      <c r="F51" s="619"/>
      <c r="G51" s="615">
        <v>6.0000000000000001E-3</v>
      </c>
    </row>
    <row r="52" spans="2:7">
      <c r="B52" s="597" t="s">
        <v>20</v>
      </c>
      <c r="C52" s="618" t="s">
        <v>21</v>
      </c>
      <c r="D52" s="619"/>
      <c r="E52" s="619"/>
      <c r="F52" s="619"/>
      <c r="G52" s="615">
        <v>2E-3</v>
      </c>
    </row>
    <row r="53" spans="2:7">
      <c r="B53" s="600" t="s">
        <v>22</v>
      </c>
      <c r="C53" s="618" t="s">
        <v>23</v>
      </c>
      <c r="D53" s="619"/>
      <c r="E53" s="619"/>
      <c r="F53" s="619"/>
      <c r="G53" s="615">
        <v>0.08</v>
      </c>
    </row>
    <row r="54" spans="2:7">
      <c r="B54" s="622" t="s">
        <v>24</v>
      </c>
      <c r="C54" s="595"/>
      <c r="D54" s="595"/>
      <c r="E54" s="595"/>
      <c r="F54" s="595"/>
      <c r="G54" s="606">
        <f>SUM(G45:G53)</f>
        <v>0.36800000000000005</v>
      </c>
    </row>
    <row r="57" spans="2:7">
      <c r="B57" s="592" t="s">
        <v>83</v>
      </c>
      <c r="C57" s="612"/>
      <c r="D57" s="612"/>
      <c r="E57" s="612"/>
      <c r="F57" s="635"/>
    </row>
    <row r="58" spans="2:7" ht="22.15" customHeight="1">
      <c r="B58" s="626" t="s">
        <v>84</v>
      </c>
      <c r="C58" s="627"/>
      <c r="D58" s="630" t="s">
        <v>238</v>
      </c>
      <c r="E58" s="630"/>
      <c r="F58" s="601">
        <v>42</v>
      </c>
    </row>
    <row r="59" spans="2:7" ht="22.15" customHeight="1">
      <c r="B59" s="628"/>
      <c r="C59" s="629"/>
      <c r="D59" s="631" t="s">
        <v>239</v>
      </c>
      <c r="E59" s="631"/>
      <c r="F59" s="602">
        <f>0.05*F58</f>
        <v>2.1</v>
      </c>
    </row>
    <row r="60" spans="2:7" ht="22.15" customHeight="1">
      <c r="B60" s="626" t="s">
        <v>85</v>
      </c>
      <c r="C60" s="627"/>
      <c r="D60" s="630" t="s">
        <v>235</v>
      </c>
      <c r="E60" s="630"/>
      <c r="F60" s="602"/>
    </row>
    <row r="61" spans="2:7" ht="22.15" customHeight="1">
      <c r="B61" s="628"/>
      <c r="C61" s="629"/>
      <c r="D61" s="631" t="s">
        <v>236</v>
      </c>
      <c r="E61" s="631"/>
      <c r="F61" s="602"/>
    </row>
    <row r="62" spans="2:7" ht="22.15" customHeight="1">
      <c r="B62" s="626" t="s">
        <v>232</v>
      </c>
      <c r="C62" s="627"/>
      <c r="D62" s="630" t="s">
        <v>240</v>
      </c>
      <c r="E62" s="630"/>
      <c r="F62" s="602"/>
    </row>
    <row r="63" spans="2:7" ht="22.15" customHeight="1">
      <c r="B63" s="628"/>
      <c r="C63" s="629"/>
      <c r="D63" s="631" t="s">
        <v>236</v>
      </c>
      <c r="E63" s="631"/>
      <c r="F63" s="602"/>
    </row>
    <row r="64" spans="2:7" ht="22.15" customHeight="1">
      <c r="B64" s="967" t="s">
        <v>500</v>
      </c>
      <c r="C64" s="632" t="s">
        <v>586</v>
      </c>
      <c r="D64" s="603">
        <v>0</v>
      </c>
      <c r="E64" s="974" t="s">
        <v>574</v>
      </c>
      <c r="F64" s="966">
        <v>0.01</v>
      </c>
    </row>
    <row r="65" spans="2:6" ht="22.15" customHeight="1">
      <c r="B65" s="968"/>
      <c r="C65" s="632" t="s">
        <v>570</v>
      </c>
      <c r="D65" s="668">
        <f>3486.52*1.051</f>
        <v>3664.3325199999999</v>
      </c>
      <c r="E65" s="975"/>
      <c r="F65" s="966"/>
    </row>
    <row r="66" spans="2:6" ht="22.15" customHeight="1">
      <c r="B66" s="969"/>
      <c r="C66" s="632" t="s">
        <v>569</v>
      </c>
      <c r="D66" s="604">
        <v>2160</v>
      </c>
      <c r="E66" s="976"/>
      <c r="F66" s="966"/>
    </row>
    <row r="67" spans="2:6" ht="22.15" customHeight="1">
      <c r="B67" s="967" t="s">
        <v>501</v>
      </c>
      <c r="C67" s="632" t="s">
        <v>587</v>
      </c>
      <c r="D67" s="605">
        <v>0.2</v>
      </c>
      <c r="E67" s="977" t="s">
        <v>241</v>
      </c>
      <c r="F67" s="966">
        <v>0.01</v>
      </c>
    </row>
    <row r="68" spans="2:6" ht="22.15" customHeight="1">
      <c r="B68" s="968"/>
      <c r="C68" s="632" t="s">
        <v>570</v>
      </c>
      <c r="D68" s="668">
        <f>3486.52*1.051</f>
        <v>3664.3325199999999</v>
      </c>
      <c r="E68" s="978"/>
      <c r="F68" s="966"/>
    </row>
    <row r="69" spans="2:6" ht="22.15" customHeight="1">
      <c r="B69" s="969"/>
      <c r="C69" s="632" t="s">
        <v>569</v>
      </c>
      <c r="D69" s="604">
        <v>2160</v>
      </c>
      <c r="E69" s="633" t="s">
        <v>242</v>
      </c>
      <c r="F69" s="634">
        <v>1</v>
      </c>
    </row>
    <row r="70" spans="2:6" ht="22.15" customHeight="1">
      <c r="B70" s="970" t="s">
        <v>502</v>
      </c>
      <c r="C70" s="971"/>
      <c r="D70" s="630" t="s">
        <v>235</v>
      </c>
      <c r="E70" s="627"/>
      <c r="F70" s="601">
        <v>71.58</v>
      </c>
    </row>
    <row r="71" spans="2:6" ht="22.15" customHeight="1">
      <c r="B71" s="972"/>
      <c r="C71" s="973"/>
      <c r="D71" s="631" t="s">
        <v>236</v>
      </c>
      <c r="E71" s="629"/>
      <c r="F71" s="602"/>
    </row>
    <row r="73" spans="2:6" ht="15.75" customHeight="1">
      <c r="B73" s="965" t="s">
        <v>246</v>
      </c>
      <c r="C73" s="965"/>
      <c r="D73" s="965"/>
      <c r="E73" s="965"/>
      <c r="F73" s="965"/>
    </row>
    <row r="74" spans="2:6" ht="45" customHeight="1">
      <c r="B74" s="607" t="s">
        <v>13</v>
      </c>
      <c r="C74" s="636" t="s">
        <v>248</v>
      </c>
      <c r="D74" s="609"/>
      <c r="E74" s="608" t="s">
        <v>381</v>
      </c>
      <c r="F74" s="637">
        <v>0.05</v>
      </c>
    </row>
    <row r="76" spans="2:6">
      <c r="B76" s="641" t="s">
        <v>254</v>
      </c>
      <c r="C76" s="640"/>
      <c r="D76" s="640"/>
      <c r="E76" s="640"/>
      <c r="F76" s="642"/>
    </row>
    <row r="77" spans="2:6">
      <c r="B77" s="620" t="s">
        <v>104</v>
      </c>
      <c r="C77" s="621"/>
      <c r="D77" s="621"/>
      <c r="E77" s="621"/>
      <c r="F77" s="643" t="s">
        <v>75</v>
      </c>
    </row>
    <row r="78" spans="2:6">
      <c r="B78" s="622" t="s">
        <v>105</v>
      </c>
      <c r="C78" s="595"/>
      <c r="D78" s="595"/>
      <c r="E78" s="595"/>
      <c r="F78" s="610" t="s">
        <v>247</v>
      </c>
    </row>
    <row r="79" spans="2:6" ht="24">
      <c r="B79" s="611" t="s">
        <v>7</v>
      </c>
      <c r="C79" s="638" t="s">
        <v>229</v>
      </c>
      <c r="D79" s="639"/>
      <c r="E79" s="639"/>
      <c r="F79" s="644">
        <v>30</v>
      </c>
    </row>
    <row r="80" spans="2:6" ht="120">
      <c r="B80" s="591" t="s">
        <v>9</v>
      </c>
      <c r="C80" s="638" t="s">
        <v>256</v>
      </c>
      <c r="D80" s="639"/>
      <c r="E80" s="639"/>
      <c r="F80" s="645">
        <v>8.51</v>
      </c>
    </row>
    <row r="81" spans="2:7">
      <c r="B81" s="636" t="s">
        <v>24</v>
      </c>
      <c r="C81" s="609"/>
      <c r="D81" s="609"/>
      <c r="E81" s="609"/>
      <c r="F81" s="646">
        <f>SUM(F79:F80)</f>
        <v>38.51</v>
      </c>
    </row>
    <row r="83" spans="2:7">
      <c r="B83" s="592" t="s">
        <v>121</v>
      </c>
      <c r="C83" s="612"/>
      <c r="D83" s="612"/>
      <c r="E83" s="612"/>
      <c r="F83" s="591" t="s">
        <v>120</v>
      </c>
    </row>
    <row r="84" spans="2:7" ht="51" customHeight="1">
      <c r="B84" s="590" t="s">
        <v>7</v>
      </c>
      <c r="C84" s="638" t="s">
        <v>230</v>
      </c>
      <c r="D84" s="639"/>
      <c r="E84" s="639"/>
      <c r="F84" s="653">
        <v>0.1386</v>
      </c>
    </row>
    <row r="85" spans="2:7" ht="42" customHeight="1">
      <c r="B85" s="590" t="s">
        <v>9</v>
      </c>
      <c r="C85" s="638" t="s">
        <v>385</v>
      </c>
      <c r="D85" s="594"/>
      <c r="E85" s="594"/>
      <c r="F85" s="653">
        <v>0.12570000000000001</v>
      </c>
    </row>
    <row r="86" spans="2:7">
      <c r="B86" s="651" t="s">
        <v>11</v>
      </c>
      <c r="C86" s="622" t="s">
        <v>122</v>
      </c>
      <c r="D86" s="595"/>
      <c r="E86" s="595"/>
      <c r="F86" s="650"/>
    </row>
    <row r="87" spans="2:7">
      <c r="B87" s="652"/>
      <c r="C87" s="647" t="s">
        <v>251</v>
      </c>
      <c r="D87" s="592" t="s">
        <v>125</v>
      </c>
      <c r="E87" s="612"/>
      <c r="F87" s="615">
        <v>1.6500000000000001E-2</v>
      </c>
    </row>
    <row r="88" spans="2:7">
      <c r="B88" s="652"/>
      <c r="C88" s="648"/>
      <c r="D88" s="592" t="s">
        <v>126</v>
      </c>
      <c r="E88" s="612"/>
      <c r="F88" s="615">
        <v>7.5999999999999998E-2</v>
      </c>
    </row>
    <row r="89" spans="2:7">
      <c r="B89" s="652"/>
      <c r="C89" s="649"/>
      <c r="D89" s="683" t="s">
        <v>573</v>
      </c>
      <c r="E89" s="613"/>
      <c r="F89" s="615"/>
    </row>
    <row r="92" spans="2:7" ht="26.25" customHeight="1">
      <c r="B92" s="714"/>
      <c r="C92" s="714"/>
      <c r="D92" s="700"/>
      <c r="E92" s="700"/>
      <c r="F92" s="700"/>
    </row>
    <row r="93" spans="2:7" ht="48.75" customHeight="1">
      <c r="B93" s="906"/>
      <c r="C93" s="906"/>
      <c r="D93" s="906"/>
      <c r="E93" s="906"/>
      <c r="F93" s="906"/>
      <c r="G93" s="906"/>
    </row>
    <row r="94" spans="2:7" ht="42.75" customHeight="1">
      <c r="B94" s="698"/>
      <c r="C94" s="907"/>
      <c r="D94" s="907"/>
      <c r="E94" s="907"/>
      <c r="F94" s="907"/>
      <c r="G94" s="907"/>
    </row>
    <row r="95" spans="2:7" ht="15.6" customHeight="1">
      <c r="B95" s="699"/>
      <c r="C95" s="908"/>
      <c r="D95" s="908"/>
      <c r="E95" s="908"/>
      <c r="F95" s="908"/>
      <c r="G95" s="908"/>
    </row>
  </sheetData>
  <mergeCells count="57">
    <mergeCell ref="B73:F73"/>
    <mergeCell ref="F64:F66"/>
    <mergeCell ref="F67:F68"/>
    <mergeCell ref="B64:B66"/>
    <mergeCell ref="B67:B69"/>
    <mergeCell ref="B70:C71"/>
    <mergeCell ref="E64:E66"/>
    <mergeCell ref="E67:E68"/>
    <mergeCell ref="H32:H33"/>
    <mergeCell ref="F32:G33"/>
    <mergeCell ref="G29:G30"/>
    <mergeCell ref="F29:F30"/>
    <mergeCell ref="B47:B48"/>
    <mergeCell ref="C47:D48"/>
    <mergeCell ref="G47:G48"/>
    <mergeCell ref="D18:H18"/>
    <mergeCell ref="B18:C18"/>
    <mergeCell ref="D15:F15"/>
    <mergeCell ref="G15:H15"/>
    <mergeCell ref="H29:H30"/>
    <mergeCell ref="D24:D25"/>
    <mergeCell ref="E24:E25"/>
    <mergeCell ref="C22:C24"/>
    <mergeCell ref="B22:B24"/>
    <mergeCell ref="D22:E22"/>
    <mergeCell ref="B13:B15"/>
    <mergeCell ref="D11:F11"/>
    <mergeCell ref="G10:H10"/>
    <mergeCell ref="G11:H11"/>
    <mergeCell ref="D17:H17"/>
    <mergeCell ref="D9:F9"/>
    <mergeCell ref="G9:H9"/>
    <mergeCell ref="D10:F10"/>
    <mergeCell ref="G14:H14"/>
    <mergeCell ref="C2:H2"/>
    <mergeCell ref="G5:H5"/>
    <mergeCell ref="F6:H6"/>
    <mergeCell ref="C4:H4"/>
    <mergeCell ref="C3:H3"/>
    <mergeCell ref="C5:E5"/>
    <mergeCell ref="B6:E6"/>
    <mergeCell ref="B9:B11"/>
    <mergeCell ref="B93:G93"/>
    <mergeCell ref="C94:G94"/>
    <mergeCell ref="C95:G95"/>
    <mergeCell ref="F7:H7"/>
    <mergeCell ref="B7:E7"/>
    <mergeCell ref="B29:B31"/>
    <mergeCell ref="C29:C31"/>
    <mergeCell ref="E36:F36"/>
    <mergeCell ref="B36:B38"/>
    <mergeCell ref="C36:C38"/>
    <mergeCell ref="D36:D37"/>
    <mergeCell ref="D29:D30"/>
    <mergeCell ref="D13:F13"/>
    <mergeCell ref="G13:H13"/>
    <mergeCell ref="D14:F14"/>
  </mergeCells>
  <pageMargins left="0.511811024" right="0.511811024" top="0.78740157499999996" bottom="0.78740157499999996" header="0.31496062000000002" footer="0.31496062000000002"/>
  <pageSetup paperSize="9"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Planilha24"/>
  <dimension ref="A1:HZ640"/>
  <sheetViews>
    <sheetView workbookViewId="0">
      <selection activeCell="J6" sqref="J6:K6"/>
    </sheetView>
  </sheetViews>
  <sheetFormatPr defaultColWidth="8.5" defaultRowHeight="12.75"/>
  <cols>
    <col min="1" max="1" width="2.375" style="137" customWidth="1"/>
    <col min="2" max="2" width="8.5" style="137" customWidth="1"/>
    <col min="3" max="3" width="8.5" style="137"/>
    <col min="4" max="5" width="8" style="137" customWidth="1"/>
    <col min="6" max="6" width="8.5" style="137"/>
    <col min="7" max="8" width="8" style="137" customWidth="1"/>
    <col min="9" max="9" width="12.75" style="155" customWidth="1"/>
    <col min="10" max="10" width="8.75" style="137" customWidth="1"/>
    <col min="11" max="14" width="12.625" style="155" customWidth="1"/>
    <col min="15" max="15" width="12.625" style="136" customWidth="1"/>
    <col min="16" max="84" width="8.5" style="136"/>
    <col min="85" max="16384" width="8.5" style="137"/>
  </cols>
  <sheetData>
    <row r="1" spans="1:84" s="135" customFormat="1" ht="27" customHeight="1">
      <c r="A1" s="1237" t="s">
        <v>63</v>
      </c>
      <c r="B1" s="1237"/>
      <c r="C1" s="1237"/>
      <c r="D1" s="1237"/>
      <c r="E1" s="1237"/>
      <c r="F1" s="1237"/>
      <c r="G1" s="1237"/>
      <c r="H1" s="1237"/>
      <c r="I1" s="1237"/>
      <c r="J1" s="1237"/>
      <c r="K1" s="1237"/>
      <c r="L1" s="1237"/>
      <c r="M1" s="1237"/>
      <c r="N1" s="1237"/>
      <c r="O1" s="134"/>
      <c r="P1" s="134"/>
      <c r="Q1" s="134"/>
      <c r="R1" s="134"/>
      <c r="S1" s="134"/>
      <c r="T1" s="134"/>
      <c r="U1" s="134"/>
      <c r="V1" s="134"/>
      <c r="W1" s="134"/>
      <c r="X1" s="134"/>
      <c r="Y1" s="134"/>
      <c r="Z1" s="134"/>
      <c r="AA1" s="134"/>
      <c r="AB1" s="134"/>
      <c r="AC1" s="134"/>
      <c r="AD1" s="134"/>
      <c r="AE1" s="134"/>
      <c r="AF1" s="134"/>
      <c r="AG1" s="134"/>
      <c r="AH1" s="134"/>
      <c r="AI1" s="134"/>
      <c r="AJ1" s="134"/>
      <c r="AK1" s="134"/>
      <c r="AL1" s="134"/>
      <c r="AM1" s="134"/>
      <c r="AN1" s="134"/>
      <c r="AO1" s="134"/>
      <c r="AP1" s="134"/>
      <c r="AQ1" s="134"/>
      <c r="AR1" s="134"/>
      <c r="AS1" s="134"/>
      <c r="AT1" s="134"/>
      <c r="AU1" s="134"/>
      <c r="AV1" s="134"/>
      <c r="AW1" s="134"/>
      <c r="AX1" s="134"/>
      <c r="AY1" s="134"/>
      <c r="AZ1" s="134"/>
      <c r="BA1" s="134"/>
      <c r="BB1" s="134"/>
      <c r="BC1" s="134"/>
      <c r="BD1" s="134"/>
      <c r="BE1" s="134"/>
      <c r="BF1" s="134"/>
      <c r="BG1" s="134"/>
      <c r="BH1" s="134"/>
      <c r="BI1" s="134"/>
      <c r="BJ1" s="134"/>
      <c r="BK1" s="134"/>
      <c r="BL1" s="134"/>
      <c r="BM1" s="134"/>
      <c r="BN1" s="134"/>
      <c r="BO1" s="134"/>
      <c r="BP1" s="134"/>
      <c r="BQ1" s="134"/>
      <c r="BR1" s="134"/>
      <c r="BS1" s="134"/>
      <c r="BT1" s="134"/>
      <c r="BU1" s="134"/>
      <c r="BV1" s="134"/>
      <c r="BW1" s="134"/>
      <c r="BX1" s="134"/>
      <c r="BY1" s="134"/>
      <c r="BZ1" s="134"/>
      <c r="CA1" s="134"/>
      <c r="CB1" s="134"/>
      <c r="CC1" s="134"/>
      <c r="CD1" s="134"/>
      <c r="CE1" s="134"/>
      <c r="CF1" s="134"/>
    </row>
    <row r="2" spans="1:84" s="135" customFormat="1" ht="27" customHeight="1">
      <c r="A2" s="1238" t="s">
        <v>135</v>
      </c>
      <c r="B2" s="1238"/>
      <c r="C2" s="1238"/>
      <c r="D2" s="1238"/>
      <c r="E2" s="1238"/>
      <c r="F2" s="1238"/>
      <c r="G2" s="1238"/>
      <c r="H2" s="1238"/>
      <c r="I2" s="1238"/>
      <c r="J2" s="1238"/>
      <c r="K2" s="1238"/>
      <c r="L2" s="1238"/>
      <c r="M2" s="1238"/>
      <c r="N2" s="1238"/>
      <c r="O2" s="134"/>
      <c r="P2" s="134"/>
      <c r="Q2" s="134"/>
      <c r="R2" s="134"/>
      <c r="S2" s="134"/>
      <c r="T2" s="134"/>
      <c r="U2" s="134"/>
      <c r="V2" s="134"/>
      <c r="W2" s="134"/>
      <c r="X2" s="134"/>
      <c r="Y2" s="134"/>
      <c r="Z2" s="134"/>
      <c r="AA2" s="134"/>
      <c r="AB2" s="134"/>
      <c r="AC2" s="134"/>
      <c r="AD2" s="134"/>
      <c r="AE2" s="134"/>
      <c r="AF2" s="134"/>
      <c r="AG2" s="134"/>
      <c r="AH2" s="134"/>
      <c r="AI2" s="134"/>
      <c r="AJ2" s="134"/>
      <c r="AK2" s="134"/>
      <c r="AL2" s="134"/>
      <c r="AM2" s="134"/>
      <c r="AN2" s="134"/>
      <c r="AO2" s="134"/>
      <c r="AP2" s="134"/>
      <c r="AQ2" s="134"/>
      <c r="AR2" s="134"/>
      <c r="AS2" s="134"/>
      <c r="AT2" s="134"/>
      <c r="AU2" s="134"/>
      <c r="AV2" s="134"/>
      <c r="AW2" s="134"/>
      <c r="AX2" s="134"/>
      <c r="AY2" s="134"/>
      <c r="AZ2" s="134"/>
      <c r="BA2" s="134"/>
      <c r="BB2" s="134"/>
      <c r="BC2" s="134"/>
      <c r="BD2" s="134"/>
      <c r="BE2" s="134"/>
      <c r="BF2" s="134"/>
      <c r="BG2" s="134"/>
      <c r="BH2" s="134"/>
      <c r="BI2" s="134"/>
      <c r="BJ2" s="134"/>
      <c r="BK2" s="134"/>
      <c r="BL2" s="134"/>
      <c r="BM2" s="134"/>
      <c r="BN2" s="134"/>
      <c r="BO2" s="134"/>
      <c r="BP2" s="134"/>
      <c r="BQ2" s="134"/>
      <c r="BR2" s="134"/>
      <c r="BS2" s="134"/>
      <c r="BT2" s="134"/>
      <c r="BU2" s="134"/>
      <c r="BV2" s="134"/>
      <c r="BW2" s="134"/>
      <c r="BX2" s="134"/>
      <c r="BY2" s="134"/>
      <c r="BZ2" s="134"/>
      <c r="CA2" s="134"/>
      <c r="CB2" s="134"/>
      <c r="CC2" s="134"/>
      <c r="CD2" s="134"/>
      <c r="CE2" s="134"/>
      <c r="CF2" s="134"/>
    </row>
    <row r="3" spans="1:84" s="135" customFormat="1" ht="27" customHeight="1">
      <c r="A3" s="325" t="s">
        <v>136</v>
      </c>
      <c r="B3" s="325"/>
      <c r="C3" s="326"/>
      <c r="D3" s="326"/>
      <c r="E3" s="326"/>
      <c r="F3" s="326"/>
      <c r="G3" s="326"/>
      <c r="H3" s="326"/>
      <c r="I3" s="326"/>
      <c r="J3" s="326"/>
      <c r="K3" s="326"/>
      <c r="L3" s="326"/>
      <c r="M3" s="326"/>
      <c r="N3" s="326"/>
      <c r="O3" s="134"/>
      <c r="P3" s="134"/>
      <c r="Q3" s="134"/>
      <c r="R3" s="134"/>
      <c r="S3" s="134"/>
      <c r="T3" s="134"/>
      <c r="U3" s="134"/>
      <c r="V3" s="134"/>
      <c r="W3" s="134"/>
      <c r="X3" s="134"/>
      <c r="Y3" s="134"/>
      <c r="Z3" s="134"/>
      <c r="AA3" s="134"/>
      <c r="AB3" s="134"/>
      <c r="AC3" s="134"/>
      <c r="AD3" s="134"/>
      <c r="AE3" s="134"/>
      <c r="AF3" s="134"/>
      <c r="AG3" s="134"/>
      <c r="AH3" s="134"/>
      <c r="AI3" s="134"/>
      <c r="AJ3" s="134"/>
      <c r="AK3" s="134"/>
      <c r="AL3" s="134"/>
      <c r="AM3" s="134"/>
      <c r="AN3" s="134"/>
      <c r="AO3" s="134"/>
      <c r="AP3" s="134"/>
      <c r="AQ3" s="134"/>
      <c r="AR3" s="134"/>
      <c r="AS3" s="134"/>
      <c r="AT3" s="134"/>
      <c r="AU3" s="134"/>
      <c r="AV3" s="134"/>
      <c r="AW3" s="134"/>
      <c r="AX3" s="134"/>
      <c r="AY3" s="134"/>
      <c r="AZ3" s="134"/>
      <c r="BA3" s="134"/>
      <c r="BB3" s="134"/>
      <c r="BC3" s="134"/>
      <c r="BD3" s="134"/>
      <c r="BE3" s="134"/>
      <c r="BF3" s="134"/>
      <c r="BG3" s="134"/>
      <c r="BH3" s="134"/>
      <c r="BI3" s="134"/>
      <c r="BJ3" s="134"/>
      <c r="BK3" s="134"/>
      <c r="BL3" s="134"/>
      <c r="BM3" s="134"/>
      <c r="BN3" s="134"/>
      <c r="BO3" s="134"/>
      <c r="BP3" s="134"/>
      <c r="BQ3" s="134"/>
      <c r="BR3" s="134"/>
      <c r="BS3" s="134"/>
      <c r="BT3" s="134"/>
      <c r="BU3" s="134"/>
      <c r="BV3" s="134"/>
      <c r="BW3" s="134"/>
      <c r="BX3" s="134"/>
      <c r="BY3" s="134"/>
      <c r="BZ3" s="134"/>
      <c r="CA3" s="134"/>
      <c r="CB3" s="134"/>
      <c r="CC3" s="134"/>
      <c r="CD3" s="134"/>
      <c r="CE3" s="134"/>
      <c r="CF3" s="134"/>
    </row>
    <row r="4" spans="1:84" s="135" customFormat="1" ht="27" customHeight="1">
      <c r="A4" s="282">
        <v>1</v>
      </c>
      <c r="B4" s="334" t="s">
        <v>48</v>
      </c>
      <c r="C4" s="335"/>
      <c r="D4" s="335"/>
      <c r="E4" s="335"/>
      <c r="F4" s="336"/>
      <c r="G4" s="336"/>
      <c r="H4" s="336"/>
      <c r="I4" s="336"/>
      <c r="J4" s="1239" t="s">
        <v>137</v>
      </c>
      <c r="K4" s="1239"/>
      <c r="L4" s="341"/>
      <c r="M4" s="340"/>
      <c r="N4" s="340"/>
      <c r="O4" s="134"/>
      <c r="P4" s="134"/>
      <c r="Q4" s="134"/>
      <c r="R4" s="134"/>
      <c r="S4" s="134"/>
      <c r="T4" s="134"/>
      <c r="U4" s="134"/>
      <c r="V4" s="134"/>
      <c r="W4" s="134"/>
      <c r="X4" s="134"/>
      <c r="Y4" s="134"/>
      <c r="Z4" s="134"/>
      <c r="AA4" s="134"/>
      <c r="AB4" s="134"/>
      <c r="AC4" s="134"/>
      <c r="AD4" s="134"/>
      <c r="AE4" s="134"/>
      <c r="AF4" s="134"/>
      <c r="AG4" s="134"/>
      <c r="AH4" s="134"/>
      <c r="AI4" s="134"/>
      <c r="AJ4" s="134"/>
      <c r="AK4" s="134"/>
      <c r="AL4" s="134"/>
      <c r="AM4" s="134"/>
      <c r="AN4" s="134"/>
      <c r="AO4" s="134"/>
      <c r="AP4" s="134"/>
      <c r="AQ4" s="134"/>
      <c r="AR4" s="134"/>
      <c r="AS4" s="134"/>
      <c r="AT4" s="134"/>
      <c r="AU4" s="134"/>
      <c r="AV4" s="134"/>
      <c r="AW4" s="134"/>
      <c r="AX4" s="134"/>
      <c r="AY4" s="134"/>
      <c r="AZ4" s="134"/>
      <c r="BA4" s="134"/>
      <c r="BB4" s="134"/>
      <c r="BC4" s="134"/>
      <c r="BD4" s="134"/>
      <c r="BE4" s="134"/>
      <c r="BF4" s="134"/>
      <c r="BG4" s="134"/>
      <c r="BH4" s="134"/>
      <c r="BI4" s="134"/>
      <c r="BJ4" s="134"/>
      <c r="BK4" s="134"/>
      <c r="BL4" s="134"/>
      <c r="BM4" s="134"/>
      <c r="BN4" s="134"/>
      <c r="BO4" s="134"/>
      <c r="BP4" s="134"/>
      <c r="BQ4" s="134"/>
      <c r="BR4" s="134"/>
      <c r="BS4" s="134"/>
      <c r="BT4" s="134"/>
      <c r="BU4" s="134"/>
      <c r="BV4" s="134"/>
      <c r="BW4" s="134"/>
      <c r="BX4" s="134"/>
      <c r="BY4" s="134"/>
      <c r="BZ4" s="134"/>
      <c r="CA4" s="134"/>
      <c r="CB4" s="134"/>
      <c r="CC4" s="134"/>
      <c r="CD4" s="134"/>
      <c r="CE4" s="134"/>
      <c r="CF4" s="134"/>
    </row>
    <row r="5" spans="1:84" s="135" customFormat="1" ht="27" customHeight="1">
      <c r="A5" s="282">
        <v>2</v>
      </c>
      <c r="B5" s="334" t="s">
        <v>138</v>
      </c>
      <c r="C5" s="335"/>
      <c r="D5" s="335"/>
      <c r="E5" s="335"/>
      <c r="F5" s="336"/>
      <c r="G5" s="336"/>
      <c r="H5" s="336"/>
      <c r="I5" s="336"/>
      <c r="J5" s="1239" t="s">
        <v>139</v>
      </c>
      <c r="K5" s="1239"/>
      <c r="L5" s="342"/>
      <c r="M5" s="340"/>
      <c r="N5" s="340"/>
      <c r="O5" s="134"/>
      <c r="P5" s="134"/>
      <c r="Q5" s="134"/>
      <c r="R5" s="134"/>
      <c r="S5" s="134"/>
      <c r="T5" s="134"/>
      <c r="U5" s="134"/>
      <c r="V5" s="134"/>
      <c r="W5" s="134"/>
      <c r="X5" s="134"/>
      <c r="Y5" s="134"/>
      <c r="Z5" s="134"/>
      <c r="AA5" s="134"/>
      <c r="AB5" s="134"/>
      <c r="AC5" s="134"/>
      <c r="AD5" s="134"/>
      <c r="AE5" s="134"/>
      <c r="AF5" s="134"/>
      <c r="AG5" s="134"/>
      <c r="AH5" s="134"/>
      <c r="AI5" s="134"/>
      <c r="AJ5" s="134"/>
      <c r="AK5" s="134"/>
      <c r="AL5" s="134"/>
      <c r="AM5" s="134"/>
      <c r="AN5" s="134"/>
      <c r="AO5" s="134"/>
      <c r="AP5" s="134"/>
      <c r="AQ5" s="134"/>
      <c r="AR5" s="134"/>
      <c r="AS5" s="134"/>
      <c r="AT5" s="134"/>
      <c r="AU5" s="134"/>
      <c r="AV5" s="134"/>
      <c r="AW5" s="134"/>
      <c r="AX5" s="134"/>
      <c r="AY5" s="134"/>
      <c r="AZ5" s="134"/>
      <c r="BA5" s="134"/>
      <c r="BB5" s="134"/>
      <c r="BC5" s="134"/>
      <c r="BD5" s="134"/>
      <c r="BE5" s="134"/>
      <c r="BF5" s="134"/>
      <c r="BG5" s="134"/>
      <c r="BH5" s="134"/>
      <c r="BI5" s="134"/>
      <c r="BJ5" s="134"/>
      <c r="BK5" s="134"/>
      <c r="BL5" s="134"/>
      <c r="BM5" s="134"/>
      <c r="BN5" s="134"/>
      <c r="BO5" s="134"/>
      <c r="BP5" s="134"/>
      <c r="BQ5" s="134"/>
      <c r="BR5" s="134"/>
      <c r="BS5" s="134"/>
      <c r="BT5" s="134"/>
      <c r="BU5" s="134"/>
      <c r="BV5" s="134"/>
      <c r="BW5" s="134"/>
      <c r="BX5" s="134"/>
      <c r="BY5" s="134"/>
      <c r="BZ5" s="134"/>
      <c r="CA5" s="134"/>
      <c r="CB5" s="134"/>
      <c r="CC5" s="134"/>
      <c r="CD5" s="134"/>
      <c r="CE5" s="134"/>
      <c r="CF5" s="134"/>
    </row>
    <row r="6" spans="1:84" s="135" customFormat="1" ht="27" customHeight="1">
      <c r="A6" s="282">
        <v>3</v>
      </c>
      <c r="B6" s="334" t="s">
        <v>140</v>
      </c>
      <c r="C6" s="335"/>
      <c r="D6" s="335"/>
      <c r="E6" s="335"/>
      <c r="F6" s="336"/>
      <c r="G6" s="336"/>
      <c r="H6" s="336"/>
      <c r="I6" s="336"/>
      <c r="J6" s="1243" t="e">
        <f>#REF!</f>
        <v>#REF!</v>
      </c>
      <c r="K6" s="1243"/>
      <c r="L6" s="342"/>
      <c r="M6" s="340"/>
      <c r="N6" s="340"/>
      <c r="O6" s="134"/>
      <c r="P6" s="134"/>
      <c r="Q6" s="134"/>
      <c r="R6" s="134"/>
      <c r="S6" s="134"/>
      <c r="T6" s="134"/>
      <c r="U6" s="134"/>
      <c r="V6" s="134"/>
      <c r="W6" s="134"/>
      <c r="X6" s="134"/>
      <c r="Y6" s="134"/>
      <c r="Z6" s="134"/>
      <c r="AA6" s="134"/>
      <c r="AB6" s="134"/>
      <c r="AC6" s="134"/>
      <c r="AD6" s="134"/>
      <c r="AE6" s="134"/>
      <c r="AF6" s="134"/>
      <c r="AG6" s="134"/>
      <c r="AH6" s="134"/>
      <c r="AI6" s="134"/>
      <c r="AJ6" s="134"/>
      <c r="AK6" s="134"/>
      <c r="AL6" s="134"/>
      <c r="AM6" s="134"/>
      <c r="AN6" s="134"/>
      <c r="AO6" s="134"/>
      <c r="AP6" s="134"/>
      <c r="AQ6" s="134"/>
      <c r="AR6" s="134"/>
      <c r="AS6" s="134"/>
      <c r="AT6" s="134"/>
      <c r="AU6" s="134"/>
      <c r="AV6" s="134"/>
      <c r="AW6" s="134"/>
      <c r="AX6" s="134"/>
      <c r="AY6" s="134"/>
      <c r="AZ6" s="134"/>
      <c r="BA6" s="134"/>
      <c r="BB6" s="134"/>
      <c r="BC6" s="134"/>
      <c r="BD6" s="134"/>
      <c r="BE6" s="134"/>
      <c r="BF6" s="134"/>
      <c r="BG6" s="134"/>
      <c r="BH6" s="134"/>
      <c r="BI6" s="134"/>
      <c r="BJ6" s="134"/>
      <c r="BK6" s="134"/>
      <c r="BL6" s="134"/>
      <c r="BM6" s="134"/>
      <c r="BN6" s="134"/>
      <c r="BO6" s="134"/>
      <c r="BP6" s="134"/>
      <c r="BQ6" s="134"/>
      <c r="BR6" s="134"/>
      <c r="BS6" s="134"/>
      <c r="BT6" s="134"/>
      <c r="BU6" s="134"/>
      <c r="BV6" s="134"/>
      <c r="BW6" s="134"/>
      <c r="BX6" s="134"/>
      <c r="BY6" s="134"/>
      <c r="BZ6" s="134"/>
      <c r="CA6" s="134"/>
      <c r="CB6" s="134"/>
      <c r="CC6" s="134"/>
      <c r="CD6" s="134"/>
      <c r="CE6" s="134"/>
      <c r="CF6" s="134"/>
    </row>
    <row r="7" spans="1:84" s="135" customFormat="1" ht="27" customHeight="1">
      <c r="A7" s="282">
        <v>4</v>
      </c>
      <c r="B7" s="337" t="s">
        <v>141</v>
      </c>
      <c r="C7" s="335"/>
      <c r="D7" s="335"/>
      <c r="E7" s="335"/>
      <c r="F7" s="336"/>
      <c r="G7" s="336"/>
      <c r="H7" s="336"/>
      <c r="I7" s="336"/>
      <c r="J7" s="1239" t="s">
        <v>142</v>
      </c>
      <c r="K7" s="1239"/>
      <c r="L7" s="342"/>
      <c r="M7" s="340"/>
      <c r="N7" s="340"/>
      <c r="O7" s="134"/>
      <c r="P7" s="134"/>
      <c r="Q7" s="134"/>
      <c r="R7" s="134"/>
      <c r="S7" s="134"/>
      <c r="T7" s="134"/>
      <c r="U7" s="134"/>
      <c r="V7" s="134"/>
      <c r="W7" s="134"/>
      <c r="X7" s="134"/>
      <c r="Y7" s="134"/>
      <c r="Z7" s="134"/>
      <c r="AA7" s="134"/>
      <c r="AB7" s="134"/>
      <c r="AC7" s="134"/>
      <c r="AD7" s="134"/>
      <c r="AE7" s="134"/>
      <c r="AF7" s="134"/>
      <c r="AG7" s="134"/>
      <c r="AH7" s="134"/>
      <c r="AI7" s="134"/>
      <c r="AJ7" s="134"/>
      <c r="AK7" s="134"/>
      <c r="AL7" s="134"/>
      <c r="AM7" s="134"/>
      <c r="AN7" s="134"/>
      <c r="AO7" s="134"/>
      <c r="AP7" s="134"/>
      <c r="AQ7" s="134"/>
      <c r="AR7" s="134"/>
      <c r="AS7" s="134"/>
      <c r="AT7" s="134"/>
      <c r="AU7" s="134"/>
      <c r="AV7" s="134"/>
      <c r="AW7" s="134"/>
      <c r="AX7" s="134"/>
      <c r="AY7" s="134"/>
      <c r="AZ7" s="134"/>
      <c r="BA7" s="134"/>
      <c r="BB7" s="134"/>
      <c r="BC7" s="134"/>
      <c r="BD7" s="134"/>
      <c r="BE7" s="134"/>
      <c r="BF7" s="134"/>
      <c r="BG7" s="134"/>
      <c r="BH7" s="134"/>
      <c r="BI7" s="134"/>
      <c r="BJ7" s="134"/>
      <c r="BK7" s="134"/>
      <c r="BL7" s="134"/>
      <c r="BM7" s="134"/>
      <c r="BN7" s="134"/>
      <c r="BO7" s="134"/>
      <c r="BP7" s="134"/>
      <c r="BQ7" s="134"/>
      <c r="BR7" s="134"/>
      <c r="BS7" s="134"/>
      <c r="BT7" s="134"/>
      <c r="BU7" s="134"/>
      <c r="BV7" s="134"/>
      <c r="BW7" s="134"/>
      <c r="BX7" s="134"/>
      <c r="BY7" s="134"/>
      <c r="BZ7" s="134"/>
      <c r="CA7" s="134"/>
      <c r="CB7" s="134"/>
      <c r="CC7" s="134"/>
      <c r="CD7" s="134"/>
      <c r="CE7" s="134"/>
      <c r="CF7" s="134"/>
    </row>
    <row r="8" spans="1:84" s="135" customFormat="1" ht="27" customHeight="1">
      <c r="A8" s="282">
        <v>5</v>
      </c>
      <c r="B8" s="337" t="s">
        <v>143</v>
      </c>
      <c r="C8" s="335"/>
      <c r="D8" s="335"/>
      <c r="E8" s="335"/>
      <c r="F8" s="336"/>
      <c r="G8" s="336"/>
      <c r="H8" s="336"/>
      <c r="I8" s="336"/>
      <c r="J8" s="1244" t="e">
        <f>#REF!</f>
        <v>#REF!</v>
      </c>
      <c r="K8" s="1244"/>
      <c r="L8" s="343"/>
      <c r="M8" s="340"/>
      <c r="N8" s="340"/>
      <c r="O8" s="134"/>
      <c r="P8" s="134"/>
      <c r="Q8" s="134"/>
      <c r="R8" s="134"/>
      <c r="S8" s="134"/>
      <c r="T8" s="134"/>
      <c r="U8" s="134"/>
      <c r="V8" s="134"/>
      <c r="W8" s="134"/>
      <c r="X8" s="134"/>
      <c r="Y8" s="134"/>
      <c r="Z8" s="134"/>
      <c r="AA8" s="134"/>
      <c r="AB8" s="134"/>
      <c r="AC8" s="134"/>
      <c r="AD8" s="134"/>
      <c r="AE8" s="134"/>
      <c r="AF8" s="134"/>
      <c r="AG8" s="134"/>
      <c r="AH8" s="134"/>
      <c r="AI8" s="134"/>
      <c r="AJ8" s="134"/>
      <c r="AK8" s="134"/>
      <c r="AL8" s="134"/>
      <c r="AM8" s="134"/>
      <c r="AN8" s="134"/>
      <c r="AO8" s="134"/>
      <c r="AP8" s="134"/>
      <c r="AQ8" s="134"/>
      <c r="AR8" s="134"/>
      <c r="AS8" s="134"/>
      <c r="AT8" s="134"/>
      <c r="AU8" s="134"/>
      <c r="AV8" s="134"/>
      <c r="AW8" s="134"/>
      <c r="AX8" s="134"/>
      <c r="AY8" s="134"/>
      <c r="AZ8" s="134"/>
      <c r="BA8" s="134"/>
      <c r="BB8" s="134"/>
      <c r="BC8" s="134"/>
      <c r="BD8" s="134"/>
      <c r="BE8" s="134"/>
      <c r="BF8" s="134"/>
      <c r="BG8" s="134"/>
      <c r="BH8" s="134"/>
      <c r="BI8" s="134"/>
      <c r="BJ8" s="134"/>
      <c r="BK8" s="134"/>
      <c r="BL8" s="134"/>
      <c r="BM8" s="134"/>
      <c r="BN8" s="134"/>
      <c r="BO8" s="134"/>
      <c r="BP8" s="134"/>
      <c r="BQ8" s="134"/>
      <c r="BR8" s="134"/>
      <c r="BS8" s="134"/>
      <c r="BT8" s="134"/>
      <c r="BU8" s="134"/>
      <c r="BV8" s="134"/>
      <c r="BW8" s="134"/>
      <c r="BX8" s="134"/>
      <c r="BY8" s="134"/>
      <c r="BZ8" s="134"/>
      <c r="CA8" s="134"/>
      <c r="CB8" s="134"/>
      <c r="CC8" s="134"/>
      <c r="CD8" s="134"/>
      <c r="CE8" s="134"/>
      <c r="CF8" s="134"/>
    </row>
    <row r="9" spans="1:84" s="135" customFormat="1" ht="27" customHeight="1">
      <c r="A9" s="282">
        <v>6</v>
      </c>
      <c r="B9" s="337" t="s">
        <v>144</v>
      </c>
      <c r="C9" s="335"/>
      <c r="D9" s="335"/>
      <c r="E9" s="335"/>
      <c r="F9" s="336"/>
      <c r="G9" s="336"/>
      <c r="H9" s="336"/>
      <c r="I9" s="336"/>
      <c r="J9" s="1244" t="e">
        <f>#REF!</f>
        <v>#REF!</v>
      </c>
      <c r="K9" s="1244"/>
      <c r="L9" s="343"/>
      <c r="M9" s="340"/>
      <c r="N9" s="340"/>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4"/>
      <c r="AQ9" s="134"/>
      <c r="AR9" s="134"/>
      <c r="AS9" s="134"/>
      <c r="AT9" s="134"/>
      <c r="AU9" s="134"/>
      <c r="AV9" s="134"/>
      <c r="AW9" s="134"/>
      <c r="AX9" s="134"/>
      <c r="AY9" s="134"/>
      <c r="AZ9" s="134"/>
      <c r="BA9" s="134"/>
      <c r="BB9" s="134"/>
      <c r="BC9" s="134"/>
      <c r="BD9" s="134"/>
      <c r="BE9" s="134"/>
      <c r="BF9" s="134"/>
      <c r="BG9" s="134"/>
      <c r="BH9" s="134"/>
      <c r="BI9" s="134"/>
      <c r="BJ9" s="134"/>
      <c r="BK9" s="134"/>
      <c r="BL9" s="134"/>
      <c r="BM9" s="134"/>
      <c r="BN9" s="134"/>
      <c r="BO9" s="134"/>
      <c r="BP9" s="134"/>
      <c r="BQ9" s="134"/>
      <c r="BR9" s="134"/>
      <c r="BS9" s="134"/>
      <c r="BT9" s="134"/>
      <c r="BU9" s="134"/>
      <c r="BV9" s="134"/>
      <c r="BW9" s="134"/>
      <c r="BX9" s="134"/>
      <c r="BY9" s="134"/>
      <c r="BZ9" s="134"/>
      <c r="CA9" s="134"/>
      <c r="CB9" s="134"/>
      <c r="CC9" s="134"/>
      <c r="CD9" s="134"/>
      <c r="CE9" s="134"/>
      <c r="CF9" s="134"/>
    </row>
    <row r="10" spans="1:84" ht="32.25" customHeight="1">
      <c r="A10" s="320">
        <v>7</v>
      </c>
      <c r="B10" s="338" t="s">
        <v>64</v>
      </c>
      <c r="C10" s="339"/>
      <c r="D10" s="339"/>
      <c r="E10" s="339"/>
      <c r="F10" s="339"/>
      <c r="G10" s="339"/>
      <c r="H10" s="339"/>
      <c r="I10" s="339"/>
      <c r="J10" s="1244" t="e">
        <f>#REF!</f>
        <v>#REF!</v>
      </c>
      <c r="K10" s="1244"/>
      <c r="L10" s="343"/>
      <c r="M10" s="144"/>
      <c r="N10" s="144"/>
    </row>
    <row r="11" spans="1:84" ht="14.25" customHeight="1">
      <c r="A11" s="1240"/>
      <c r="B11" s="1240"/>
      <c r="C11" s="1240"/>
      <c r="D11" s="1240"/>
      <c r="E11" s="1240"/>
      <c r="F11" s="1240"/>
      <c r="G11" s="1240"/>
      <c r="H11" s="1240"/>
      <c r="I11" s="1240"/>
      <c r="J11" s="1240"/>
      <c r="K11" s="1240"/>
      <c r="L11" s="1240"/>
      <c r="M11" s="1240"/>
      <c r="N11" s="1240"/>
    </row>
    <row r="12" spans="1:84" s="136" customFormat="1" ht="15" customHeight="1">
      <c r="A12" s="139"/>
      <c r="B12" s="138"/>
      <c r="C12" s="138"/>
      <c r="D12" s="138"/>
      <c r="E12" s="138"/>
      <c r="F12" s="138"/>
      <c r="G12" s="138"/>
      <c r="H12" s="138"/>
      <c r="I12" s="140"/>
      <c r="J12" s="138"/>
      <c r="K12" s="318" t="s">
        <v>65</v>
      </c>
      <c r="L12" s="318" t="str">
        <f>K12</f>
        <v>Auxiliar de Limpeza</v>
      </c>
      <c r="M12" s="318" t="s">
        <v>66</v>
      </c>
      <c r="N12" s="318" t="str">
        <f>M12</f>
        <v>Limpador de Vidros</v>
      </c>
    </row>
    <row r="13" spans="1:84" s="136" customFormat="1" ht="15" customHeight="1">
      <c r="A13" s="139"/>
      <c r="B13" s="138"/>
      <c r="C13" s="138"/>
      <c r="D13" s="138"/>
      <c r="E13" s="138"/>
      <c r="F13" s="138"/>
      <c r="G13" s="138"/>
      <c r="H13" s="138"/>
      <c r="I13" s="140"/>
      <c r="J13" s="138"/>
      <c r="K13" s="351" t="s">
        <v>67</v>
      </c>
      <c r="L13" s="351" t="s">
        <v>68</v>
      </c>
      <c r="M13" s="351" t="s">
        <v>67</v>
      </c>
      <c r="N13" s="351" t="s">
        <v>68</v>
      </c>
    </row>
    <row r="14" spans="1:84" ht="21.75" customHeight="1">
      <c r="A14" s="1245" t="s">
        <v>69</v>
      </c>
      <c r="B14" s="1246"/>
      <c r="C14" s="1246"/>
      <c r="D14" s="1246"/>
      <c r="E14" s="1246"/>
      <c r="F14" s="1246"/>
      <c r="G14" s="1246"/>
      <c r="H14" s="1246"/>
      <c r="I14" s="1246"/>
      <c r="J14" s="1247"/>
      <c r="K14" s="173" t="s">
        <v>70</v>
      </c>
      <c r="L14" s="173" t="s">
        <v>70</v>
      </c>
      <c r="M14" s="173" t="s">
        <v>70</v>
      </c>
      <c r="N14" s="173" t="s">
        <v>70</v>
      </c>
    </row>
    <row r="15" spans="1:84" ht="15" customHeight="1">
      <c r="A15" s="277" t="s">
        <v>7</v>
      </c>
      <c r="B15" s="1248" t="s">
        <v>71</v>
      </c>
      <c r="C15" s="1249"/>
      <c r="D15" s="1249"/>
      <c r="E15" s="1249"/>
      <c r="F15" s="1249"/>
      <c r="G15" s="1249"/>
      <c r="H15" s="1249"/>
      <c r="I15" s="1249"/>
      <c r="J15" s="1250"/>
      <c r="K15" s="269" t="e">
        <f>#REF!</f>
        <v>#REF!</v>
      </c>
      <c r="L15" s="269" t="e">
        <f>#REF!</f>
        <v>#REF!</v>
      </c>
      <c r="M15" s="269" t="e">
        <f>#REF!</f>
        <v>#REF!</v>
      </c>
      <c r="N15" s="269" t="e">
        <f>#REF!</f>
        <v>#REF!</v>
      </c>
    </row>
    <row r="16" spans="1:84" ht="15" customHeight="1">
      <c r="A16" s="255" t="s">
        <v>9</v>
      </c>
      <c r="B16" s="178" t="s">
        <v>145</v>
      </c>
      <c r="C16" s="179"/>
      <c r="D16" s="179"/>
      <c r="E16" s="164"/>
      <c r="F16" s="179"/>
      <c r="G16" s="177"/>
      <c r="H16" s="177" t="s">
        <v>146</v>
      </c>
      <c r="I16" s="174"/>
      <c r="J16" s="175">
        <v>0.3</v>
      </c>
      <c r="K16" s="176" t="e">
        <f>J16*K15</f>
        <v>#REF!</v>
      </c>
      <c r="L16" s="176" t="e">
        <f>L15*0</f>
        <v>#REF!</v>
      </c>
      <c r="M16" s="176" t="e">
        <f>J16*M15</f>
        <v>#REF!</v>
      </c>
      <c r="N16" s="176" t="e">
        <f>N15*0</f>
        <v>#REF!</v>
      </c>
    </row>
    <row r="17" spans="1:234" ht="16.5" customHeight="1">
      <c r="A17" s="1251" t="s">
        <v>73</v>
      </c>
      <c r="B17" s="1252"/>
      <c r="C17" s="1252"/>
      <c r="D17" s="1252"/>
      <c r="E17" s="1252"/>
      <c r="F17" s="1252"/>
      <c r="G17" s="1252"/>
      <c r="H17" s="1252"/>
      <c r="I17" s="1252"/>
      <c r="J17" s="1253"/>
      <c r="K17" s="176" t="e">
        <f>SUM(K15:K16)</f>
        <v>#REF!</v>
      </c>
      <c r="L17" s="176" t="e">
        <f>SUM(L15:L16)</f>
        <v>#REF!</v>
      </c>
      <c r="M17" s="176" t="e">
        <f>SUM(M15:M16)</f>
        <v>#REF!</v>
      </c>
      <c r="N17" s="176" t="e">
        <f>SUM(N15:N16)</f>
        <v>#REF!</v>
      </c>
    </row>
    <row r="18" spans="1:234" ht="22.5" customHeight="1">
      <c r="A18" s="207" t="s">
        <v>74</v>
      </c>
      <c r="B18" s="208"/>
      <c r="C18" s="208"/>
      <c r="D18" s="208"/>
      <c r="E18" s="208"/>
      <c r="F18" s="208"/>
      <c r="G18" s="166"/>
      <c r="H18" s="166"/>
      <c r="I18" s="166"/>
      <c r="J18" s="234"/>
      <c r="K18" s="235"/>
      <c r="L18" s="235"/>
      <c r="M18" s="235"/>
      <c r="N18" s="235"/>
    </row>
    <row r="19" spans="1:234" ht="14.25" customHeight="1">
      <c r="A19" s="253" t="s">
        <v>76</v>
      </c>
      <c r="B19" s="229"/>
      <c r="C19" s="229"/>
      <c r="D19" s="229"/>
      <c r="E19" s="229"/>
      <c r="F19" s="229"/>
      <c r="G19" s="179"/>
      <c r="H19" s="179"/>
      <c r="I19" s="254"/>
      <c r="J19" s="179"/>
      <c r="K19" s="254"/>
      <c r="L19" s="254"/>
      <c r="M19" s="254"/>
      <c r="N19" s="254"/>
    </row>
    <row r="20" spans="1:234" ht="14.25" customHeight="1">
      <c r="A20" s="247" t="s">
        <v>77</v>
      </c>
      <c r="B20" s="145"/>
      <c r="C20" s="145"/>
      <c r="D20" s="145"/>
      <c r="E20" s="145"/>
      <c r="F20" s="145"/>
      <c r="G20" s="146"/>
      <c r="H20" s="146"/>
      <c r="I20" s="251"/>
      <c r="J20" s="252" t="s">
        <v>75</v>
      </c>
      <c r="K20" s="246" t="s">
        <v>70</v>
      </c>
      <c r="L20" s="246" t="s">
        <v>70</v>
      </c>
      <c r="M20" s="246" t="s">
        <v>70</v>
      </c>
      <c r="N20" s="246" t="s">
        <v>70</v>
      </c>
    </row>
    <row r="21" spans="1:234" ht="14.1" customHeight="1">
      <c r="A21" s="277" t="s">
        <v>7</v>
      </c>
      <c r="B21" s="129" t="s">
        <v>78</v>
      </c>
      <c r="C21" s="129"/>
      <c r="D21" s="129"/>
      <c r="E21" s="129"/>
      <c r="F21" s="129"/>
      <c r="G21" s="129"/>
      <c r="H21" s="129"/>
      <c r="I21" s="129"/>
      <c r="J21" s="148">
        <f>1/12</f>
        <v>8.3333333333333329E-2</v>
      </c>
      <c r="K21" s="276" t="e">
        <f>J21*$K$17</f>
        <v>#REF!</v>
      </c>
      <c r="L21" s="276" t="e">
        <f>J21*$L$17</f>
        <v>#REF!</v>
      </c>
      <c r="M21" s="276" t="e">
        <f>$J$21*$M$17</f>
        <v>#REF!</v>
      </c>
      <c r="N21" s="276" t="e">
        <f>$J21*$N$17</f>
        <v>#REF!</v>
      </c>
    </row>
    <row r="22" spans="1:234" ht="12.75" customHeight="1">
      <c r="A22" s="277" t="s">
        <v>9</v>
      </c>
      <c r="B22" s="129" t="s">
        <v>79</v>
      </c>
      <c r="C22" s="129"/>
      <c r="D22" s="129"/>
      <c r="E22" s="129"/>
      <c r="F22" s="129"/>
      <c r="G22" s="129"/>
      <c r="H22" s="129"/>
      <c r="I22" s="149"/>
      <c r="J22" s="180">
        <f>1/3/12*100%</f>
        <v>2.7777777777777776E-2</v>
      </c>
      <c r="K22" s="276" t="e">
        <f>J22*$K$17</f>
        <v>#REF!</v>
      </c>
      <c r="L22" s="276" t="e">
        <f>J22*$L$17</f>
        <v>#REF!</v>
      </c>
      <c r="M22" s="276" t="e">
        <f>$J$22*$M$17</f>
        <v>#REF!</v>
      </c>
      <c r="N22" s="276" t="e">
        <f>$J22*$N$17</f>
        <v>#REF!</v>
      </c>
    </row>
    <row r="23" spans="1:234" ht="15" customHeight="1">
      <c r="A23" s="1254" t="s">
        <v>24</v>
      </c>
      <c r="B23" s="1255"/>
      <c r="C23" s="1255"/>
      <c r="D23" s="1255"/>
      <c r="E23" s="1255"/>
      <c r="F23" s="1255"/>
      <c r="G23" s="1255"/>
      <c r="H23" s="1255"/>
      <c r="I23" s="1256"/>
      <c r="J23" s="150">
        <f>SUM(J21:J22)</f>
        <v>0.1111111111111111</v>
      </c>
      <c r="K23" s="181" t="e">
        <f>SUM(K21:K22)</f>
        <v>#REF!</v>
      </c>
      <c r="L23" s="181" t="e">
        <f>SUM(L21:L22)</f>
        <v>#REF!</v>
      </c>
      <c r="M23" s="181" t="e">
        <f>SUM(M21:M22)</f>
        <v>#REF!</v>
      </c>
      <c r="N23" s="181" t="e">
        <f>SUM(N21:N22)</f>
        <v>#REF!</v>
      </c>
      <c r="O23" s="151"/>
      <c r="P23" s="151"/>
      <c r="Q23" s="151"/>
      <c r="R23" s="151"/>
      <c r="S23" s="151"/>
      <c r="T23" s="151"/>
      <c r="U23" s="151"/>
      <c r="V23" s="151"/>
      <c r="W23" s="151"/>
      <c r="X23" s="151"/>
      <c r="Y23" s="151"/>
      <c r="Z23" s="151"/>
      <c r="AA23" s="151"/>
      <c r="AB23" s="151"/>
      <c r="AC23" s="151"/>
      <c r="AD23" s="151"/>
      <c r="AE23" s="151"/>
      <c r="AF23" s="151"/>
      <c r="AG23" s="151"/>
      <c r="AH23" s="151"/>
      <c r="AI23" s="151"/>
      <c r="AJ23" s="151"/>
      <c r="AK23" s="151"/>
      <c r="AL23" s="151"/>
      <c r="AM23" s="151"/>
      <c r="AN23" s="151"/>
      <c r="AO23" s="151"/>
      <c r="AP23" s="151"/>
      <c r="AQ23" s="151"/>
      <c r="AR23" s="151"/>
      <c r="AS23" s="151"/>
      <c r="AT23" s="151"/>
      <c r="AU23" s="151"/>
      <c r="AV23" s="151"/>
      <c r="AW23" s="151"/>
      <c r="AX23" s="151"/>
      <c r="AY23" s="151"/>
      <c r="AZ23" s="151"/>
      <c r="BA23" s="151"/>
      <c r="BB23" s="151"/>
      <c r="BC23" s="151"/>
      <c r="BD23" s="151"/>
      <c r="BE23" s="151"/>
      <c r="BF23" s="151"/>
      <c r="BG23" s="151"/>
      <c r="BH23" s="151"/>
      <c r="BI23" s="151"/>
      <c r="BJ23" s="151"/>
      <c r="BK23" s="151"/>
      <c r="BL23" s="151"/>
      <c r="BM23" s="151"/>
      <c r="BN23" s="151"/>
      <c r="BO23" s="151"/>
      <c r="BP23" s="151"/>
      <c r="BQ23" s="151"/>
      <c r="BR23" s="151"/>
      <c r="BS23" s="151"/>
      <c r="BT23" s="151"/>
      <c r="BU23" s="151"/>
      <c r="BV23" s="151"/>
      <c r="BW23" s="151"/>
      <c r="BX23" s="151"/>
      <c r="BY23" s="151"/>
      <c r="BZ23" s="151"/>
      <c r="CA23" s="151"/>
      <c r="CB23" s="151"/>
      <c r="CC23" s="151"/>
      <c r="CD23" s="151"/>
      <c r="CE23" s="151"/>
      <c r="CF23" s="151"/>
      <c r="CG23" s="152"/>
      <c r="CH23" s="152"/>
      <c r="CI23" s="152"/>
      <c r="CJ23" s="152"/>
      <c r="CK23" s="152"/>
      <c r="CL23" s="152"/>
      <c r="CM23" s="152"/>
      <c r="CN23" s="152"/>
      <c r="CO23" s="152"/>
      <c r="CP23" s="152"/>
      <c r="CQ23" s="152"/>
      <c r="CR23" s="152"/>
      <c r="CS23" s="152"/>
      <c r="CT23" s="152"/>
      <c r="CU23" s="152"/>
      <c r="CV23" s="152"/>
      <c r="CW23" s="152"/>
      <c r="CX23" s="152"/>
      <c r="CY23" s="152"/>
      <c r="CZ23" s="152"/>
      <c r="DA23" s="152"/>
      <c r="DB23" s="152"/>
      <c r="DC23" s="152"/>
      <c r="DD23" s="152"/>
      <c r="DE23" s="152"/>
      <c r="DF23" s="152"/>
      <c r="DG23" s="152"/>
      <c r="DH23" s="152"/>
      <c r="DI23" s="152"/>
      <c r="DJ23" s="152"/>
      <c r="DK23" s="152"/>
      <c r="DL23" s="152"/>
      <c r="DM23" s="152"/>
      <c r="DN23" s="152"/>
      <c r="DO23" s="152"/>
      <c r="DP23" s="152"/>
      <c r="DQ23" s="152"/>
      <c r="DR23" s="152"/>
      <c r="DS23" s="152"/>
      <c r="DT23" s="152"/>
      <c r="DU23" s="152"/>
      <c r="DV23" s="152"/>
      <c r="DW23" s="152"/>
      <c r="DX23" s="152"/>
      <c r="DY23" s="152"/>
      <c r="DZ23" s="152"/>
      <c r="EA23" s="152"/>
      <c r="EB23" s="152"/>
      <c r="EC23" s="152"/>
      <c r="ED23" s="152"/>
      <c r="EE23" s="152"/>
      <c r="EF23" s="152"/>
      <c r="EG23" s="152"/>
      <c r="EH23" s="152"/>
      <c r="EI23" s="152"/>
      <c r="EJ23" s="152"/>
      <c r="EK23" s="152"/>
      <c r="EL23" s="152"/>
      <c r="EM23" s="152"/>
      <c r="EN23" s="152"/>
      <c r="EO23" s="152"/>
      <c r="EP23" s="152"/>
      <c r="EQ23" s="152"/>
      <c r="ER23" s="152"/>
      <c r="ES23" s="152"/>
      <c r="ET23" s="152"/>
      <c r="EU23" s="152"/>
      <c r="EV23" s="152"/>
      <c r="EW23" s="152"/>
      <c r="EX23" s="152"/>
      <c r="EY23" s="152"/>
      <c r="EZ23" s="152"/>
      <c r="FA23" s="152"/>
      <c r="FB23" s="152"/>
      <c r="FC23" s="152"/>
      <c r="FD23" s="152"/>
      <c r="FE23" s="152"/>
      <c r="FF23" s="152"/>
      <c r="FG23" s="152"/>
      <c r="FH23" s="152"/>
      <c r="FI23" s="152"/>
      <c r="FJ23" s="152"/>
      <c r="FK23" s="152"/>
      <c r="FL23" s="152"/>
      <c r="FM23" s="152"/>
      <c r="FN23" s="152"/>
      <c r="FO23" s="152"/>
      <c r="FP23" s="152"/>
      <c r="FQ23" s="152"/>
      <c r="FR23" s="152"/>
      <c r="FS23" s="152"/>
      <c r="FT23" s="152"/>
      <c r="FU23" s="152"/>
      <c r="FV23" s="152"/>
      <c r="FW23" s="152"/>
      <c r="FX23" s="152"/>
      <c r="FY23" s="152"/>
      <c r="FZ23" s="152"/>
      <c r="GA23" s="152"/>
      <c r="GB23" s="152"/>
      <c r="GC23" s="152"/>
      <c r="GD23" s="152"/>
      <c r="GE23" s="152"/>
      <c r="GF23" s="152"/>
      <c r="GG23" s="152"/>
      <c r="GH23" s="152"/>
      <c r="GI23" s="152"/>
      <c r="GJ23" s="152"/>
      <c r="GK23" s="152"/>
      <c r="GL23" s="152"/>
      <c r="GM23" s="152"/>
      <c r="GN23" s="152"/>
      <c r="GO23" s="152"/>
      <c r="GP23" s="152"/>
      <c r="GQ23" s="152"/>
      <c r="GR23" s="152"/>
      <c r="GS23" s="152"/>
      <c r="GT23" s="152"/>
      <c r="GU23" s="152"/>
      <c r="GV23" s="152"/>
      <c r="GW23" s="152"/>
      <c r="GX23" s="152"/>
      <c r="GY23" s="152"/>
      <c r="GZ23" s="152"/>
      <c r="HA23" s="152"/>
      <c r="HB23" s="152"/>
      <c r="HC23" s="152"/>
      <c r="HD23" s="152"/>
      <c r="HE23" s="152"/>
      <c r="HF23" s="152"/>
      <c r="HG23" s="152"/>
      <c r="HH23" s="152"/>
      <c r="HI23" s="152"/>
      <c r="HJ23" s="152"/>
      <c r="HK23" s="152"/>
      <c r="HL23" s="152"/>
      <c r="HM23" s="152"/>
      <c r="HN23" s="152"/>
      <c r="HO23" s="152"/>
      <c r="HP23" s="152"/>
      <c r="HQ23" s="152"/>
      <c r="HR23" s="152"/>
      <c r="HS23" s="152"/>
      <c r="HT23" s="152"/>
      <c r="HU23" s="152"/>
      <c r="HV23" s="152"/>
      <c r="HW23" s="152"/>
      <c r="HX23" s="152"/>
      <c r="HY23" s="152"/>
      <c r="HZ23" s="152"/>
    </row>
    <row r="24" spans="1:234" ht="15" customHeight="1">
      <c r="A24" s="207" t="s">
        <v>147</v>
      </c>
      <c r="B24" s="208"/>
      <c r="C24" s="208"/>
      <c r="D24" s="208"/>
      <c r="E24" s="208"/>
      <c r="F24" s="208"/>
      <c r="G24" s="166"/>
      <c r="H24" s="166"/>
      <c r="I24" s="227"/>
      <c r="J24" s="283"/>
      <c r="K24" s="173" t="s">
        <v>70</v>
      </c>
      <c r="L24" s="173" t="s">
        <v>70</v>
      </c>
      <c r="M24" s="173" t="s">
        <v>70</v>
      </c>
      <c r="N24" s="173" t="s">
        <v>70</v>
      </c>
    </row>
    <row r="25" spans="1:234" ht="15" customHeight="1">
      <c r="A25" s="216" t="s">
        <v>100</v>
      </c>
      <c r="B25" s="228"/>
      <c r="C25" s="228"/>
      <c r="D25" s="228"/>
      <c r="E25" s="228"/>
      <c r="F25" s="228"/>
      <c r="G25" s="228"/>
      <c r="H25" s="228"/>
      <c r="I25" s="228"/>
      <c r="J25" s="148"/>
      <c r="K25" s="230" t="e">
        <f>K17</f>
        <v>#REF!</v>
      </c>
      <c r="L25" s="230" t="e">
        <f>L17</f>
        <v>#REF!</v>
      </c>
      <c r="M25" s="230" t="e">
        <f>M17</f>
        <v>#REF!</v>
      </c>
      <c r="N25" s="230" t="e">
        <f>N17</f>
        <v>#REF!</v>
      </c>
      <c r="O25" s="151"/>
      <c r="P25" s="151"/>
      <c r="Q25" s="151"/>
      <c r="R25" s="151"/>
      <c r="S25" s="151"/>
      <c r="T25" s="151"/>
      <c r="U25" s="151"/>
      <c r="V25" s="151"/>
      <c r="W25" s="151"/>
      <c r="X25" s="151"/>
      <c r="Y25" s="151"/>
      <c r="Z25" s="151"/>
      <c r="AA25" s="151"/>
      <c r="AB25" s="151"/>
      <c r="AC25" s="151"/>
      <c r="AD25" s="151"/>
      <c r="AE25" s="151"/>
      <c r="AF25" s="151"/>
      <c r="AG25" s="151"/>
      <c r="AH25" s="151"/>
      <c r="AI25" s="151"/>
      <c r="AJ25" s="151"/>
      <c r="AK25" s="151"/>
      <c r="AL25" s="151"/>
      <c r="AM25" s="151"/>
      <c r="AN25" s="151"/>
      <c r="AO25" s="151"/>
      <c r="AP25" s="151"/>
      <c r="AQ25" s="151"/>
      <c r="AR25" s="151"/>
      <c r="AS25" s="151"/>
      <c r="AT25" s="151"/>
      <c r="AU25" s="151"/>
      <c r="AV25" s="151"/>
      <c r="AW25" s="151"/>
      <c r="AX25" s="151"/>
      <c r="AY25" s="151"/>
      <c r="AZ25" s="151"/>
      <c r="BA25" s="151"/>
      <c r="BB25" s="151"/>
      <c r="BC25" s="151"/>
      <c r="BD25" s="151"/>
      <c r="BE25" s="151"/>
      <c r="BF25" s="151"/>
      <c r="BG25" s="151"/>
      <c r="BH25" s="151"/>
      <c r="BI25" s="151"/>
      <c r="BJ25" s="151"/>
      <c r="BK25" s="151"/>
      <c r="BL25" s="151"/>
      <c r="BM25" s="151"/>
      <c r="BN25" s="151"/>
      <c r="BO25" s="151"/>
      <c r="BP25" s="151"/>
      <c r="BQ25" s="151"/>
      <c r="BR25" s="151"/>
      <c r="BS25" s="151"/>
      <c r="BT25" s="151"/>
      <c r="BU25" s="151"/>
      <c r="BV25" s="151"/>
      <c r="BW25" s="151"/>
      <c r="BX25" s="151"/>
      <c r="BY25" s="151"/>
      <c r="BZ25" s="151"/>
      <c r="CA25" s="151"/>
      <c r="CB25" s="151"/>
      <c r="CC25" s="151"/>
      <c r="CD25" s="151"/>
      <c r="CE25" s="151"/>
      <c r="CF25" s="151"/>
      <c r="CG25" s="152"/>
      <c r="CH25" s="152"/>
      <c r="CI25" s="152"/>
      <c r="CJ25" s="152"/>
      <c r="CK25" s="152"/>
      <c r="CL25" s="152"/>
      <c r="CM25" s="152"/>
      <c r="CN25" s="152"/>
      <c r="CO25" s="152"/>
      <c r="CP25" s="152"/>
      <c r="CQ25" s="152"/>
      <c r="CR25" s="152"/>
      <c r="CS25" s="152"/>
      <c r="CT25" s="152"/>
      <c r="CU25" s="152"/>
      <c r="CV25" s="152"/>
      <c r="CW25" s="152"/>
      <c r="CX25" s="152"/>
      <c r="CY25" s="152"/>
      <c r="CZ25" s="152"/>
      <c r="DA25" s="152"/>
      <c r="DB25" s="152"/>
      <c r="DC25" s="152"/>
      <c r="DD25" s="152"/>
      <c r="DE25" s="152"/>
      <c r="DF25" s="152"/>
      <c r="DG25" s="152"/>
      <c r="DH25" s="152"/>
      <c r="DI25" s="152"/>
      <c r="DJ25" s="152"/>
      <c r="DK25" s="152"/>
      <c r="DL25" s="152"/>
      <c r="DM25" s="152"/>
      <c r="DN25" s="152"/>
      <c r="DO25" s="152"/>
      <c r="DP25" s="152"/>
      <c r="DQ25" s="152"/>
      <c r="DR25" s="152"/>
      <c r="DS25" s="152"/>
      <c r="DT25" s="152"/>
      <c r="DU25" s="152"/>
      <c r="DV25" s="152"/>
      <c r="DW25" s="152"/>
      <c r="DX25" s="152"/>
      <c r="DY25" s="152"/>
      <c r="DZ25" s="152"/>
      <c r="EA25" s="152"/>
      <c r="EB25" s="152"/>
      <c r="EC25" s="152"/>
      <c r="ED25" s="152"/>
      <c r="EE25" s="152"/>
      <c r="EF25" s="152"/>
      <c r="EG25" s="152"/>
      <c r="EH25" s="152"/>
      <c r="EI25" s="152"/>
      <c r="EJ25" s="152"/>
      <c r="EK25" s="152"/>
      <c r="EL25" s="152"/>
      <c r="EM25" s="152"/>
      <c r="EN25" s="152"/>
      <c r="EO25" s="152"/>
      <c r="EP25" s="152"/>
      <c r="EQ25" s="152"/>
      <c r="ER25" s="152"/>
      <c r="ES25" s="152"/>
      <c r="ET25" s="152"/>
      <c r="EU25" s="152"/>
      <c r="EV25" s="152"/>
      <c r="EW25" s="152"/>
      <c r="EX25" s="152"/>
      <c r="EY25" s="152"/>
      <c r="EZ25" s="152"/>
      <c r="FA25" s="152"/>
      <c r="FB25" s="152"/>
      <c r="FC25" s="152"/>
      <c r="FD25" s="152"/>
      <c r="FE25" s="152"/>
      <c r="FF25" s="152"/>
      <c r="FG25" s="152"/>
      <c r="FH25" s="152"/>
      <c r="FI25" s="152"/>
      <c r="FJ25" s="152"/>
      <c r="FK25" s="152"/>
      <c r="FL25" s="152"/>
      <c r="FM25" s="152"/>
      <c r="FN25" s="152"/>
      <c r="FO25" s="152"/>
      <c r="FP25" s="152"/>
      <c r="FQ25" s="152"/>
      <c r="FR25" s="152"/>
      <c r="FS25" s="152"/>
      <c r="FT25" s="152"/>
      <c r="FU25" s="152"/>
      <c r="FV25" s="152"/>
      <c r="FW25" s="152"/>
      <c r="FX25" s="152"/>
      <c r="FY25" s="152"/>
      <c r="FZ25" s="152"/>
      <c r="GA25" s="152"/>
      <c r="GB25" s="152"/>
      <c r="GC25" s="152"/>
      <c r="GD25" s="152"/>
      <c r="GE25" s="152"/>
      <c r="GF25" s="152"/>
      <c r="GG25" s="152"/>
      <c r="GH25" s="152"/>
      <c r="GI25" s="152"/>
      <c r="GJ25" s="152"/>
      <c r="GK25" s="152"/>
      <c r="GL25" s="152"/>
      <c r="GM25" s="152"/>
      <c r="GN25" s="152"/>
      <c r="GO25" s="152"/>
      <c r="GP25" s="152"/>
      <c r="GQ25" s="152"/>
      <c r="GR25" s="152"/>
      <c r="GS25" s="152"/>
      <c r="GT25" s="152"/>
      <c r="GU25" s="152"/>
      <c r="GV25" s="152"/>
      <c r="GW25" s="152"/>
      <c r="GX25" s="152"/>
      <c r="GY25" s="152"/>
      <c r="GZ25" s="152"/>
      <c r="HA25" s="152"/>
      <c r="HB25" s="152"/>
      <c r="HC25" s="152"/>
      <c r="HD25" s="152"/>
      <c r="HE25" s="152"/>
      <c r="HF25" s="152"/>
      <c r="HG25" s="152"/>
      <c r="HH25" s="152"/>
      <c r="HI25" s="152"/>
      <c r="HJ25" s="152"/>
      <c r="HK25" s="152"/>
      <c r="HL25" s="152"/>
      <c r="HM25" s="152"/>
      <c r="HN25" s="152"/>
      <c r="HO25" s="152"/>
      <c r="HP25" s="152"/>
      <c r="HQ25" s="152"/>
      <c r="HR25" s="152"/>
      <c r="HS25" s="152"/>
      <c r="HT25" s="152"/>
      <c r="HU25" s="152"/>
      <c r="HV25" s="152"/>
      <c r="HW25" s="152"/>
      <c r="HX25" s="152"/>
      <c r="HY25" s="152"/>
      <c r="HZ25" s="152"/>
    </row>
    <row r="26" spans="1:234" ht="15" customHeight="1">
      <c r="A26" s="217" t="s">
        <v>148</v>
      </c>
      <c r="B26" s="129"/>
      <c r="C26" s="129"/>
      <c r="D26" s="129"/>
      <c r="E26" s="129"/>
      <c r="F26" s="129"/>
      <c r="G26" s="129"/>
      <c r="H26" s="129"/>
      <c r="I26" s="129"/>
      <c r="J26" s="180"/>
      <c r="K26" s="182" t="e">
        <f>K23</f>
        <v>#REF!</v>
      </c>
      <c r="L26" s="182" t="e">
        <f>L23</f>
        <v>#REF!</v>
      </c>
      <c r="M26" s="182" t="e">
        <f>M23</f>
        <v>#REF!</v>
      </c>
      <c r="N26" s="182" t="e">
        <f>N23</f>
        <v>#REF!</v>
      </c>
      <c r="O26" s="151"/>
      <c r="P26" s="151"/>
      <c r="Q26" s="151"/>
      <c r="R26" s="151"/>
      <c r="S26" s="151"/>
      <c r="T26" s="151"/>
      <c r="U26" s="151"/>
      <c r="V26" s="151"/>
      <c r="W26" s="151"/>
      <c r="X26" s="151"/>
      <c r="Y26" s="151"/>
      <c r="Z26" s="151"/>
      <c r="AA26" s="151"/>
      <c r="AB26" s="151"/>
      <c r="AC26" s="151"/>
      <c r="AD26" s="151"/>
      <c r="AE26" s="151"/>
      <c r="AF26" s="151"/>
      <c r="AG26" s="151"/>
      <c r="AH26" s="151"/>
      <c r="AI26" s="151"/>
      <c r="AJ26" s="151"/>
      <c r="AK26" s="151"/>
      <c r="AL26" s="151"/>
      <c r="AM26" s="151"/>
      <c r="AN26" s="151"/>
      <c r="AO26" s="151"/>
      <c r="AP26" s="151"/>
      <c r="AQ26" s="151"/>
      <c r="AR26" s="151"/>
      <c r="AS26" s="151"/>
      <c r="AT26" s="151"/>
      <c r="AU26" s="151"/>
      <c r="AV26" s="151"/>
      <c r="AW26" s="151"/>
      <c r="AX26" s="151"/>
      <c r="AY26" s="151"/>
      <c r="AZ26" s="151"/>
      <c r="BA26" s="151"/>
      <c r="BB26" s="151"/>
      <c r="BC26" s="151"/>
      <c r="BD26" s="151"/>
      <c r="BE26" s="151"/>
      <c r="BF26" s="151"/>
      <c r="BG26" s="151"/>
      <c r="BH26" s="151"/>
      <c r="BI26" s="151"/>
      <c r="BJ26" s="151"/>
      <c r="BK26" s="151"/>
      <c r="BL26" s="151"/>
      <c r="BM26" s="151"/>
      <c r="BN26" s="151"/>
      <c r="BO26" s="151"/>
      <c r="BP26" s="151"/>
      <c r="BQ26" s="151"/>
      <c r="BR26" s="151"/>
      <c r="BS26" s="151"/>
      <c r="BT26" s="151"/>
      <c r="BU26" s="151"/>
      <c r="BV26" s="151"/>
      <c r="BW26" s="151"/>
      <c r="BX26" s="151"/>
      <c r="BY26" s="151"/>
      <c r="BZ26" s="151"/>
      <c r="CA26" s="151"/>
      <c r="CB26" s="151"/>
      <c r="CC26" s="151"/>
      <c r="CD26" s="151"/>
      <c r="CE26" s="151"/>
      <c r="CF26" s="151"/>
      <c r="CG26" s="152"/>
      <c r="CH26" s="152"/>
      <c r="CI26" s="152"/>
      <c r="CJ26" s="152"/>
      <c r="CK26" s="152"/>
      <c r="CL26" s="152"/>
      <c r="CM26" s="152"/>
      <c r="CN26" s="152"/>
      <c r="CO26" s="152"/>
      <c r="CP26" s="152"/>
      <c r="CQ26" s="152"/>
      <c r="CR26" s="152"/>
      <c r="CS26" s="152"/>
      <c r="CT26" s="152"/>
      <c r="CU26" s="152"/>
      <c r="CV26" s="152"/>
      <c r="CW26" s="152"/>
      <c r="CX26" s="152"/>
      <c r="CY26" s="152"/>
      <c r="CZ26" s="152"/>
      <c r="DA26" s="152"/>
      <c r="DB26" s="152"/>
      <c r="DC26" s="152"/>
      <c r="DD26" s="152"/>
      <c r="DE26" s="152"/>
      <c r="DF26" s="152"/>
      <c r="DG26" s="152"/>
      <c r="DH26" s="152"/>
      <c r="DI26" s="152"/>
      <c r="DJ26" s="152"/>
      <c r="DK26" s="152"/>
      <c r="DL26" s="152"/>
      <c r="DM26" s="152"/>
      <c r="DN26" s="152"/>
      <c r="DO26" s="152"/>
      <c r="DP26" s="152"/>
      <c r="DQ26" s="152"/>
      <c r="DR26" s="152"/>
      <c r="DS26" s="152"/>
      <c r="DT26" s="152"/>
      <c r="DU26" s="152"/>
      <c r="DV26" s="152"/>
      <c r="DW26" s="152"/>
      <c r="DX26" s="152"/>
      <c r="DY26" s="152"/>
      <c r="DZ26" s="152"/>
      <c r="EA26" s="152"/>
      <c r="EB26" s="152"/>
      <c r="EC26" s="152"/>
      <c r="ED26" s="152"/>
      <c r="EE26" s="152"/>
      <c r="EF26" s="152"/>
      <c r="EG26" s="152"/>
      <c r="EH26" s="152"/>
      <c r="EI26" s="152"/>
      <c r="EJ26" s="152"/>
      <c r="EK26" s="152"/>
      <c r="EL26" s="152"/>
      <c r="EM26" s="152"/>
      <c r="EN26" s="152"/>
      <c r="EO26" s="152"/>
      <c r="EP26" s="152"/>
      <c r="EQ26" s="152"/>
      <c r="ER26" s="152"/>
      <c r="ES26" s="152"/>
      <c r="ET26" s="152"/>
      <c r="EU26" s="152"/>
      <c r="EV26" s="152"/>
      <c r="EW26" s="152"/>
      <c r="EX26" s="152"/>
      <c r="EY26" s="152"/>
      <c r="EZ26" s="152"/>
      <c r="FA26" s="152"/>
      <c r="FB26" s="152"/>
      <c r="FC26" s="152"/>
      <c r="FD26" s="152"/>
      <c r="FE26" s="152"/>
      <c r="FF26" s="152"/>
      <c r="FG26" s="152"/>
      <c r="FH26" s="152"/>
      <c r="FI26" s="152"/>
      <c r="FJ26" s="152"/>
      <c r="FK26" s="152"/>
      <c r="FL26" s="152"/>
      <c r="FM26" s="152"/>
      <c r="FN26" s="152"/>
      <c r="FO26" s="152"/>
      <c r="FP26" s="152"/>
      <c r="FQ26" s="152"/>
      <c r="FR26" s="152"/>
      <c r="FS26" s="152"/>
      <c r="FT26" s="152"/>
      <c r="FU26" s="152"/>
      <c r="FV26" s="152"/>
      <c r="FW26" s="152"/>
      <c r="FX26" s="152"/>
      <c r="FY26" s="152"/>
      <c r="FZ26" s="152"/>
      <c r="GA26" s="152"/>
      <c r="GB26" s="152"/>
      <c r="GC26" s="152"/>
      <c r="GD26" s="152"/>
      <c r="GE26" s="152"/>
      <c r="GF26" s="152"/>
      <c r="GG26" s="152"/>
      <c r="GH26" s="152"/>
      <c r="GI26" s="152"/>
      <c r="GJ26" s="152"/>
      <c r="GK26" s="152"/>
      <c r="GL26" s="152"/>
      <c r="GM26" s="152"/>
      <c r="GN26" s="152"/>
      <c r="GO26" s="152"/>
      <c r="GP26" s="152"/>
      <c r="GQ26" s="152"/>
      <c r="GR26" s="152"/>
      <c r="GS26" s="152"/>
      <c r="GT26" s="152"/>
      <c r="GU26" s="152"/>
      <c r="GV26" s="152"/>
      <c r="GW26" s="152"/>
      <c r="GX26" s="152"/>
      <c r="GY26" s="152"/>
      <c r="GZ26" s="152"/>
      <c r="HA26" s="152"/>
      <c r="HB26" s="152"/>
      <c r="HC26" s="152"/>
      <c r="HD26" s="152"/>
      <c r="HE26" s="152"/>
      <c r="HF26" s="152"/>
      <c r="HG26" s="152"/>
      <c r="HH26" s="152"/>
      <c r="HI26" s="152"/>
      <c r="HJ26" s="152"/>
      <c r="HK26" s="152"/>
      <c r="HL26" s="152"/>
      <c r="HM26" s="152"/>
      <c r="HN26" s="152"/>
      <c r="HO26" s="152"/>
      <c r="HP26" s="152"/>
      <c r="HQ26" s="152"/>
      <c r="HR26" s="152"/>
      <c r="HS26" s="152"/>
      <c r="HT26" s="152"/>
      <c r="HU26" s="152"/>
      <c r="HV26" s="152"/>
      <c r="HW26" s="152"/>
      <c r="HX26" s="152"/>
      <c r="HY26" s="152"/>
      <c r="HZ26" s="152"/>
    </row>
    <row r="27" spans="1:234" ht="14.1" customHeight="1">
      <c r="A27" s="1257" t="s">
        <v>24</v>
      </c>
      <c r="B27" s="1258"/>
      <c r="C27" s="1258"/>
      <c r="D27" s="1258"/>
      <c r="E27" s="1258"/>
      <c r="F27" s="1258"/>
      <c r="G27" s="1258"/>
      <c r="H27" s="1258"/>
      <c r="I27" s="1258"/>
      <c r="J27" s="249"/>
      <c r="K27" s="250" t="e">
        <f>SUM(K25:K26)</f>
        <v>#REF!</v>
      </c>
      <c r="L27" s="250" t="e">
        <f>SUM(L25:L26)</f>
        <v>#REF!</v>
      </c>
      <c r="M27" s="250" t="e">
        <f>SUM(M25:M26)</f>
        <v>#REF!</v>
      </c>
      <c r="N27" s="250" t="e">
        <f>SUM(N25:N26)</f>
        <v>#REF!</v>
      </c>
    </row>
    <row r="28" spans="1:234" ht="31.5" customHeight="1">
      <c r="A28" s="1259" t="s">
        <v>80</v>
      </c>
      <c r="B28" s="1259"/>
      <c r="C28" s="1259"/>
      <c r="D28" s="1259"/>
      <c r="E28" s="1259"/>
      <c r="F28" s="1259"/>
      <c r="G28" s="1259"/>
      <c r="H28" s="1259"/>
      <c r="I28" s="1259"/>
      <c r="J28" s="283" t="s">
        <v>75</v>
      </c>
      <c r="K28" s="173" t="s">
        <v>70</v>
      </c>
      <c r="L28" s="173" t="s">
        <v>70</v>
      </c>
      <c r="M28" s="173" t="s">
        <v>70</v>
      </c>
      <c r="N28" s="173" t="s">
        <v>70</v>
      </c>
    </row>
    <row r="29" spans="1:234">
      <c r="A29" s="190" t="s">
        <v>50</v>
      </c>
      <c r="B29" s="229"/>
      <c r="C29" s="229"/>
      <c r="D29" s="229"/>
      <c r="E29" s="229"/>
      <c r="F29" s="165"/>
      <c r="G29" s="165"/>
      <c r="H29" s="165"/>
      <c r="I29" s="344"/>
      <c r="J29" s="164"/>
      <c r="K29" s="225"/>
      <c r="L29" s="225"/>
      <c r="M29" s="225"/>
      <c r="N29" s="225"/>
    </row>
    <row r="30" spans="1:234" ht="14.25" customHeight="1">
      <c r="A30" s="256" t="s">
        <v>7</v>
      </c>
      <c r="B30" s="158" t="s">
        <v>8</v>
      </c>
      <c r="C30" s="158"/>
      <c r="D30" s="158"/>
      <c r="E30" s="158"/>
      <c r="F30" s="158"/>
      <c r="G30" s="158"/>
      <c r="H30" s="158"/>
      <c r="I30" s="131"/>
      <c r="J30" s="291" t="e">
        <f>#REF!</f>
        <v>#REF!</v>
      </c>
      <c r="K30" s="274" t="e">
        <f t="shared" ref="K30:K37" si="0">$J30*$K$27</f>
        <v>#REF!</v>
      </c>
      <c r="L30" s="274" t="e">
        <f t="shared" ref="L30:L37" si="1">$J30*$L$27</f>
        <v>#REF!</v>
      </c>
      <c r="M30" s="274" t="e">
        <f t="shared" ref="M30:M37" si="2">$J30*$M$27</f>
        <v>#REF!</v>
      </c>
      <c r="N30" s="274" t="e">
        <f t="shared" ref="N30:N37" si="3">$J30*$N$27</f>
        <v>#REF!</v>
      </c>
    </row>
    <row r="31" spans="1:234">
      <c r="A31" s="284" t="s">
        <v>9</v>
      </c>
      <c r="B31" s="129" t="s">
        <v>51</v>
      </c>
      <c r="C31" s="129"/>
      <c r="D31" s="129"/>
      <c r="E31" s="129"/>
      <c r="F31" s="129"/>
      <c r="G31" s="129"/>
      <c r="H31" s="129"/>
      <c r="I31" s="129"/>
      <c r="J31" s="291" t="e">
        <f>#REF!</f>
        <v>#REF!</v>
      </c>
      <c r="K31" s="276" t="e">
        <f t="shared" si="0"/>
        <v>#REF!</v>
      </c>
      <c r="L31" s="276" t="e">
        <f t="shared" si="1"/>
        <v>#REF!</v>
      </c>
      <c r="M31" s="183" t="e">
        <f t="shared" si="2"/>
        <v>#REF!</v>
      </c>
      <c r="N31" s="276" t="e">
        <f t="shared" si="3"/>
        <v>#REF!</v>
      </c>
    </row>
    <row r="32" spans="1:234" ht="14.25" customHeight="1">
      <c r="A32" s="284" t="s">
        <v>11</v>
      </c>
      <c r="B32" s="288" t="s">
        <v>81</v>
      </c>
      <c r="C32" s="289"/>
      <c r="D32" s="289"/>
      <c r="E32" s="289"/>
      <c r="F32" s="287"/>
      <c r="G32" s="129"/>
      <c r="H32" s="129"/>
      <c r="I32" s="290"/>
      <c r="J32" s="291" t="e">
        <f>#REF!</f>
        <v>#REF!</v>
      </c>
      <c r="K32" s="276" t="e">
        <f t="shared" si="0"/>
        <v>#REF!</v>
      </c>
      <c r="L32" s="276" t="e">
        <f t="shared" si="1"/>
        <v>#REF!</v>
      </c>
      <c r="M32" s="276" t="e">
        <f t="shared" si="2"/>
        <v>#REF!</v>
      </c>
      <c r="N32" s="276" t="e">
        <f t="shared" si="3"/>
        <v>#REF!</v>
      </c>
    </row>
    <row r="33" spans="1:234" ht="14.1" customHeight="1">
      <c r="A33" s="284" t="s">
        <v>13</v>
      </c>
      <c r="B33" s="129" t="s">
        <v>55</v>
      </c>
      <c r="C33" s="129"/>
      <c r="D33" s="129"/>
      <c r="E33" s="129"/>
      <c r="F33" s="129"/>
      <c r="G33" s="129"/>
      <c r="H33" s="129"/>
      <c r="I33" s="154"/>
      <c r="J33" s="291" t="e">
        <f>#REF!</f>
        <v>#REF!</v>
      </c>
      <c r="K33" s="276" t="e">
        <f t="shared" si="0"/>
        <v>#REF!</v>
      </c>
      <c r="L33" s="276" t="e">
        <f t="shared" si="1"/>
        <v>#REF!</v>
      </c>
      <c r="M33" s="276" t="e">
        <f t="shared" si="2"/>
        <v>#REF!</v>
      </c>
      <c r="N33" s="276" t="e">
        <f t="shared" si="3"/>
        <v>#REF!</v>
      </c>
    </row>
    <row r="34" spans="1:234" ht="14.1" customHeight="1">
      <c r="A34" s="284" t="s">
        <v>15</v>
      </c>
      <c r="B34" s="129" t="s">
        <v>16</v>
      </c>
      <c r="C34" s="129"/>
      <c r="D34" s="129"/>
      <c r="E34" s="129"/>
      <c r="F34" s="129"/>
      <c r="G34" s="129"/>
      <c r="H34" s="129"/>
      <c r="I34" s="154"/>
      <c r="J34" s="291" t="e">
        <f>#REF!</f>
        <v>#REF!</v>
      </c>
      <c r="K34" s="276" t="e">
        <f t="shared" si="0"/>
        <v>#REF!</v>
      </c>
      <c r="L34" s="276" t="e">
        <f t="shared" si="1"/>
        <v>#REF!</v>
      </c>
      <c r="M34" s="276" t="e">
        <f t="shared" si="2"/>
        <v>#REF!</v>
      </c>
      <c r="N34" s="276" t="e">
        <f t="shared" si="3"/>
        <v>#REF!</v>
      </c>
    </row>
    <row r="35" spans="1:234" ht="14.1" customHeight="1">
      <c r="A35" s="284" t="s">
        <v>18</v>
      </c>
      <c r="B35" s="129" t="s">
        <v>19</v>
      </c>
      <c r="C35" s="129"/>
      <c r="D35" s="129"/>
      <c r="E35" s="129"/>
      <c r="F35" s="129"/>
      <c r="G35" s="129"/>
      <c r="H35" s="129"/>
      <c r="I35" s="154"/>
      <c r="J35" s="291" t="e">
        <f>#REF!</f>
        <v>#REF!</v>
      </c>
      <c r="K35" s="276" t="e">
        <f t="shared" si="0"/>
        <v>#REF!</v>
      </c>
      <c r="L35" s="276" t="e">
        <f t="shared" si="1"/>
        <v>#REF!</v>
      </c>
      <c r="M35" s="276" t="e">
        <f t="shared" si="2"/>
        <v>#REF!</v>
      </c>
      <c r="N35" s="276" t="e">
        <f t="shared" si="3"/>
        <v>#REF!</v>
      </c>
    </row>
    <row r="36" spans="1:234" ht="14.1" customHeight="1">
      <c r="A36" s="284" t="s">
        <v>20</v>
      </c>
      <c r="B36" s="129" t="s">
        <v>21</v>
      </c>
      <c r="C36" s="129"/>
      <c r="D36" s="129"/>
      <c r="E36" s="129"/>
      <c r="F36" s="129"/>
      <c r="G36" s="129"/>
      <c r="H36" s="129"/>
      <c r="I36" s="154"/>
      <c r="J36" s="291" t="e">
        <f>#REF!</f>
        <v>#REF!</v>
      </c>
      <c r="K36" s="276" t="e">
        <f t="shared" si="0"/>
        <v>#REF!</v>
      </c>
      <c r="L36" s="276" t="e">
        <f t="shared" si="1"/>
        <v>#REF!</v>
      </c>
      <c r="M36" s="276" t="e">
        <f t="shared" si="2"/>
        <v>#REF!</v>
      </c>
      <c r="N36" s="276" t="e">
        <f t="shared" si="3"/>
        <v>#REF!</v>
      </c>
    </row>
    <row r="37" spans="1:234" ht="14.1" customHeight="1">
      <c r="A37" s="257" t="s">
        <v>22</v>
      </c>
      <c r="B37" s="142" t="s">
        <v>23</v>
      </c>
      <c r="C37" s="142"/>
      <c r="D37" s="142"/>
      <c r="E37" s="142"/>
      <c r="F37" s="142"/>
      <c r="G37" s="142"/>
      <c r="H37" s="142"/>
      <c r="I37" s="157"/>
      <c r="J37" s="291" t="e">
        <f>#REF!</f>
        <v>#REF!</v>
      </c>
      <c r="K37" s="276" t="e">
        <f t="shared" si="0"/>
        <v>#REF!</v>
      </c>
      <c r="L37" s="276" t="e">
        <f t="shared" si="1"/>
        <v>#REF!</v>
      </c>
      <c r="M37" s="276" t="e">
        <f t="shared" si="2"/>
        <v>#REF!</v>
      </c>
      <c r="N37" s="276" t="e">
        <f t="shared" si="3"/>
        <v>#REF!</v>
      </c>
    </row>
    <row r="38" spans="1:234" ht="15" customHeight="1">
      <c r="A38" s="261" t="s">
        <v>24</v>
      </c>
      <c r="B38" s="248"/>
      <c r="C38" s="248"/>
      <c r="D38" s="248"/>
      <c r="E38" s="248"/>
      <c r="F38" s="248"/>
      <c r="G38" s="248"/>
      <c r="H38" s="248"/>
      <c r="I38" s="262"/>
      <c r="J38" s="291" t="e">
        <f>SUM(J30:J37)</f>
        <v>#REF!</v>
      </c>
      <c r="K38" s="250" t="e">
        <f>SUM(K30:K37)</f>
        <v>#REF!</v>
      </c>
      <c r="L38" s="250" t="e">
        <f>SUM(L30:L37)</f>
        <v>#REF!</v>
      </c>
      <c r="M38" s="250" t="e">
        <f>SUM(M30:M37)</f>
        <v>#REF!</v>
      </c>
      <c r="N38" s="250" t="e">
        <f>SUM(N30:N37)</f>
        <v>#REF!</v>
      </c>
      <c r="O38" s="151"/>
      <c r="P38" s="151"/>
      <c r="Q38" s="151"/>
      <c r="R38" s="151"/>
      <c r="S38" s="151"/>
      <c r="T38" s="151"/>
      <c r="U38" s="151"/>
      <c r="V38" s="151"/>
      <c r="W38" s="151"/>
      <c r="X38" s="151"/>
      <c r="Y38" s="151"/>
      <c r="Z38" s="151"/>
      <c r="AA38" s="151"/>
      <c r="AB38" s="151"/>
      <c r="AC38" s="151"/>
      <c r="AD38" s="151"/>
      <c r="AE38" s="151"/>
      <c r="AF38" s="151"/>
      <c r="AG38" s="151"/>
      <c r="AH38" s="151"/>
      <c r="AI38" s="151"/>
      <c r="AJ38" s="151"/>
      <c r="AK38" s="151"/>
      <c r="AL38" s="151"/>
      <c r="AM38" s="151"/>
      <c r="AN38" s="151"/>
      <c r="AO38" s="151"/>
      <c r="AP38" s="151"/>
      <c r="AQ38" s="151"/>
      <c r="AR38" s="151"/>
      <c r="AS38" s="151"/>
      <c r="AT38" s="151"/>
      <c r="AU38" s="151"/>
      <c r="AV38" s="151"/>
      <c r="AW38" s="151"/>
      <c r="AX38" s="151"/>
      <c r="AY38" s="151"/>
      <c r="AZ38" s="151"/>
      <c r="BA38" s="151"/>
      <c r="BB38" s="151"/>
      <c r="BC38" s="151"/>
      <c r="BD38" s="151"/>
      <c r="BE38" s="151"/>
      <c r="BF38" s="151"/>
      <c r="BG38" s="151"/>
      <c r="BH38" s="151"/>
      <c r="BI38" s="151"/>
      <c r="BJ38" s="151"/>
      <c r="BK38" s="151"/>
      <c r="BL38" s="151"/>
      <c r="BM38" s="151"/>
      <c r="BN38" s="151"/>
      <c r="BO38" s="151"/>
      <c r="BP38" s="151"/>
      <c r="BQ38" s="151"/>
      <c r="BR38" s="151"/>
      <c r="BS38" s="151"/>
      <c r="BT38" s="151"/>
      <c r="BU38" s="151"/>
      <c r="BV38" s="151"/>
      <c r="BW38" s="151"/>
      <c r="BX38" s="151"/>
      <c r="BY38" s="151"/>
      <c r="BZ38" s="151"/>
      <c r="CA38" s="151"/>
      <c r="CB38" s="151"/>
      <c r="CC38" s="151"/>
      <c r="CD38" s="151"/>
      <c r="CE38" s="151"/>
      <c r="CF38" s="151"/>
      <c r="CG38" s="152"/>
      <c r="CH38" s="152"/>
      <c r="CI38" s="152"/>
      <c r="CJ38" s="152"/>
      <c r="CK38" s="152"/>
      <c r="CL38" s="152"/>
      <c r="CM38" s="152"/>
      <c r="CN38" s="152"/>
      <c r="CO38" s="152"/>
      <c r="CP38" s="152"/>
      <c r="CQ38" s="152"/>
      <c r="CR38" s="152"/>
      <c r="CS38" s="152"/>
      <c r="CT38" s="152"/>
      <c r="CU38" s="152"/>
      <c r="CV38" s="152"/>
      <c r="CW38" s="152"/>
      <c r="CX38" s="152"/>
      <c r="CY38" s="152"/>
      <c r="CZ38" s="152"/>
      <c r="DA38" s="152"/>
      <c r="DB38" s="152"/>
      <c r="DC38" s="152"/>
      <c r="DD38" s="152"/>
      <c r="DE38" s="152"/>
      <c r="DF38" s="152"/>
      <c r="DG38" s="152"/>
      <c r="DH38" s="152"/>
      <c r="DI38" s="152"/>
      <c r="DJ38" s="152"/>
      <c r="DK38" s="152"/>
      <c r="DL38" s="152"/>
      <c r="DM38" s="152"/>
      <c r="DN38" s="152"/>
      <c r="DO38" s="152"/>
      <c r="DP38" s="152"/>
      <c r="DQ38" s="152"/>
      <c r="DR38" s="152"/>
      <c r="DS38" s="152"/>
      <c r="DT38" s="152"/>
      <c r="DU38" s="152"/>
      <c r="DV38" s="152"/>
      <c r="DW38" s="152"/>
      <c r="DX38" s="152"/>
      <c r="DY38" s="152"/>
      <c r="DZ38" s="152"/>
      <c r="EA38" s="152"/>
      <c r="EB38" s="152"/>
      <c r="EC38" s="152"/>
      <c r="ED38" s="152"/>
      <c r="EE38" s="152"/>
      <c r="EF38" s="152"/>
      <c r="EG38" s="152"/>
      <c r="EH38" s="152"/>
      <c r="EI38" s="152"/>
      <c r="EJ38" s="152"/>
      <c r="EK38" s="152"/>
      <c r="EL38" s="152"/>
      <c r="EM38" s="152"/>
      <c r="EN38" s="152"/>
      <c r="EO38" s="152"/>
      <c r="EP38" s="152"/>
      <c r="EQ38" s="152"/>
      <c r="ER38" s="152"/>
      <c r="ES38" s="152"/>
      <c r="ET38" s="152"/>
      <c r="EU38" s="152"/>
      <c r="EV38" s="152"/>
      <c r="EW38" s="152"/>
      <c r="EX38" s="152"/>
      <c r="EY38" s="152"/>
      <c r="EZ38" s="152"/>
      <c r="FA38" s="152"/>
      <c r="FB38" s="152"/>
      <c r="FC38" s="152"/>
      <c r="FD38" s="152"/>
      <c r="FE38" s="152"/>
      <c r="FF38" s="152"/>
      <c r="FG38" s="152"/>
      <c r="FH38" s="152"/>
      <c r="FI38" s="152"/>
      <c r="FJ38" s="152"/>
      <c r="FK38" s="152"/>
      <c r="FL38" s="152"/>
      <c r="FM38" s="152"/>
      <c r="FN38" s="152"/>
      <c r="FO38" s="152"/>
      <c r="FP38" s="152"/>
      <c r="FQ38" s="152"/>
      <c r="FR38" s="152"/>
      <c r="FS38" s="152"/>
      <c r="FT38" s="152"/>
      <c r="FU38" s="152"/>
      <c r="FV38" s="152"/>
      <c r="FW38" s="152"/>
      <c r="FX38" s="152"/>
      <c r="FY38" s="152"/>
      <c r="FZ38" s="152"/>
      <c r="GA38" s="152"/>
      <c r="GB38" s="152"/>
      <c r="GC38" s="152"/>
      <c r="GD38" s="152"/>
      <c r="GE38" s="152"/>
      <c r="GF38" s="152"/>
      <c r="GG38" s="152"/>
      <c r="GH38" s="152"/>
      <c r="GI38" s="152"/>
      <c r="GJ38" s="152"/>
      <c r="GK38" s="152"/>
      <c r="GL38" s="152"/>
      <c r="GM38" s="152"/>
      <c r="GN38" s="152"/>
      <c r="GO38" s="152"/>
      <c r="GP38" s="152"/>
      <c r="GQ38" s="152"/>
      <c r="GR38" s="152"/>
      <c r="GS38" s="152"/>
      <c r="GT38" s="152"/>
      <c r="GU38" s="152"/>
      <c r="GV38" s="152"/>
      <c r="GW38" s="152"/>
      <c r="GX38" s="152"/>
      <c r="GY38" s="152"/>
      <c r="GZ38" s="152"/>
      <c r="HA38" s="152"/>
      <c r="HB38" s="152"/>
      <c r="HC38" s="152"/>
      <c r="HD38" s="152"/>
      <c r="HE38" s="152"/>
      <c r="HF38" s="152"/>
      <c r="HG38" s="152"/>
      <c r="HH38" s="152"/>
      <c r="HI38" s="152"/>
      <c r="HJ38" s="152"/>
      <c r="HK38" s="152"/>
      <c r="HL38" s="152"/>
      <c r="HM38" s="152"/>
      <c r="HN38" s="152"/>
      <c r="HO38" s="152"/>
      <c r="HP38" s="152"/>
      <c r="HQ38" s="152"/>
      <c r="HR38" s="152"/>
      <c r="HS38" s="152"/>
      <c r="HT38" s="152"/>
      <c r="HU38" s="152"/>
      <c r="HV38" s="152"/>
      <c r="HW38" s="152"/>
      <c r="HX38" s="152"/>
      <c r="HY38" s="152"/>
      <c r="HZ38" s="152"/>
    </row>
    <row r="39" spans="1:234">
      <c r="A39" s="207" t="s">
        <v>82</v>
      </c>
      <c r="B39" s="208"/>
      <c r="C39" s="208"/>
      <c r="D39" s="208"/>
      <c r="E39" s="208"/>
      <c r="F39" s="208"/>
      <c r="G39" s="166"/>
      <c r="H39" s="166"/>
      <c r="I39" s="166"/>
      <c r="J39" s="234"/>
      <c r="K39" s="235" t="s">
        <v>70</v>
      </c>
      <c r="L39" s="235" t="s">
        <v>70</v>
      </c>
      <c r="M39" s="235" t="s">
        <v>70</v>
      </c>
      <c r="N39" s="235" t="s">
        <v>70</v>
      </c>
    </row>
    <row r="40" spans="1:234">
      <c r="A40" s="190" t="s">
        <v>83</v>
      </c>
      <c r="B40" s="254"/>
      <c r="C40" s="254"/>
      <c r="D40" s="179"/>
      <c r="E40" s="179"/>
      <c r="F40" s="165"/>
      <c r="G40" s="165"/>
      <c r="H40" s="165"/>
      <c r="I40" s="344"/>
      <c r="J40" s="165"/>
      <c r="K40" s="344"/>
      <c r="L40" s="344"/>
      <c r="M40" s="344"/>
      <c r="N40" s="344"/>
    </row>
    <row r="41" spans="1:234">
      <c r="A41" s="190" t="s">
        <v>84</v>
      </c>
      <c r="B41" s="260"/>
      <c r="C41" s="260"/>
      <c r="D41" s="260"/>
      <c r="E41" s="260"/>
      <c r="F41" s="260"/>
      <c r="G41" s="260"/>
      <c r="H41" s="260"/>
      <c r="I41" s="260"/>
      <c r="J41" s="260"/>
      <c r="K41" s="274" t="e">
        <f>#REF!</f>
        <v>#REF!</v>
      </c>
      <c r="L41" s="274" t="e">
        <f>#REF!</f>
        <v>#REF!</v>
      </c>
      <c r="M41" s="272" t="e">
        <f>#REF!</f>
        <v>#REF!</v>
      </c>
      <c r="N41" s="186" t="e">
        <f>#REF!</f>
        <v>#REF!</v>
      </c>
    </row>
    <row r="42" spans="1:234">
      <c r="A42" s="258" t="s">
        <v>85</v>
      </c>
      <c r="B42" s="144"/>
      <c r="C42" s="144"/>
      <c r="D42" s="144"/>
      <c r="E42" s="144"/>
      <c r="F42" s="144"/>
      <c r="G42" s="144"/>
      <c r="H42" s="144"/>
      <c r="I42" s="144"/>
      <c r="J42" s="263"/>
      <c r="K42" s="275" t="e">
        <f>#REF!</f>
        <v>#REF!</v>
      </c>
      <c r="L42" s="275" t="e">
        <f>#REF!</f>
        <v>#REF!</v>
      </c>
      <c r="M42" s="327" t="e">
        <f>#REF!</f>
        <v>#REF!</v>
      </c>
      <c r="N42" s="186" t="e">
        <f>#REF!</f>
        <v>#REF!</v>
      </c>
    </row>
    <row r="43" spans="1:234">
      <c r="A43" s="265" t="s">
        <v>90</v>
      </c>
      <c r="B43" s="229"/>
      <c r="C43" s="229"/>
      <c r="D43" s="229"/>
      <c r="E43" s="229"/>
      <c r="F43" s="229"/>
      <c r="G43" s="229"/>
      <c r="H43" s="229"/>
      <c r="I43" s="248"/>
      <c r="J43" s="267"/>
      <c r="K43" s="275" t="e">
        <f>#REF!</f>
        <v>#REF!</v>
      </c>
      <c r="L43" s="275" t="e">
        <f>#REF!</f>
        <v>#REF!</v>
      </c>
      <c r="M43" s="278" t="e">
        <f>#REF!</f>
        <v>#REF!</v>
      </c>
      <c r="N43" s="186" t="e">
        <f>#REF!</f>
        <v>#REF!</v>
      </c>
    </row>
    <row r="44" spans="1:234">
      <c r="A44" s="265" t="s">
        <v>86</v>
      </c>
      <c r="B44" s="229"/>
      <c r="C44" s="229"/>
      <c r="D44" s="229"/>
      <c r="E44" s="229"/>
      <c r="F44" s="229"/>
      <c r="G44" s="229"/>
      <c r="H44" s="229"/>
      <c r="I44" s="229"/>
      <c r="J44" s="266"/>
      <c r="K44" s="275" t="e">
        <f>#REF!</f>
        <v>#REF!</v>
      </c>
      <c r="L44" s="275" t="e">
        <f>#REF!</f>
        <v>#REF!</v>
      </c>
      <c r="M44" s="327" t="e">
        <f>#REF!</f>
        <v>#REF!</v>
      </c>
      <c r="N44" s="186" t="e">
        <f>#REF!</f>
        <v>#REF!</v>
      </c>
    </row>
    <row r="45" spans="1:234">
      <c r="A45" s="265" t="s">
        <v>87</v>
      </c>
      <c r="B45" s="229"/>
      <c r="C45" s="229"/>
      <c r="D45" s="229"/>
      <c r="E45" s="229"/>
      <c r="F45" s="229"/>
      <c r="G45" s="229"/>
      <c r="H45" s="229"/>
      <c r="I45" s="229"/>
      <c r="J45" s="266"/>
      <c r="K45" s="275" t="e">
        <f>#REF!</f>
        <v>#REF!</v>
      </c>
      <c r="L45" s="275" t="e">
        <f>#REF!</f>
        <v>#REF!</v>
      </c>
      <c r="M45" s="327" t="e">
        <f>#REF!</f>
        <v>#REF!</v>
      </c>
      <c r="N45" s="186" t="e">
        <f>#REF!</f>
        <v>#REF!</v>
      </c>
    </row>
    <row r="46" spans="1:234">
      <c r="A46" s="265" t="s">
        <v>88</v>
      </c>
      <c r="B46" s="229"/>
      <c r="C46" s="229"/>
      <c r="D46" s="229"/>
      <c r="E46" s="229"/>
      <c r="F46" s="229"/>
      <c r="G46" s="229"/>
      <c r="H46" s="229"/>
      <c r="I46" s="229"/>
      <c r="J46" s="266"/>
      <c r="K46" s="275" t="e">
        <f>#REF!</f>
        <v>#REF!</v>
      </c>
      <c r="L46" s="275" t="e">
        <f>#REF!</f>
        <v>#REF!</v>
      </c>
      <c r="M46" s="327" t="e">
        <f>#REF!</f>
        <v>#REF!</v>
      </c>
      <c r="N46" s="186" t="e">
        <f>#REF!</f>
        <v>#REF!</v>
      </c>
    </row>
    <row r="47" spans="1:234">
      <c r="A47" s="265" t="s">
        <v>89</v>
      </c>
      <c r="B47" s="229"/>
      <c r="C47" s="229"/>
      <c r="D47" s="229"/>
      <c r="E47" s="229"/>
      <c r="F47" s="229"/>
      <c r="G47" s="229"/>
      <c r="H47" s="229"/>
      <c r="I47" s="229"/>
      <c r="J47" s="266"/>
      <c r="K47" s="292" t="e">
        <f>#REF!</f>
        <v>#REF!</v>
      </c>
      <c r="L47" s="292" t="e">
        <f>#REF!</f>
        <v>#REF!</v>
      </c>
      <c r="M47" s="328" t="e">
        <f>#REF!</f>
        <v>#REF!</v>
      </c>
      <c r="N47" s="186" t="e">
        <f>#REF!</f>
        <v>#REF!</v>
      </c>
    </row>
    <row r="48" spans="1:234" ht="15" customHeight="1">
      <c r="A48" s="211" t="s">
        <v>24</v>
      </c>
      <c r="B48" s="254"/>
      <c r="C48" s="254"/>
      <c r="D48" s="179"/>
      <c r="E48" s="179"/>
      <c r="F48" s="179"/>
      <c r="G48" s="179"/>
      <c r="H48" s="179"/>
      <c r="I48" s="197"/>
      <c r="J48" s="210"/>
      <c r="K48" s="259" t="e">
        <f>SUM(K41:K47)</f>
        <v>#REF!</v>
      </c>
      <c r="L48" s="181" t="e">
        <f>SUM(L41:L47)</f>
        <v>#REF!</v>
      </c>
      <c r="M48" s="271" t="e">
        <f>SUM(M41:M47)</f>
        <v>#REF!</v>
      </c>
      <c r="N48" s="185" t="e">
        <f>SUM(N41:N47)</f>
        <v>#REF!</v>
      </c>
      <c r="O48" s="151"/>
      <c r="P48" s="151"/>
      <c r="Q48" s="151"/>
      <c r="R48" s="151"/>
      <c r="S48" s="151"/>
      <c r="T48" s="151"/>
      <c r="U48" s="151"/>
      <c r="V48" s="151"/>
      <c r="W48" s="151"/>
      <c r="X48" s="151"/>
      <c r="Y48" s="151"/>
      <c r="Z48" s="151"/>
      <c r="AA48" s="151"/>
      <c r="AB48" s="151"/>
      <c r="AC48" s="151"/>
      <c r="AD48" s="151"/>
      <c r="AE48" s="151"/>
      <c r="AF48" s="151"/>
      <c r="AG48" s="151"/>
      <c r="AH48" s="151"/>
      <c r="AI48" s="151"/>
      <c r="AJ48" s="151"/>
      <c r="AK48" s="151"/>
      <c r="AL48" s="151"/>
      <c r="AM48" s="151"/>
      <c r="AN48" s="151"/>
      <c r="AO48" s="151"/>
      <c r="AP48" s="151"/>
      <c r="AQ48" s="151"/>
      <c r="AR48" s="151"/>
      <c r="AS48" s="151"/>
      <c r="AT48" s="151"/>
      <c r="AU48" s="151"/>
      <c r="AV48" s="151"/>
      <c r="AW48" s="151"/>
      <c r="AX48" s="151"/>
      <c r="AY48" s="151"/>
      <c r="AZ48" s="151"/>
      <c r="BA48" s="151"/>
      <c r="BB48" s="151"/>
      <c r="BC48" s="151"/>
      <c r="BD48" s="151"/>
      <c r="BE48" s="151"/>
      <c r="BF48" s="151"/>
      <c r="BG48" s="151"/>
      <c r="BH48" s="151"/>
      <c r="BI48" s="151"/>
      <c r="BJ48" s="151"/>
      <c r="BK48" s="151"/>
      <c r="BL48" s="151"/>
      <c r="BM48" s="151"/>
      <c r="BN48" s="151"/>
      <c r="BO48" s="151"/>
      <c r="BP48" s="151"/>
      <c r="BQ48" s="151"/>
      <c r="BR48" s="151"/>
      <c r="BS48" s="151"/>
      <c r="BT48" s="151"/>
      <c r="BU48" s="151"/>
      <c r="BV48" s="151"/>
      <c r="BW48" s="151"/>
      <c r="BX48" s="151"/>
      <c r="BY48" s="151"/>
      <c r="BZ48" s="151"/>
      <c r="CA48" s="151"/>
      <c r="CB48" s="151"/>
      <c r="CC48" s="151"/>
      <c r="CD48" s="151"/>
      <c r="CE48" s="151"/>
      <c r="CF48" s="151"/>
      <c r="CG48" s="152"/>
      <c r="CH48" s="152"/>
      <c r="CI48" s="152"/>
      <c r="CJ48" s="152"/>
      <c r="CK48" s="152"/>
      <c r="CL48" s="152"/>
      <c r="CM48" s="152"/>
      <c r="CN48" s="152"/>
      <c r="CO48" s="152"/>
      <c r="CP48" s="152"/>
      <c r="CQ48" s="152"/>
      <c r="CR48" s="152"/>
      <c r="CS48" s="152"/>
      <c r="CT48" s="152"/>
      <c r="CU48" s="152"/>
      <c r="CV48" s="152"/>
      <c r="CW48" s="152"/>
      <c r="CX48" s="152"/>
      <c r="CY48" s="152"/>
      <c r="CZ48" s="152"/>
      <c r="DA48" s="152"/>
      <c r="DB48" s="152"/>
      <c r="DC48" s="152"/>
      <c r="DD48" s="152"/>
      <c r="DE48" s="152"/>
      <c r="DF48" s="152"/>
      <c r="DG48" s="152"/>
      <c r="DH48" s="152"/>
      <c r="DI48" s="152"/>
      <c r="DJ48" s="152"/>
      <c r="DK48" s="152"/>
      <c r="DL48" s="152"/>
      <c r="DM48" s="152"/>
      <c r="DN48" s="152"/>
      <c r="DO48" s="152"/>
      <c r="DP48" s="152"/>
      <c r="DQ48" s="152"/>
      <c r="DR48" s="152"/>
      <c r="DS48" s="152"/>
      <c r="DT48" s="152"/>
      <c r="DU48" s="152"/>
      <c r="DV48" s="152"/>
      <c r="DW48" s="152"/>
      <c r="DX48" s="152"/>
      <c r="DY48" s="152"/>
      <c r="DZ48" s="152"/>
      <c r="EA48" s="152"/>
      <c r="EB48" s="152"/>
      <c r="EC48" s="152"/>
      <c r="ED48" s="152"/>
      <c r="EE48" s="152"/>
      <c r="EF48" s="152"/>
      <c r="EG48" s="152"/>
      <c r="EH48" s="152"/>
      <c r="EI48" s="152"/>
      <c r="EJ48" s="152"/>
      <c r="EK48" s="152"/>
      <c r="EL48" s="152"/>
      <c r="EM48" s="152"/>
      <c r="EN48" s="152"/>
      <c r="EO48" s="152"/>
      <c r="EP48" s="152"/>
      <c r="EQ48" s="152"/>
      <c r="ER48" s="152"/>
      <c r="ES48" s="152"/>
      <c r="ET48" s="152"/>
      <c r="EU48" s="152"/>
      <c r="EV48" s="152"/>
      <c r="EW48" s="152"/>
      <c r="EX48" s="152"/>
      <c r="EY48" s="152"/>
      <c r="EZ48" s="152"/>
      <c r="FA48" s="152"/>
      <c r="FB48" s="152"/>
      <c r="FC48" s="152"/>
      <c r="FD48" s="152"/>
      <c r="FE48" s="152"/>
      <c r="FF48" s="152"/>
      <c r="FG48" s="152"/>
      <c r="FH48" s="152"/>
      <c r="FI48" s="152"/>
      <c r="FJ48" s="152"/>
      <c r="FK48" s="152"/>
      <c r="FL48" s="152"/>
      <c r="FM48" s="152"/>
      <c r="FN48" s="152"/>
      <c r="FO48" s="152"/>
      <c r="FP48" s="152"/>
      <c r="FQ48" s="152"/>
      <c r="FR48" s="152"/>
      <c r="FS48" s="152"/>
      <c r="FT48" s="152"/>
      <c r="FU48" s="152"/>
      <c r="FV48" s="152"/>
      <c r="FW48" s="152"/>
      <c r="FX48" s="152"/>
      <c r="FY48" s="152"/>
      <c r="FZ48" s="152"/>
      <c r="GA48" s="152"/>
      <c r="GB48" s="152"/>
      <c r="GC48" s="152"/>
      <c r="GD48" s="152"/>
      <c r="GE48" s="152"/>
      <c r="GF48" s="152"/>
      <c r="GG48" s="152"/>
      <c r="GH48" s="152"/>
      <c r="GI48" s="152"/>
      <c r="GJ48" s="152"/>
      <c r="GK48" s="152"/>
      <c r="GL48" s="152"/>
      <c r="GM48" s="152"/>
      <c r="GN48" s="152"/>
      <c r="GO48" s="152"/>
      <c r="GP48" s="152"/>
      <c r="GQ48" s="152"/>
      <c r="GR48" s="152"/>
      <c r="GS48" s="152"/>
      <c r="GT48" s="152"/>
      <c r="GU48" s="152"/>
      <c r="GV48" s="152"/>
      <c r="GW48" s="152"/>
      <c r="GX48" s="152"/>
      <c r="GY48" s="152"/>
      <c r="GZ48" s="152"/>
      <c r="HA48" s="152"/>
      <c r="HB48" s="152"/>
      <c r="HC48" s="152"/>
      <c r="HD48" s="152"/>
      <c r="HE48" s="152"/>
      <c r="HF48" s="152"/>
      <c r="HG48" s="152"/>
      <c r="HH48" s="152"/>
      <c r="HI48" s="152"/>
      <c r="HJ48" s="152"/>
      <c r="HK48" s="152"/>
      <c r="HL48" s="152"/>
      <c r="HM48" s="152"/>
      <c r="HN48" s="152"/>
      <c r="HO48" s="152"/>
      <c r="HP48" s="152"/>
      <c r="HQ48" s="152"/>
      <c r="HR48" s="152"/>
      <c r="HS48" s="152"/>
      <c r="HT48" s="152"/>
      <c r="HU48" s="152"/>
      <c r="HV48" s="152"/>
      <c r="HW48" s="152"/>
      <c r="HX48" s="152"/>
      <c r="HY48" s="152"/>
      <c r="HZ48" s="152"/>
    </row>
    <row r="49" spans="1:234">
      <c r="A49" s="247" t="s">
        <v>91</v>
      </c>
      <c r="B49" s="145"/>
      <c r="C49" s="145"/>
      <c r="D49" s="145"/>
      <c r="E49" s="145"/>
      <c r="F49" s="145"/>
      <c r="G49" s="146"/>
      <c r="H49" s="146"/>
      <c r="I49" s="146"/>
      <c r="J49" s="147"/>
      <c r="K49" s="141" t="s">
        <v>70</v>
      </c>
      <c r="L49" s="141" t="s">
        <v>70</v>
      </c>
      <c r="M49" s="141" t="s">
        <v>70</v>
      </c>
      <c r="N49" s="273" t="s">
        <v>70</v>
      </c>
    </row>
    <row r="50" spans="1:234">
      <c r="A50" s="216" t="s">
        <v>92</v>
      </c>
      <c r="B50" s="154"/>
      <c r="C50" s="154"/>
      <c r="D50" s="129"/>
      <c r="E50" s="129"/>
      <c r="G50" s="136"/>
      <c r="H50" s="136"/>
      <c r="I50" s="144"/>
      <c r="J50" s="136"/>
      <c r="K50" s="144"/>
      <c r="L50" s="144"/>
      <c r="M50" s="144"/>
      <c r="N50" s="144"/>
    </row>
    <row r="51" spans="1:234" ht="15" customHeight="1">
      <c r="A51" s="217" t="s">
        <v>76</v>
      </c>
      <c r="B51" s="129"/>
      <c r="C51" s="129"/>
      <c r="D51" s="129"/>
      <c r="E51" s="129"/>
      <c r="F51" s="129"/>
      <c r="G51" s="129"/>
      <c r="H51" s="129"/>
      <c r="I51" s="129"/>
      <c r="J51" s="129"/>
      <c r="K51" s="184" t="e">
        <f>K23</f>
        <v>#REF!</v>
      </c>
      <c r="L51" s="184" t="e">
        <f>L23</f>
        <v>#REF!</v>
      </c>
      <c r="M51" s="184" t="e">
        <f>M23</f>
        <v>#REF!</v>
      </c>
      <c r="N51" s="184" t="e">
        <f>N23</f>
        <v>#REF!</v>
      </c>
      <c r="O51" s="151"/>
      <c r="P51" s="151"/>
      <c r="Q51" s="151"/>
      <c r="R51" s="151"/>
      <c r="S51" s="151"/>
      <c r="T51" s="151"/>
      <c r="U51" s="151"/>
      <c r="V51" s="151"/>
      <c r="W51" s="151"/>
      <c r="X51" s="151"/>
      <c r="Y51" s="151"/>
      <c r="Z51" s="151"/>
      <c r="AA51" s="151"/>
      <c r="AB51" s="151"/>
      <c r="AC51" s="151"/>
      <c r="AD51" s="151"/>
      <c r="AE51" s="151"/>
      <c r="AF51" s="151"/>
      <c r="AG51" s="151"/>
      <c r="AH51" s="151"/>
      <c r="AI51" s="151"/>
      <c r="AJ51" s="151"/>
      <c r="AK51" s="151"/>
      <c r="AL51" s="151"/>
      <c r="AM51" s="151"/>
      <c r="AN51" s="151"/>
      <c r="AO51" s="151"/>
      <c r="AP51" s="151"/>
      <c r="AQ51" s="151"/>
      <c r="AR51" s="151"/>
      <c r="AS51" s="151"/>
      <c r="AT51" s="151"/>
      <c r="AU51" s="151"/>
      <c r="AV51" s="151"/>
      <c r="AW51" s="151"/>
      <c r="AX51" s="151"/>
      <c r="AY51" s="151"/>
      <c r="AZ51" s="151"/>
      <c r="BA51" s="151"/>
      <c r="BB51" s="151"/>
      <c r="BC51" s="151"/>
      <c r="BD51" s="151"/>
      <c r="BE51" s="151"/>
      <c r="BF51" s="151"/>
      <c r="BG51" s="151"/>
      <c r="BH51" s="151"/>
      <c r="BI51" s="151"/>
      <c r="BJ51" s="151"/>
      <c r="BK51" s="151"/>
      <c r="BL51" s="151"/>
      <c r="BM51" s="151"/>
      <c r="BN51" s="151"/>
      <c r="BO51" s="151"/>
      <c r="BP51" s="151"/>
      <c r="BQ51" s="151"/>
      <c r="BR51" s="151"/>
      <c r="BS51" s="151"/>
      <c r="BT51" s="151"/>
      <c r="BU51" s="151"/>
      <c r="BV51" s="151"/>
      <c r="BW51" s="151"/>
      <c r="BX51" s="151"/>
      <c r="BY51" s="151"/>
      <c r="BZ51" s="151"/>
      <c r="CA51" s="151"/>
      <c r="CB51" s="151"/>
      <c r="CC51" s="151"/>
      <c r="CD51" s="151"/>
      <c r="CE51" s="151"/>
      <c r="CF51" s="151"/>
      <c r="CG51" s="152"/>
      <c r="CH51" s="152"/>
      <c r="CI51" s="152"/>
      <c r="CJ51" s="152"/>
      <c r="CK51" s="152"/>
      <c r="CL51" s="152"/>
      <c r="CM51" s="152"/>
      <c r="CN51" s="152"/>
      <c r="CO51" s="152"/>
      <c r="CP51" s="152"/>
      <c r="CQ51" s="152"/>
      <c r="CR51" s="152"/>
      <c r="CS51" s="152"/>
      <c r="CT51" s="152"/>
      <c r="CU51" s="152"/>
      <c r="CV51" s="152"/>
      <c r="CW51" s="152"/>
      <c r="CX51" s="152"/>
      <c r="CY51" s="152"/>
      <c r="CZ51" s="152"/>
      <c r="DA51" s="152"/>
      <c r="DB51" s="152"/>
      <c r="DC51" s="152"/>
      <c r="DD51" s="152"/>
      <c r="DE51" s="152"/>
      <c r="DF51" s="152"/>
      <c r="DG51" s="152"/>
      <c r="DH51" s="152"/>
      <c r="DI51" s="152"/>
      <c r="DJ51" s="152"/>
      <c r="DK51" s="152"/>
      <c r="DL51" s="152"/>
      <c r="DM51" s="152"/>
      <c r="DN51" s="152"/>
      <c r="DO51" s="152"/>
      <c r="DP51" s="152"/>
      <c r="DQ51" s="152"/>
      <c r="DR51" s="152"/>
      <c r="DS51" s="152"/>
      <c r="DT51" s="152"/>
      <c r="DU51" s="152"/>
      <c r="DV51" s="152"/>
      <c r="DW51" s="152"/>
      <c r="DX51" s="152"/>
      <c r="DY51" s="152"/>
      <c r="DZ51" s="152"/>
      <c r="EA51" s="152"/>
      <c r="EB51" s="152"/>
      <c r="EC51" s="152"/>
      <c r="ED51" s="152"/>
      <c r="EE51" s="152"/>
      <c r="EF51" s="152"/>
      <c r="EG51" s="152"/>
      <c r="EH51" s="152"/>
      <c r="EI51" s="152"/>
      <c r="EJ51" s="152"/>
      <c r="EK51" s="152"/>
      <c r="EL51" s="152"/>
      <c r="EM51" s="152"/>
      <c r="EN51" s="152"/>
      <c r="EO51" s="152"/>
      <c r="EP51" s="152"/>
      <c r="EQ51" s="152"/>
      <c r="ER51" s="152"/>
      <c r="ES51" s="152"/>
      <c r="ET51" s="152"/>
      <c r="EU51" s="152"/>
      <c r="EV51" s="152"/>
      <c r="EW51" s="152"/>
      <c r="EX51" s="152"/>
      <c r="EY51" s="152"/>
      <c r="EZ51" s="152"/>
      <c r="FA51" s="152"/>
      <c r="FB51" s="152"/>
      <c r="FC51" s="152"/>
      <c r="FD51" s="152"/>
      <c r="FE51" s="152"/>
      <c r="FF51" s="152"/>
      <c r="FG51" s="152"/>
      <c r="FH51" s="152"/>
      <c r="FI51" s="152"/>
      <c r="FJ51" s="152"/>
      <c r="FK51" s="152"/>
      <c r="FL51" s="152"/>
      <c r="FM51" s="152"/>
      <c r="FN51" s="152"/>
      <c r="FO51" s="152"/>
      <c r="FP51" s="152"/>
      <c r="FQ51" s="152"/>
      <c r="FR51" s="152"/>
      <c r="FS51" s="152"/>
      <c r="FT51" s="152"/>
      <c r="FU51" s="152"/>
      <c r="FV51" s="152"/>
      <c r="FW51" s="152"/>
      <c r="FX51" s="152"/>
      <c r="FY51" s="152"/>
      <c r="FZ51" s="152"/>
      <c r="GA51" s="152"/>
      <c r="GB51" s="152"/>
      <c r="GC51" s="152"/>
      <c r="GD51" s="152"/>
      <c r="GE51" s="152"/>
      <c r="GF51" s="152"/>
      <c r="GG51" s="152"/>
      <c r="GH51" s="152"/>
      <c r="GI51" s="152"/>
      <c r="GJ51" s="152"/>
      <c r="GK51" s="152"/>
      <c r="GL51" s="152"/>
      <c r="GM51" s="152"/>
      <c r="GN51" s="152"/>
      <c r="GO51" s="152"/>
      <c r="GP51" s="152"/>
      <c r="GQ51" s="152"/>
      <c r="GR51" s="152"/>
      <c r="GS51" s="152"/>
      <c r="GT51" s="152"/>
      <c r="GU51" s="152"/>
      <c r="GV51" s="152"/>
      <c r="GW51" s="152"/>
      <c r="GX51" s="152"/>
      <c r="GY51" s="152"/>
      <c r="GZ51" s="152"/>
      <c r="HA51" s="152"/>
      <c r="HB51" s="152"/>
      <c r="HC51" s="152"/>
      <c r="HD51" s="152"/>
      <c r="HE51" s="152"/>
      <c r="HF51" s="152"/>
      <c r="HG51" s="152"/>
      <c r="HH51" s="152"/>
      <c r="HI51" s="152"/>
      <c r="HJ51" s="152"/>
      <c r="HK51" s="152"/>
      <c r="HL51" s="152"/>
      <c r="HM51" s="152"/>
      <c r="HN51" s="152"/>
      <c r="HO51" s="152"/>
      <c r="HP51" s="152"/>
      <c r="HQ51" s="152"/>
      <c r="HR51" s="152"/>
      <c r="HS51" s="152"/>
      <c r="HT51" s="152"/>
      <c r="HU51" s="152"/>
      <c r="HV51" s="152"/>
      <c r="HW51" s="152"/>
      <c r="HX51" s="152"/>
      <c r="HY51" s="152"/>
      <c r="HZ51" s="152"/>
    </row>
    <row r="52" spans="1:234" ht="15" customHeight="1">
      <c r="A52" s="236" t="s">
        <v>50</v>
      </c>
      <c r="B52" s="130"/>
      <c r="C52" s="130"/>
      <c r="D52" s="130"/>
      <c r="E52" s="130"/>
      <c r="F52" s="130"/>
      <c r="G52" s="130"/>
      <c r="H52" s="130"/>
      <c r="I52" s="143"/>
      <c r="J52" s="156"/>
      <c r="K52" s="184" t="e">
        <f>K38</f>
        <v>#REF!</v>
      </c>
      <c r="L52" s="184" t="e">
        <f>L38</f>
        <v>#REF!</v>
      </c>
      <c r="M52" s="184" t="e">
        <f>M38</f>
        <v>#REF!</v>
      </c>
      <c r="N52" s="184" t="e">
        <f>N38</f>
        <v>#REF!</v>
      </c>
      <c r="O52" s="151"/>
      <c r="P52" s="151"/>
      <c r="Q52" s="151"/>
      <c r="R52" s="151"/>
      <c r="S52" s="151"/>
      <c r="T52" s="151"/>
      <c r="U52" s="151"/>
      <c r="V52" s="151"/>
      <c r="W52" s="151"/>
      <c r="X52" s="151"/>
      <c r="Y52" s="151"/>
      <c r="Z52" s="151"/>
      <c r="AA52" s="151"/>
      <c r="AB52" s="151"/>
      <c r="AC52" s="151"/>
      <c r="AD52" s="151"/>
      <c r="AE52" s="151"/>
      <c r="AF52" s="151"/>
      <c r="AG52" s="151"/>
      <c r="AH52" s="151"/>
      <c r="AI52" s="151"/>
      <c r="AJ52" s="151"/>
      <c r="AK52" s="151"/>
      <c r="AL52" s="151"/>
      <c r="AM52" s="151"/>
      <c r="AN52" s="151"/>
      <c r="AO52" s="151"/>
      <c r="AP52" s="151"/>
      <c r="AQ52" s="151"/>
      <c r="AR52" s="151"/>
      <c r="AS52" s="151"/>
      <c r="AT52" s="151"/>
      <c r="AU52" s="151"/>
      <c r="AV52" s="151"/>
      <c r="AW52" s="151"/>
      <c r="AX52" s="151"/>
      <c r="AY52" s="151"/>
      <c r="AZ52" s="151"/>
      <c r="BA52" s="151"/>
      <c r="BB52" s="151"/>
      <c r="BC52" s="151"/>
      <c r="BD52" s="151"/>
      <c r="BE52" s="151"/>
      <c r="BF52" s="151"/>
      <c r="BG52" s="151"/>
      <c r="BH52" s="151"/>
      <c r="BI52" s="151"/>
      <c r="BJ52" s="151"/>
      <c r="BK52" s="151"/>
      <c r="BL52" s="151"/>
      <c r="BM52" s="151"/>
      <c r="BN52" s="151"/>
      <c r="BO52" s="151"/>
      <c r="BP52" s="151"/>
      <c r="BQ52" s="151"/>
      <c r="BR52" s="151"/>
      <c r="BS52" s="151"/>
      <c r="BT52" s="151"/>
      <c r="BU52" s="151"/>
      <c r="BV52" s="151"/>
      <c r="BW52" s="151"/>
      <c r="BX52" s="151"/>
      <c r="BY52" s="151"/>
      <c r="BZ52" s="151"/>
      <c r="CA52" s="151"/>
      <c r="CB52" s="151"/>
      <c r="CC52" s="151"/>
      <c r="CD52" s="151"/>
      <c r="CE52" s="151"/>
      <c r="CF52" s="151"/>
      <c r="CG52" s="152"/>
      <c r="CH52" s="152"/>
      <c r="CI52" s="152"/>
      <c r="CJ52" s="152"/>
      <c r="CK52" s="152"/>
      <c r="CL52" s="152"/>
      <c r="CM52" s="152"/>
      <c r="CN52" s="152"/>
      <c r="CO52" s="152"/>
      <c r="CP52" s="152"/>
      <c r="CQ52" s="152"/>
      <c r="CR52" s="152"/>
      <c r="CS52" s="152"/>
      <c r="CT52" s="152"/>
      <c r="CU52" s="152"/>
      <c r="CV52" s="152"/>
      <c r="CW52" s="152"/>
      <c r="CX52" s="152"/>
      <c r="CY52" s="152"/>
      <c r="CZ52" s="152"/>
      <c r="DA52" s="152"/>
      <c r="DB52" s="152"/>
      <c r="DC52" s="152"/>
      <c r="DD52" s="152"/>
      <c r="DE52" s="152"/>
      <c r="DF52" s="152"/>
      <c r="DG52" s="152"/>
      <c r="DH52" s="152"/>
      <c r="DI52" s="152"/>
      <c r="DJ52" s="152"/>
      <c r="DK52" s="152"/>
      <c r="DL52" s="152"/>
      <c r="DM52" s="152"/>
      <c r="DN52" s="152"/>
      <c r="DO52" s="152"/>
      <c r="DP52" s="152"/>
      <c r="DQ52" s="152"/>
      <c r="DR52" s="152"/>
      <c r="DS52" s="152"/>
      <c r="DT52" s="152"/>
      <c r="DU52" s="152"/>
      <c r="DV52" s="152"/>
      <c r="DW52" s="152"/>
      <c r="DX52" s="152"/>
      <c r="DY52" s="152"/>
      <c r="DZ52" s="152"/>
      <c r="EA52" s="152"/>
      <c r="EB52" s="152"/>
      <c r="EC52" s="152"/>
      <c r="ED52" s="152"/>
      <c r="EE52" s="152"/>
      <c r="EF52" s="152"/>
      <c r="EG52" s="152"/>
      <c r="EH52" s="152"/>
      <c r="EI52" s="152"/>
      <c r="EJ52" s="152"/>
      <c r="EK52" s="152"/>
      <c r="EL52" s="152"/>
      <c r="EM52" s="152"/>
      <c r="EN52" s="152"/>
      <c r="EO52" s="152"/>
      <c r="EP52" s="152"/>
      <c r="EQ52" s="152"/>
      <c r="ER52" s="152"/>
      <c r="ES52" s="152"/>
      <c r="ET52" s="152"/>
      <c r="EU52" s="152"/>
      <c r="EV52" s="152"/>
      <c r="EW52" s="152"/>
      <c r="EX52" s="152"/>
      <c r="EY52" s="152"/>
      <c r="EZ52" s="152"/>
      <c r="FA52" s="152"/>
      <c r="FB52" s="152"/>
      <c r="FC52" s="152"/>
      <c r="FD52" s="152"/>
      <c r="FE52" s="152"/>
      <c r="FF52" s="152"/>
      <c r="FG52" s="152"/>
      <c r="FH52" s="152"/>
      <c r="FI52" s="152"/>
      <c r="FJ52" s="152"/>
      <c r="FK52" s="152"/>
      <c r="FL52" s="152"/>
      <c r="FM52" s="152"/>
      <c r="FN52" s="152"/>
      <c r="FO52" s="152"/>
      <c r="FP52" s="152"/>
      <c r="FQ52" s="152"/>
      <c r="FR52" s="152"/>
      <c r="FS52" s="152"/>
      <c r="FT52" s="152"/>
      <c r="FU52" s="152"/>
      <c r="FV52" s="152"/>
      <c r="FW52" s="152"/>
      <c r="FX52" s="152"/>
      <c r="FY52" s="152"/>
      <c r="FZ52" s="152"/>
      <c r="GA52" s="152"/>
      <c r="GB52" s="152"/>
      <c r="GC52" s="152"/>
      <c r="GD52" s="152"/>
      <c r="GE52" s="152"/>
      <c r="GF52" s="152"/>
      <c r="GG52" s="152"/>
      <c r="GH52" s="152"/>
      <c r="GI52" s="152"/>
      <c r="GJ52" s="152"/>
      <c r="GK52" s="152"/>
      <c r="GL52" s="152"/>
      <c r="GM52" s="152"/>
      <c r="GN52" s="152"/>
      <c r="GO52" s="152"/>
      <c r="GP52" s="152"/>
      <c r="GQ52" s="152"/>
      <c r="GR52" s="152"/>
      <c r="GS52" s="152"/>
      <c r="GT52" s="152"/>
      <c r="GU52" s="152"/>
      <c r="GV52" s="152"/>
      <c r="GW52" s="152"/>
      <c r="GX52" s="152"/>
      <c r="GY52" s="152"/>
      <c r="GZ52" s="152"/>
      <c r="HA52" s="152"/>
      <c r="HB52" s="152"/>
      <c r="HC52" s="152"/>
      <c r="HD52" s="152"/>
      <c r="HE52" s="152"/>
      <c r="HF52" s="152"/>
      <c r="HG52" s="152"/>
      <c r="HH52" s="152"/>
      <c r="HI52" s="152"/>
      <c r="HJ52" s="152"/>
      <c r="HK52" s="152"/>
      <c r="HL52" s="152"/>
      <c r="HM52" s="152"/>
      <c r="HN52" s="152"/>
      <c r="HO52" s="152"/>
      <c r="HP52" s="152"/>
      <c r="HQ52" s="152"/>
      <c r="HR52" s="152"/>
      <c r="HS52" s="152"/>
      <c r="HT52" s="152"/>
      <c r="HU52" s="152"/>
      <c r="HV52" s="152"/>
      <c r="HW52" s="152"/>
      <c r="HX52" s="152"/>
      <c r="HY52" s="152"/>
      <c r="HZ52" s="152"/>
    </row>
    <row r="53" spans="1:234" ht="15" customHeight="1">
      <c r="A53" s="217" t="s">
        <v>83</v>
      </c>
      <c r="B53" s="154"/>
      <c r="C53" s="154"/>
      <c r="D53" s="129"/>
      <c r="E53" s="129"/>
      <c r="F53" s="129"/>
      <c r="G53" s="129"/>
      <c r="H53" s="129"/>
      <c r="I53" s="129"/>
      <c r="J53" s="156"/>
      <c r="K53" s="184" t="e">
        <f>K48</f>
        <v>#REF!</v>
      </c>
      <c r="L53" s="184" t="e">
        <f>L48</f>
        <v>#REF!</v>
      </c>
      <c r="M53" s="184" t="e">
        <f>M48</f>
        <v>#REF!</v>
      </c>
      <c r="N53" s="184" t="e">
        <f>N48</f>
        <v>#REF!</v>
      </c>
      <c r="O53" s="151"/>
      <c r="P53" s="151"/>
      <c r="Q53" s="151"/>
      <c r="R53" s="151"/>
      <c r="S53" s="151"/>
      <c r="T53" s="151"/>
      <c r="U53" s="151"/>
      <c r="V53" s="151"/>
      <c r="W53" s="151"/>
      <c r="X53" s="151"/>
      <c r="Y53" s="151"/>
      <c r="Z53" s="151"/>
      <c r="AA53" s="151"/>
      <c r="AB53" s="151"/>
      <c r="AC53" s="151"/>
      <c r="AD53" s="151"/>
      <c r="AE53" s="151"/>
      <c r="AF53" s="151"/>
      <c r="AG53" s="151"/>
      <c r="AH53" s="151"/>
      <c r="AI53" s="151"/>
      <c r="AJ53" s="151"/>
      <c r="AK53" s="151"/>
      <c r="AL53" s="151"/>
      <c r="AM53" s="151"/>
      <c r="AN53" s="151"/>
      <c r="AO53" s="151"/>
      <c r="AP53" s="151"/>
      <c r="AQ53" s="151"/>
      <c r="AR53" s="151"/>
      <c r="AS53" s="151"/>
      <c r="AT53" s="151"/>
      <c r="AU53" s="151"/>
      <c r="AV53" s="151"/>
      <c r="AW53" s="151"/>
      <c r="AX53" s="151"/>
      <c r="AY53" s="151"/>
      <c r="AZ53" s="151"/>
      <c r="BA53" s="151"/>
      <c r="BB53" s="151"/>
      <c r="BC53" s="151"/>
      <c r="BD53" s="151"/>
      <c r="BE53" s="151"/>
      <c r="BF53" s="151"/>
      <c r="BG53" s="151"/>
      <c r="BH53" s="151"/>
      <c r="BI53" s="151"/>
      <c r="BJ53" s="151"/>
      <c r="BK53" s="151"/>
      <c r="BL53" s="151"/>
      <c r="BM53" s="151"/>
      <c r="BN53" s="151"/>
      <c r="BO53" s="151"/>
      <c r="BP53" s="151"/>
      <c r="BQ53" s="151"/>
      <c r="BR53" s="151"/>
      <c r="BS53" s="151"/>
      <c r="BT53" s="151"/>
      <c r="BU53" s="151"/>
      <c r="BV53" s="151"/>
      <c r="BW53" s="151"/>
      <c r="BX53" s="151"/>
      <c r="BY53" s="151"/>
      <c r="BZ53" s="151"/>
      <c r="CA53" s="151"/>
      <c r="CB53" s="151"/>
      <c r="CC53" s="151"/>
      <c r="CD53" s="151"/>
      <c r="CE53" s="151"/>
      <c r="CF53" s="151"/>
      <c r="CG53" s="152"/>
      <c r="CH53" s="152"/>
      <c r="CI53" s="152"/>
      <c r="CJ53" s="152"/>
      <c r="CK53" s="152"/>
      <c r="CL53" s="152"/>
      <c r="CM53" s="152"/>
      <c r="CN53" s="152"/>
      <c r="CO53" s="152"/>
      <c r="CP53" s="152"/>
      <c r="CQ53" s="152"/>
      <c r="CR53" s="152"/>
      <c r="CS53" s="152"/>
      <c r="CT53" s="152"/>
      <c r="CU53" s="152"/>
      <c r="CV53" s="152"/>
      <c r="CW53" s="152"/>
      <c r="CX53" s="152"/>
      <c r="CY53" s="152"/>
      <c r="CZ53" s="152"/>
      <c r="DA53" s="152"/>
      <c r="DB53" s="152"/>
      <c r="DC53" s="152"/>
      <c r="DD53" s="152"/>
      <c r="DE53" s="152"/>
      <c r="DF53" s="152"/>
      <c r="DG53" s="152"/>
      <c r="DH53" s="152"/>
      <c r="DI53" s="152"/>
      <c r="DJ53" s="152"/>
      <c r="DK53" s="152"/>
      <c r="DL53" s="152"/>
      <c r="DM53" s="152"/>
      <c r="DN53" s="152"/>
      <c r="DO53" s="152"/>
      <c r="DP53" s="152"/>
      <c r="DQ53" s="152"/>
      <c r="DR53" s="152"/>
      <c r="DS53" s="152"/>
      <c r="DT53" s="152"/>
      <c r="DU53" s="152"/>
      <c r="DV53" s="152"/>
      <c r="DW53" s="152"/>
      <c r="DX53" s="152"/>
      <c r="DY53" s="152"/>
      <c r="DZ53" s="152"/>
      <c r="EA53" s="152"/>
      <c r="EB53" s="152"/>
      <c r="EC53" s="152"/>
      <c r="ED53" s="152"/>
      <c r="EE53" s="152"/>
      <c r="EF53" s="152"/>
      <c r="EG53" s="152"/>
      <c r="EH53" s="152"/>
      <c r="EI53" s="152"/>
      <c r="EJ53" s="152"/>
      <c r="EK53" s="152"/>
      <c r="EL53" s="152"/>
      <c r="EM53" s="152"/>
      <c r="EN53" s="152"/>
      <c r="EO53" s="152"/>
      <c r="EP53" s="152"/>
      <c r="EQ53" s="152"/>
      <c r="ER53" s="152"/>
      <c r="ES53" s="152"/>
      <c r="ET53" s="152"/>
      <c r="EU53" s="152"/>
      <c r="EV53" s="152"/>
      <c r="EW53" s="152"/>
      <c r="EX53" s="152"/>
      <c r="EY53" s="152"/>
      <c r="EZ53" s="152"/>
      <c r="FA53" s="152"/>
      <c r="FB53" s="152"/>
      <c r="FC53" s="152"/>
      <c r="FD53" s="152"/>
      <c r="FE53" s="152"/>
      <c r="FF53" s="152"/>
      <c r="FG53" s="152"/>
      <c r="FH53" s="152"/>
      <c r="FI53" s="152"/>
      <c r="FJ53" s="152"/>
      <c r="FK53" s="152"/>
      <c r="FL53" s="152"/>
      <c r="FM53" s="152"/>
      <c r="FN53" s="152"/>
      <c r="FO53" s="152"/>
      <c r="FP53" s="152"/>
      <c r="FQ53" s="152"/>
      <c r="FR53" s="152"/>
      <c r="FS53" s="152"/>
      <c r="FT53" s="152"/>
      <c r="FU53" s="152"/>
      <c r="FV53" s="152"/>
      <c r="FW53" s="152"/>
      <c r="FX53" s="152"/>
      <c r="FY53" s="152"/>
      <c r="FZ53" s="152"/>
      <c r="GA53" s="152"/>
      <c r="GB53" s="152"/>
      <c r="GC53" s="152"/>
      <c r="GD53" s="152"/>
      <c r="GE53" s="152"/>
      <c r="GF53" s="152"/>
      <c r="GG53" s="152"/>
      <c r="GH53" s="152"/>
      <c r="GI53" s="152"/>
      <c r="GJ53" s="152"/>
      <c r="GK53" s="152"/>
      <c r="GL53" s="152"/>
      <c r="GM53" s="152"/>
      <c r="GN53" s="152"/>
      <c r="GO53" s="152"/>
      <c r="GP53" s="152"/>
      <c r="GQ53" s="152"/>
      <c r="GR53" s="152"/>
      <c r="GS53" s="152"/>
      <c r="GT53" s="152"/>
      <c r="GU53" s="152"/>
      <c r="GV53" s="152"/>
      <c r="GW53" s="152"/>
      <c r="GX53" s="152"/>
      <c r="GY53" s="152"/>
      <c r="GZ53" s="152"/>
      <c r="HA53" s="152"/>
      <c r="HB53" s="152"/>
      <c r="HC53" s="152"/>
      <c r="HD53" s="152"/>
      <c r="HE53" s="152"/>
      <c r="HF53" s="152"/>
      <c r="HG53" s="152"/>
      <c r="HH53" s="152"/>
      <c r="HI53" s="152"/>
      <c r="HJ53" s="152"/>
      <c r="HK53" s="152"/>
      <c r="HL53" s="152"/>
      <c r="HM53" s="152"/>
      <c r="HN53" s="152"/>
      <c r="HO53" s="152"/>
      <c r="HP53" s="152"/>
      <c r="HQ53" s="152"/>
      <c r="HR53" s="152"/>
      <c r="HS53" s="152"/>
      <c r="HT53" s="152"/>
      <c r="HU53" s="152"/>
      <c r="HV53" s="152"/>
      <c r="HW53" s="152"/>
      <c r="HX53" s="152"/>
      <c r="HY53" s="152"/>
      <c r="HZ53" s="152"/>
    </row>
    <row r="54" spans="1:234" ht="15" customHeight="1">
      <c r="A54" s="243" t="s">
        <v>24</v>
      </c>
      <c r="B54" s="136"/>
      <c r="C54" s="136"/>
      <c r="D54" s="136"/>
      <c r="E54" s="136"/>
      <c r="F54" s="142"/>
      <c r="G54" s="142"/>
      <c r="H54" s="142"/>
      <c r="I54" s="142"/>
      <c r="J54" s="153"/>
      <c r="K54" s="233" t="e">
        <f>SUM(K51:K53)</f>
        <v>#REF!</v>
      </c>
      <c r="L54" s="233" t="e">
        <f>SUM(L51:L53)</f>
        <v>#REF!</v>
      </c>
      <c r="M54" s="233" t="e">
        <f>SUM(M51:M53)</f>
        <v>#REF!</v>
      </c>
      <c r="N54" s="233" t="e">
        <f>SUM(N51:N53)</f>
        <v>#REF!</v>
      </c>
      <c r="O54" s="151"/>
      <c r="P54" s="151"/>
      <c r="Q54" s="151"/>
      <c r="R54" s="151"/>
      <c r="S54" s="151"/>
      <c r="T54" s="151"/>
      <c r="U54" s="151"/>
      <c r="V54" s="151"/>
      <c r="W54" s="151"/>
      <c r="X54" s="151"/>
      <c r="Y54" s="151"/>
      <c r="Z54" s="151"/>
      <c r="AA54" s="151"/>
      <c r="AB54" s="151"/>
      <c r="AC54" s="151"/>
      <c r="AD54" s="151"/>
      <c r="AE54" s="151"/>
      <c r="AF54" s="151"/>
      <c r="AG54" s="151"/>
      <c r="AH54" s="151"/>
      <c r="AI54" s="151"/>
      <c r="AJ54" s="151"/>
      <c r="AK54" s="151"/>
      <c r="AL54" s="151"/>
      <c r="AM54" s="151"/>
      <c r="AN54" s="151"/>
      <c r="AO54" s="151"/>
      <c r="AP54" s="151"/>
      <c r="AQ54" s="151"/>
      <c r="AR54" s="151"/>
      <c r="AS54" s="151"/>
      <c r="AT54" s="151"/>
      <c r="AU54" s="151"/>
      <c r="AV54" s="151"/>
      <c r="AW54" s="151"/>
      <c r="AX54" s="151"/>
      <c r="AY54" s="151"/>
      <c r="AZ54" s="151"/>
      <c r="BA54" s="151"/>
      <c r="BB54" s="151"/>
      <c r="BC54" s="151"/>
      <c r="BD54" s="151"/>
      <c r="BE54" s="151"/>
      <c r="BF54" s="151"/>
      <c r="BG54" s="151"/>
      <c r="BH54" s="151"/>
      <c r="BI54" s="151"/>
      <c r="BJ54" s="151"/>
      <c r="BK54" s="151"/>
      <c r="BL54" s="151"/>
      <c r="BM54" s="151"/>
      <c r="BN54" s="151"/>
      <c r="BO54" s="151"/>
      <c r="BP54" s="151"/>
      <c r="BQ54" s="151"/>
      <c r="BR54" s="151"/>
      <c r="BS54" s="151"/>
      <c r="BT54" s="151"/>
      <c r="BU54" s="151"/>
      <c r="BV54" s="151"/>
      <c r="BW54" s="151"/>
      <c r="BX54" s="151"/>
      <c r="BY54" s="151"/>
      <c r="BZ54" s="151"/>
      <c r="CA54" s="151"/>
      <c r="CB54" s="151"/>
      <c r="CC54" s="151"/>
      <c r="CD54" s="151"/>
      <c r="CE54" s="151"/>
      <c r="CF54" s="151"/>
      <c r="CG54" s="152"/>
      <c r="CH54" s="152"/>
      <c r="CI54" s="152"/>
      <c r="CJ54" s="152"/>
      <c r="CK54" s="152"/>
      <c r="CL54" s="152"/>
      <c r="CM54" s="152"/>
      <c r="CN54" s="152"/>
      <c r="CO54" s="152"/>
      <c r="CP54" s="152"/>
      <c r="CQ54" s="152"/>
      <c r="CR54" s="152"/>
      <c r="CS54" s="152"/>
      <c r="CT54" s="152"/>
      <c r="CU54" s="152"/>
      <c r="CV54" s="152"/>
      <c r="CW54" s="152"/>
      <c r="CX54" s="152"/>
      <c r="CY54" s="152"/>
      <c r="CZ54" s="152"/>
      <c r="DA54" s="152"/>
      <c r="DB54" s="152"/>
      <c r="DC54" s="152"/>
      <c r="DD54" s="152"/>
      <c r="DE54" s="152"/>
      <c r="DF54" s="152"/>
      <c r="DG54" s="152"/>
      <c r="DH54" s="152"/>
      <c r="DI54" s="152"/>
      <c r="DJ54" s="152"/>
      <c r="DK54" s="152"/>
      <c r="DL54" s="152"/>
      <c r="DM54" s="152"/>
      <c r="DN54" s="152"/>
      <c r="DO54" s="152"/>
      <c r="DP54" s="152"/>
      <c r="DQ54" s="152"/>
      <c r="DR54" s="152"/>
      <c r="DS54" s="152"/>
      <c r="DT54" s="152"/>
      <c r="DU54" s="152"/>
      <c r="DV54" s="152"/>
      <c r="DW54" s="152"/>
      <c r="DX54" s="152"/>
      <c r="DY54" s="152"/>
      <c r="DZ54" s="152"/>
      <c r="EA54" s="152"/>
      <c r="EB54" s="152"/>
      <c r="EC54" s="152"/>
      <c r="ED54" s="152"/>
      <c r="EE54" s="152"/>
      <c r="EF54" s="152"/>
      <c r="EG54" s="152"/>
      <c r="EH54" s="152"/>
      <c r="EI54" s="152"/>
      <c r="EJ54" s="152"/>
      <c r="EK54" s="152"/>
      <c r="EL54" s="152"/>
      <c r="EM54" s="152"/>
      <c r="EN54" s="152"/>
      <c r="EO54" s="152"/>
      <c r="EP54" s="152"/>
      <c r="EQ54" s="152"/>
      <c r="ER54" s="152"/>
      <c r="ES54" s="152"/>
      <c r="ET54" s="152"/>
      <c r="EU54" s="152"/>
      <c r="EV54" s="152"/>
      <c r="EW54" s="152"/>
      <c r="EX54" s="152"/>
      <c r="EY54" s="152"/>
      <c r="EZ54" s="152"/>
      <c r="FA54" s="152"/>
      <c r="FB54" s="152"/>
      <c r="FC54" s="152"/>
      <c r="FD54" s="152"/>
      <c r="FE54" s="152"/>
      <c r="FF54" s="152"/>
      <c r="FG54" s="152"/>
      <c r="FH54" s="152"/>
      <c r="FI54" s="152"/>
      <c r="FJ54" s="152"/>
      <c r="FK54" s="152"/>
      <c r="FL54" s="152"/>
      <c r="FM54" s="152"/>
      <c r="FN54" s="152"/>
      <c r="FO54" s="152"/>
      <c r="FP54" s="152"/>
      <c r="FQ54" s="152"/>
      <c r="FR54" s="152"/>
      <c r="FS54" s="152"/>
      <c r="FT54" s="152"/>
      <c r="FU54" s="152"/>
      <c r="FV54" s="152"/>
      <c r="FW54" s="152"/>
      <c r="FX54" s="152"/>
      <c r="FY54" s="152"/>
      <c r="FZ54" s="152"/>
      <c r="GA54" s="152"/>
      <c r="GB54" s="152"/>
      <c r="GC54" s="152"/>
      <c r="GD54" s="152"/>
      <c r="GE54" s="152"/>
      <c r="GF54" s="152"/>
      <c r="GG54" s="152"/>
      <c r="GH54" s="152"/>
      <c r="GI54" s="152"/>
      <c r="GJ54" s="152"/>
      <c r="GK54" s="152"/>
      <c r="GL54" s="152"/>
      <c r="GM54" s="152"/>
      <c r="GN54" s="152"/>
      <c r="GO54" s="152"/>
      <c r="GP54" s="152"/>
      <c r="GQ54" s="152"/>
      <c r="GR54" s="152"/>
      <c r="GS54" s="152"/>
      <c r="GT54" s="152"/>
      <c r="GU54" s="152"/>
      <c r="GV54" s="152"/>
      <c r="GW54" s="152"/>
      <c r="GX54" s="152"/>
      <c r="GY54" s="152"/>
      <c r="GZ54" s="152"/>
      <c r="HA54" s="152"/>
      <c r="HB54" s="152"/>
      <c r="HC54" s="152"/>
      <c r="HD54" s="152"/>
      <c r="HE54" s="152"/>
      <c r="HF54" s="152"/>
      <c r="HG54" s="152"/>
      <c r="HH54" s="152"/>
      <c r="HI54" s="152"/>
      <c r="HJ54" s="152"/>
      <c r="HK54" s="152"/>
      <c r="HL54" s="152"/>
      <c r="HM54" s="152"/>
      <c r="HN54" s="152"/>
      <c r="HO54" s="152"/>
      <c r="HP54" s="152"/>
      <c r="HQ54" s="152"/>
      <c r="HR54" s="152"/>
      <c r="HS54" s="152"/>
      <c r="HT54" s="152"/>
      <c r="HU54" s="152"/>
      <c r="HV54" s="152"/>
      <c r="HW54" s="152"/>
      <c r="HX54" s="152"/>
      <c r="HY54" s="152"/>
      <c r="HZ54" s="152"/>
    </row>
    <row r="55" spans="1:234" ht="22.5" customHeight="1">
      <c r="A55" s="207" t="s">
        <v>149</v>
      </c>
      <c r="B55" s="296"/>
      <c r="C55" s="296"/>
      <c r="D55" s="296"/>
      <c r="E55" s="296"/>
      <c r="F55" s="296"/>
      <c r="G55" s="297"/>
      <c r="H55" s="297"/>
      <c r="I55" s="298"/>
      <c r="J55" s="283" t="s">
        <v>75</v>
      </c>
      <c r="K55" s="173" t="s">
        <v>70</v>
      </c>
      <c r="L55" s="173" t="s">
        <v>70</v>
      </c>
      <c r="M55" s="173" t="s">
        <v>70</v>
      </c>
      <c r="N55" s="173" t="s">
        <v>70</v>
      </c>
    </row>
    <row r="56" spans="1:234" ht="12.75" customHeight="1">
      <c r="A56" s="270" t="s">
        <v>7</v>
      </c>
      <c r="B56" s="178" t="s">
        <v>94</v>
      </c>
      <c r="C56" s="179"/>
      <c r="D56" s="179"/>
      <c r="E56" s="179"/>
      <c r="F56" s="179"/>
      <c r="G56" s="229"/>
      <c r="H56" s="300"/>
      <c r="I56" s="301"/>
      <c r="J56" s="279" t="e">
        <f>#REF!</f>
        <v>#REF!</v>
      </c>
      <c r="K56" s="186" t="e">
        <f>$J56*($K$27)</f>
        <v>#REF!</v>
      </c>
      <c r="L56" s="186" t="e">
        <f>$J56*($L$27)</f>
        <v>#REF!</v>
      </c>
      <c r="M56" s="186" t="e">
        <f>$J56*($M$27)</f>
        <v>#REF!</v>
      </c>
      <c r="N56" s="186" t="e">
        <f>$J56*($N$27)</f>
        <v>#REF!</v>
      </c>
    </row>
    <row r="57" spans="1:234" ht="14.1" customHeight="1">
      <c r="A57" s="173" t="s">
        <v>9</v>
      </c>
      <c r="B57" s="158" t="s">
        <v>95</v>
      </c>
      <c r="C57" s="286"/>
      <c r="D57" s="158"/>
      <c r="E57" s="260"/>
      <c r="F57" s="260"/>
      <c r="G57" s="245"/>
      <c r="H57" s="299"/>
      <c r="I57" s="294"/>
      <c r="J57" s="352" t="e">
        <f>#REF!</f>
        <v>#REF!</v>
      </c>
      <c r="K57" s="186" t="e">
        <f>$J57*($K$27)</f>
        <v>#REF!</v>
      </c>
      <c r="L57" s="186" t="e">
        <f>$J57*($L$27)</f>
        <v>#REF!</v>
      </c>
      <c r="M57" s="186" t="e">
        <f>$J57*($M$27)</f>
        <v>#REF!</v>
      </c>
      <c r="N57" s="186" t="e">
        <f>$J57*($N$27)</f>
        <v>#REF!</v>
      </c>
    </row>
    <row r="58" spans="1:234" ht="14.1" customHeight="1">
      <c r="A58" s="173" t="s">
        <v>11</v>
      </c>
      <c r="B58" s="128" t="s">
        <v>150</v>
      </c>
      <c r="C58" s="232"/>
      <c r="D58" s="232"/>
      <c r="E58" s="232"/>
      <c r="F58" s="232"/>
      <c r="G58" s="232"/>
      <c r="H58" s="232"/>
      <c r="I58" s="295"/>
      <c r="J58" s="353" t="e">
        <f>#REF!</f>
        <v>#REF!</v>
      </c>
      <c r="K58" s="186" t="e">
        <f>$J58*($K$27)</f>
        <v>#REF!</v>
      </c>
      <c r="L58" s="186" t="e">
        <f>$J58*($L$27)</f>
        <v>#REF!</v>
      </c>
      <c r="M58" s="186" t="e">
        <f>$J58*($M$27)</f>
        <v>#REF!</v>
      </c>
      <c r="N58" s="186" t="e">
        <f>$J58*($N$27)</f>
        <v>#REF!</v>
      </c>
    </row>
    <row r="59" spans="1:234" ht="14.1" customHeight="1">
      <c r="A59" s="270" t="s">
        <v>13</v>
      </c>
      <c r="B59" s="178" t="s">
        <v>151</v>
      </c>
      <c r="C59" s="179"/>
      <c r="D59" s="179"/>
      <c r="E59" s="229"/>
      <c r="F59" s="229"/>
      <c r="G59" s="229"/>
      <c r="H59" s="300"/>
      <c r="I59" s="301"/>
      <c r="J59" s="353" t="e">
        <f>#REF!</f>
        <v>#REF!</v>
      </c>
      <c r="K59" s="186" t="e">
        <f>$J59*($K$27)</f>
        <v>#REF!</v>
      </c>
      <c r="L59" s="186" t="e">
        <f>$J59*($L$27)</f>
        <v>#REF!</v>
      </c>
      <c r="M59" s="186" t="e">
        <f>$J59*($M$27)</f>
        <v>#REF!</v>
      </c>
      <c r="N59" s="186" t="e">
        <f>$J59*($N$27)</f>
        <v>#REF!</v>
      </c>
    </row>
    <row r="60" spans="1:234" ht="14.1" customHeight="1">
      <c r="A60" s="346" t="s">
        <v>18</v>
      </c>
      <c r="B60" s="128" t="s">
        <v>152</v>
      </c>
      <c r="C60" s="128"/>
      <c r="D60" s="128"/>
      <c r="E60" s="128"/>
      <c r="F60" s="128"/>
      <c r="G60" s="128"/>
      <c r="H60" s="128"/>
      <c r="I60" s="347"/>
      <c r="J60" s="353" t="e">
        <f>#REF!</f>
        <v>#REF!</v>
      </c>
      <c r="K60" s="345" t="e">
        <f>$J60*($K$27)</f>
        <v>#REF!</v>
      </c>
      <c r="L60" s="345" t="e">
        <f>$J60*($L$27)</f>
        <v>#REF!</v>
      </c>
      <c r="M60" s="345" t="e">
        <f>$J60*($M$27)</f>
        <v>#REF!</v>
      </c>
      <c r="N60" s="345" t="e">
        <f>$J60*($N$27)</f>
        <v>#REF!</v>
      </c>
    </row>
    <row r="61" spans="1:234" ht="14.1" customHeight="1">
      <c r="A61" s="211" t="s">
        <v>24</v>
      </c>
      <c r="B61" s="212"/>
      <c r="C61" s="212"/>
      <c r="D61" s="212"/>
      <c r="E61" s="212"/>
      <c r="F61" s="212"/>
      <c r="G61" s="212"/>
      <c r="H61" s="212"/>
      <c r="I61" s="348"/>
      <c r="J61" s="354" t="e">
        <f>#REF!</f>
        <v>#REF!</v>
      </c>
      <c r="K61" s="185" t="e">
        <f>SUM(K56:K60)</f>
        <v>#REF!</v>
      </c>
      <c r="L61" s="185" t="e">
        <f>SUM(L56:L60)</f>
        <v>#REF!</v>
      </c>
      <c r="M61" s="185" t="e">
        <f>SUM(M56:M60)</f>
        <v>#REF!</v>
      </c>
      <c r="N61" s="185" t="e">
        <f>SUM(N56:N60)</f>
        <v>#REF!</v>
      </c>
    </row>
    <row r="62" spans="1:234" ht="14.1" customHeight="1">
      <c r="A62" s="302"/>
      <c r="B62" s="293"/>
      <c r="C62" s="293"/>
      <c r="D62" s="293"/>
      <c r="E62" s="293"/>
      <c r="F62" s="293"/>
      <c r="G62" s="293"/>
      <c r="H62" s="293"/>
      <c r="I62" s="303"/>
      <c r="J62" s="153"/>
      <c r="K62" s="330"/>
      <c r="L62" s="330"/>
      <c r="M62" s="330"/>
      <c r="N62" s="330"/>
    </row>
    <row r="63" spans="1:234">
      <c r="A63" s="207" t="s">
        <v>99</v>
      </c>
      <c r="B63" s="207"/>
      <c r="C63" s="208"/>
      <c r="D63" s="208"/>
      <c r="E63" s="208"/>
      <c r="F63" s="208"/>
      <c r="G63" s="166"/>
      <c r="H63" s="166"/>
      <c r="I63" s="166"/>
      <c r="J63" s="244"/>
      <c r="K63" s="173" t="s">
        <v>70</v>
      </c>
      <c r="L63" s="173" t="s">
        <v>70</v>
      </c>
      <c r="M63" s="173" t="s">
        <v>70</v>
      </c>
      <c r="N63" s="173" t="s">
        <v>70</v>
      </c>
    </row>
    <row r="64" spans="1:234" ht="15" customHeight="1">
      <c r="A64" s="216" t="s">
        <v>100</v>
      </c>
      <c r="B64" s="129"/>
      <c r="C64" s="129"/>
      <c r="D64" s="129"/>
      <c r="E64" s="129"/>
      <c r="F64" s="129"/>
      <c r="G64" s="129"/>
      <c r="H64" s="129"/>
      <c r="I64" s="129"/>
      <c r="J64" s="160"/>
      <c r="K64" s="184" t="e">
        <f>K17</f>
        <v>#REF!</v>
      </c>
      <c r="L64" s="184" t="e">
        <f>L17</f>
        <v>#REF!</v>
      </c>
      <c r="M64" s="184" t="e">
        <f>M17</f>
        <v>#REF!</v>
      </c>
      <c r="N64" s="184" t="e">
        <f>N17</f>
        <v>#REF!</v>
      </c>
      <c r="O64" s="151"/>
      <c r="P64" s="151"/>
      <c r="Q64" s="151"/>
      <c r="R64" s="151"/>
      <c r="S64" s="151"/>
      <c r="T64" s="151"/>
      <c r="U64" s="151"/>
      <c r="V64" s="151"/>
      <c r="W64" s="151"/>
      <c r="X64" s="151"/>
      <c r="Y64" s="151"/>
      <c r="Z64" s="151"/>
      <c r="AA64" s="151"/>
      <c r="AB64" s="151"/>
      <c r="AC64" s="151"/>
      <c r="AD64" s="151"/>
      <c r="AE64" s="151"/>
      <c r="AF64" s="151"/>
      <c r="AG64" s="151"/>
      <c r="AH64" s="151"/>
      <c r="AI64" s="151"/>
      <c r="AJ64" s="151"/>
      <c r="AK64" s="151"/>
      <c r="AL64" s="151"/>
      <c r="AM64" s="151"/>
      <c r="AN64" s="151"/>
      <c r="AO64" s="151"/>
      <c r="AP64" s="151"/>
      <c r="AQ64" s="151"/>
      <c r="AR64" s="151"/>
      <c r="AS64" s="151"/>
      <c r="AT64" s="151"/>
      <c r="AU64" s="151"/>
      <c r="AV64" s="151"/>
      <c r="AW64" s="151"/>
      <c r="AX64" s="151"/>
      <c r="AY64" s="151"/>
      <c r="AZ64" s="151"/>
      <c r="BA64" s="151"/>
      <c r="BB64" s="151"/>
      <c r="BC64" s="151"/>
      <c r="BD64" s="151"/>
      <c r="BE64" s="151"/>
      <c r="BF64" s="151"/>
      <c r="BG64" s="151"/>
      <c r="BH64" s="151"/>
      <c r="BI64" s="151"/>
      <c r="BJ64" s="151"/>
      <c r="BK64" s="151"/>
      <c r="BL64" s="151"/>
      <c r="BM64" s="151"/>
      <c r="BN64" s="151"/>
      <c r="BO64" s="151"/>
      <c r="BP64" s="151"/>
      <c r="BQ64" s="151"/>
      <c r="BR64" s="151"/>
      <c r="BS64" s="151"/>
      <c r="BT64" s="151"/>
      <c r="BU64" s="151"/>
      <c r="BV64" s="151"/>
      <c r="BW64" s="151"/>
      <c r="BX64" s="151"/>
      <c r="BY64" s="151"/>
      <c r="BZ64" s="151"/>
      <c r="CA64" s="151"/>
      <c r="CB64" s="151"/>
      <c r="CC64" s="151"/>
      <c r="CD64" s="151"/>
      <c r="CE64" s="151"/>
      <c r="CF64" s="151"/>
      <c r="CG64" s="152"/>
      <c r="CH64" s="152"/>
      <c r="CI64" s="152"/>
      <c r="CJ64" s="152"/>
      <c r="CK64" s="152"/>
      <c r="CL64" s="152"/>
      <c r="CM64" s="152"/>
      <c r="CN64" s="152"/>
      <c r="CO64" s="152"/>
      <c r="CP64" s="152"/>
      <c r="CQ64" s="152"/>
      <c r="CR64" s="152"/>
      <c r="CS64" s="152"/>
      <c r="CT64" s="152"/>
      <c r="CU64" s="152"/>
      <c r="CV64" s="152"/>
      <c r="CW64" s="152"/>
      <c r="CX64" s="152"/>
      <c r="CY64" s="152"/>
      <c r="CZ64" s="152"/>
      <c r="DA64" s="152"/>
      <c r="DB64" s="152"/>
      <c r="DC64" s="152"/>
      <c r="DD64" s="152"/>
      <c r="DE64" s="152"/>
      <c r="DF64" s="152"/>
      <c r="DG64" s="152"/>
      <c r="DH64" s="152"/>
      <c r="DI64" s="152"/>
      <c r="DJ64" s="152"/>
      <c r="DK64" s="152"/>
      <c r="DL64" s="152"/>
      <c r="DM64" s="152"/>
      <c r="DN64" s="152"/>
      <c r="DO64" s="152"/>
      <c r="DP64" s="152"/>
      <c r="DQ64" s="152"/>
      <c r="DR64" s="152"/>
      <c r="DS64" s="152"/>
      <c r="DT64" s="152"/>
      <c r="DU64" s="152"/>
      <c r="DV64" s="152"/>
      <c r="DW64" s="152"/>
      <c r="DX64" s="152"/>
      <c r="DY64" s="152"/>
      <c r="DZ64" s="152"/>
      <c r="EA64" s="152"/>
      <c r="EB64" s="152"/>
      <c r="EC64" s="152"/>
      <c r="ED64" s="152"/>
      <c r="EE64" s="152"/>
      <c r="EF64" s="152"/>
      <c r="EG64" s="152"/>
      <c r="EH64" s="152"/>
      <c r="EI64" s="152"/>
      <c r="EJ64" s="152"/>
      <c r="EK64" s="152"/>
      <c r="EL64" s="152"/>
      <c r="EM64" s="152"/>
      <c r="EN64" s="152"/>
      <c r="EO64" s="152"/>
      <c r="EP64" s="152"/>
      <c r="EQ64" s="152"/>
      <c r="ER64" s="152"/>
      <c r="ES64" s="152"/>
      <c r="ET64" s="152"/>
      <c r="EU64" s="152"/>
      <c r="EV64" s="152"/>
      <c r="EW64" s="152"/>
      <c r="EX64" s="152"/>
      <c r="EY64" s="152"/>
      <c r="EZ64" s="152"/>
      <c r="FA64" s="152"/>
      <c r="FB64" s="152"/>
      <c r="FC64" s="152"/>
      <c r="FD64" s="152"/>
      <c r="FE64" s="152"/>
      <c r="FF64" s="152"/>
      <c r="FG64" s="152"/>
      <c r="FH64" s="152"/>
      <c r="FI64" s="152"/>
      <c r="FJ64" s="152"/>
      <c r="FK64" s="152"/>
      <c r="FL64" s="152"/>
      <c r="FM64" s="152"/>
      <c r="FN64" s="152"/>
      <c r="FO64" s="152"/>
      <c r="FP64" s="152"/>
      <c r="FQ64" s="152"/>
      <c r="FR64" s="152"/>
      <c r="FS64" s="152"/>
      <c r="FT64" s="152"/>
      <c r="FU64" s="152"/>
      <c r="FV64" s="152"/>
      <c r="FW64" s="152"/>
      <c r="FX64" s="152"/>
      <c r="FY64" s="152"/>
      <c r="FZ64" s="152"/>
      <c r="GA64" s="152"/>
      <c r="GB64" s="152"/>
      <c r="GC64" s="152"/>
      <c r="GD64" s="152"/>
      <c r="GE64" s="152"/>
      <c r="GF64" s="152"/>
      <c r="GG64" s="152"/>
      <c r="GH64" s="152"/>
      <c r="GI64" s="152"/>
      <c r="GJ64" s="152"/>
      <c r="GK64" s="152"/>
      <c r="GL64" s="152"/>
      <c r="GM64" s="152"/>
      <c r="GN64" s="152"/>
      <c r="GO64" s="152"/>
      <c r="GP64" s="152"/>
      <c r="GQ64" s="152"/>
      <c r="GR64" s="152"/>
      <c r="GS64" s="152"/>
      <c r="GT64" s="152"/>
      <c r="GU64" s="152"/>
      <c r="GV64" s="152"/>
      <c r="GW64" s="152"/>
      <c r="GX64" s="152"/>
      <c r="GY64" s="152"/>
      <c r="GZ64" s="152"/>
      <c r="HA64" s="152"/>
      <c r="HB64" s="152"/>
      <c r="HC64" s="152"/>
      <c r="HD64" s="152"/>
      <c r="HE64" s="152"/>
      <c r="HF64" s="152"/>
      <c r="HG64" s="152"/>
      <c r="HH64" s="152"/>
      <c r="HI64" s="152"/>
      <c r="HJ64" s="152"/>
      <c r="HK64" s="152"/>
      <c r="HL64" s="152"/>
      <c r="HM64" s="152"/>
      <c r="HN64" s="152"/>
      <c r="HO64" s="152"/>
      <c r="HP64" s="152"/>
      <c r="HQ64" s="152"/>
      <c r="HR64" s="152"/>
      <c r="HS64" s="152"/>
      <c r="HT64" s="152"/>
      <c r="HU64" s="152"/>
      <c r="HV64" s="152"/>
      <c r="HW64" s="152"/>
      <c r="HX64" s="152"/>
      <c r="HY64" s="152"/>
      <c r="HZ64" s="152"/>
    </row>
    <row r="65" spans="1:234" ht="15" customHeight="1">
      <c r="A65" s="217" t="s">
        <v>101</v>
      </c>
      <c r="B65" s="129"/>
      <c r="C65" s="129"/>
      <c r="D65" s="129"/>
      <c r="E65" s="129"/>
      <c r="F65" s="129"/>
      <c r="G65" s="129"/>
      <c r="H65" s="129"/>
      <c r="I65" s="129"/>
      <c r="J65" s="160"/>
      <c r="K65" s="184" t="e">
        <f>K54</f>
        <v>#REF!</v>
      </c>
      <c r="L65" s="184" t="e">
        <f>L54</f>
        <v>#REF!</v>
      </c>
      <c r="M65" s="184" t="e">
        <f>M54</f>
        <v>#REF!</v>
      </c>
      <c r="N65" s="184" t="e">
        <f>N54</f>
        <v>#REF!</v>
      </c>
      <c r="O65" s="151"/>
      <c r="P65" s="151"/>
      <c r="Q65" s="151"/>
      <c r="R65" s="151"/>
      <c r="S65" s="151"/>
      <c r="T65" s="151"/>
      <c r="U65" s="151"/>
      <c r="V65" s="151"/>
      <c r="W65" s="151"/>
      <c r="X65" s="151"/>
      <c r="Y65" s="151"/>
      <c r="Z65" s="151"/>
      <c r="AA65" s="151"/>
      <c r="AB65" s="151"/>
      <c r="AC65" s="151"/>
      <c r="AD65" s="151"/>
      <c r="AE65" s="151"/>
      <c r="AF65" s="151"/>
      <c r="AG65" s="151"/>
      <c r="AH65" s="151"/>
      <c r="AI65" s="151"/>
      <c r="AJ65" s="151"/>
      <c r="AK65" s="151"/>
      <c r="AL65" s="151"/>
      <c r="AM65" s="151"/>
      <c r="AN65" s="151"/>
      <c r="AO65" s="151"/>
      <c r="AP65" s="151"/>
      <c r="AQ65" s="151"/>
      <c r="AR65" s="151"/>
      <c r="AS65" s="151"/>
      <c r="AT65" s="151"/>
      <c r="AU65" s="151"/>
      <c r="AV65" s="151"/>
      <c r="AW65" s="151"/>
      <c r="AX65" s="151"/>
      <c r="AY65" s="151"/>
      <c r="AZ65" s="151"/>
      <c r="BA65" s="151"/>
      <c r="BB65" s="151"/>
      <c r="BC65" s="151"/>
      <c r="BD65" s="151"/>
      <c r="BE65" s="151"/>
      <c r="BF65" s="151"/>
      <c r="BG65" s="151"/>
      <c r="BH65" s="151"/>
      <c r="BI65" s="151"/>
      <c r="BJ65" s="151"/>
      <c r="BK65" s="151"/>
      <c r="BL65" s="151"/>
      <c r="BM65" s="151"/>
      <c r="BN65" s="151"/>
      <c r="BO65" s="151"/>
      <c r="BP65" s="151"/>
      <c r="BQ65" s="151"/>
      <c r="BR65" s="151"/>
      <c r="BS65" s="151"/>
      <c r="BT65" s="151"/>
      <c r="BU65" s="151"/>
      <c r="BV65" s="151"/>
      <c r="BW65" s="151"/>
      <c r="BX65" s="151"/>
      <c r="BY65" s="151"/>
      <c r="BZ65" s="151"/>
      <c r="CA65" s="151"/>
      <c r="CB65" s="151"/>
      <c r="CC65" s="151"/>
      <c r="CD65" s="151"/>
      <c r="CE65" s="151"/>
      <c r="CF65" s="151"/>
      <c r="CG65" s="152"/>
      <c r="CH65" s="152"/>
      <c r="CI65" s="152"/>
      <c r="CJ65" s="152"/>
      <c r="CK65" s="152"/>
      <c r="CL65" s="152"/>
      <c r="CM65" s="152"/>
      <c r="CN65" s="152"/>
      <c r="CO65" s="152"/>
      <c r="CP65" s="152"/>
      <c r="CQ65" s="152"/>
      <c r="CR65" s="152"/>
      <c r="CS65" s="152"/>
      <c r="CT65" s="152"/>
      <c r="CU65" s="152"/>
      <c r="CV65" s="152"/>
      <c r="CW65" s="152"/>
      <c r="CX65" s="152"/>
      <c r="CY65" s="152"/>
      <c r="CZ65" s="152"/>
      <c r="DA65" s="152"/>
      <c r="DB65" s="152"/>
      <c r="DC65" s="152"/>
      <c r="DD65" s="152"/>
      <c r="DE65" s="152"/>
      <c r="DF65" s="152"/>
      <c r="DG65" s="152"/>
      <c r="DH65" s="152"/>
      <c r="DI65" s="152"/>
      <c r="DJ65" s="152"/>
      <c r="DK65" s="152"/>
      <c r="DL65" s="152"/>
      <c r="DM65" s="152"/>
      <c r="DN65" s="152"/>
      <c r="DO65" s="152"/>
      <c r="DP65" s="152"/>
      <c r="DQ65" s="152"/>
      <c r="DR65" s="152"/>
      <c r="DS65" s="152"/>
      <c r="DT65" s="152"/>
      <c r="DU65" s="152"/>
      <c r="DV65" s="152"/>
      <c r="DW65" s="152"/>
      <c r="DX65" s="152"/>
      <c r="DY65" s="152"/>
      <c r="DZ65" s="152"/>
      <c r="EA65" s="152"/>
      <c r="EB65" s="152"/>
      <c r="EC65" s="152"/>
      <c r="ED65" s="152"/>
      <c r="EE65" s="152"/>
      <c r="EF65" s="152"/>
      <c r="EG65" s="152"/>
      <c r="EH65" s="152"/>
      <c r="EI65" s="152"/>
      <c r="EJ65" s="152"/>
      <c r="EK65" s="152"/>
      <c r="EL65" s="152"/>
      <c r="EM65" s="152"/>
      <c r="EN65" s="152"/>
      <c r="EO65" s="152"/>
      <c r="EP65" s="152"/>
      <c r="EQ65" s="152"/>
      <c r="ER65" s="152"/>
      <c r="ES65" s="152"/>
      <c r="ET65" s="152"/>
      <c r="EU65" s="152"/>
      <c r="EV65" s="152"/>
      <c r="EW65" s="152"/>
      <c r="EX65" s="152"/>
      <c r="EY65" s="152"/>
      <c r="EZ65" s="152"/>
      <c r="FA65" s="152"/>
      <c r="FB65" s="152"/>
      <c r="FC65" s="152"/>
      <c r="FD65" s="152"/>
      <c r="FE65" s="152"/>
      <c r="FF65" s="152"/>
      <c r="FG65" s="152"/>
      <c r="FH65" s="152"/>
      <c r="FI65" s="152"/>
      <c r="FJ65" s="152"/>
      <c r="FK65" s="152"/>
      <c r="FL65" s="152"/>
      <c r="FM65" s="152"/>
      <c r="FN65" s="152"/>
      <c r="FO65" s="152"/>
      <c r="FP65" s="152"/>
      <c r="FQ65" s="152"/>
      <c r="FR65" s="152"/>
      <c r="FS65" s="152"/>
      <c r="FT65" s="152"/>
      <c r="FU65" s="152"/>
      <c r="FV65" s="152"/>
      <c r="FW65" s="152"/>
      <c r="FX65" s="152"/>
      <c r="FY65" s="152"/>
      <c r="FZ65" s="152"/>
      <c r="GA65" s="152"/>
      <c r="GB65" s="152"/>
      <c r="GC65" s="152"/>
      <c r="GD65" s="152"/>
      <c r="GE65" s="152"/>
      <c r="GF65" s="152"/>
      <c r="GG65" s="152"/>
      <c r="GH65" s="152"/>
      <c r="GI65" s="152"/>
      <c r="GJ65" s="152"/>
      <c r="GK65" s="152"/>
      <c r="GL65" s="152"/>
      <c r="GM65" s="152"/>
      <c r="GN65" s="152"/>
      <c r="GO65" s="152"/>
      <c r="GP65" s="152"/>
      <c r="GQ65" s="152"/>
      <c r="GR65" s="152"/>
      <c r="GS65" s="152"/>
      <c r="GT65" s="152"/>
      <c r="GU65" s="152"/>
      <c r="GV65" s="152"/>
      <c r="GW65" s="152"/>
      <c r="GX65" s="152"/>
      <c r="GY65" s="152"/>
      <c r="GZ65" s="152"/>
      <c r="HA65" s="152"/>
      <c r="HB65" s="152"/>
      <c r="HC65" s="152"/>
      <c r="HD65" s="152"/>
      <c r="HE65" s="152"/>
      <c r="HF65" s="152"/>
      <c r="HG65" s="152"/>
      <c r="HH65" s="152"/>
      <c r="HI65" s="152"/>
      <c r="HJ65" s="152"/>
      <c r="HK65" s="152"/>
      <c r="HL65" s="152"/>
      <c r="HM65" s="152"/>
      <c r="HN65" s="152"/>
      <c r="HO65" s="152"/>
      <c r="HP65" s="152"/>
      <c r="HQ65" s="152"/>
      <c r="HR65" s="152"/>
      <c r="HS65" s="152"/>
      <c r="HT65" s="152"/>
      <c r="HU65" s="152"/>
      <c r="HV65" s="152"/>
      <c r="HW65" s="152"/>
      <c r="HX65" s="152"/>
      <c r="HY65" s="152"/>
      <c r="HZ65" s="152"/>
    </row>
    <row r="66" spans="1:234" ht="15" customHeight="1">
      <c r="A66" s="217" t="s">
        <v>102</v>
      </c>
      <c r="B66" s="129"/>
      <c r="C66" s="129"/>
      <c r="D66" s="129"/>
      <c r="E66" s="129"/>
      <c r="F66" s="129"/>
      <c r="G66" s="129"/>
      <c r="H66" s="129"/>
      <c r="I66" s="129"/>
      <c r="J66" s="160"/>
      <c r="K66" s="184" t="e">
        <f>K61</f>
        <v>#REF!</v>
      </c>
      <c r="L66" s="184" t="e">
        <f>L61</f>
        <v>#REF!</v>
      </c>
      <c r="M66" s="184" t="e">
        <f>M61</f>
        <v>#REF!</v>
      </c>
      <c r="N66" s="184" t="e">
        <f>N61</f>
        <v>#REF!</v>
      </c>
      <c r="O66" s="151"/>
      <c r="P66" s="151"/>
      <c r="Q66" s="151"/>
      <c r="R66" s="151"/>
      <c r="S66" s="151"/>
      <c r="T66" s="151"/>
      <c r="U66" s="151"/>
      <c r="V66" s="151"/>
      <c r="W66" s="151"/>
      <c r="X66" s="151"/>
      <c r="Y66" s="151"/>
      <c r="Z66" s="151"/>
      <c r="AA66" s="151"/>
      <c r="AB66" s="151"/>
      <c r="AC66" s="151"/>
      <c r="AD66" s="151"/>
      <c r="AE66" s="151"/>
      <c r="AF66" s="151"/>
      <c r="AG66" s="151"/>
      <c r="AH66" s="151"/>
      <c r="AI66" s="151"/>
      <c r="AJ66" s="151"/>
      <c r="AK66" s="151"/>
      <c r="AL66" s="151"/>
      <c r="AM66" s="151"/>
      <c r="AN66" s="151"/>
      <c r="AO66" s="151"/>
      <c r="AP66" s="151"/>
      <c r="AQ66" s="151"/>
      <c r="AR66" s="151"/>
      <c r="AS66" s="151"/>
      <c r="AT66" s="151"/>
      <c r="AU66" s="151"/>
      <c r="AV66" s="151"/>
      <c r="AW66" s="151"/>
      <c r="AX66" s="151"/>
      <c r="AY66" s="151"/>
      <c r="AZ66" s="151"/>
      <c r="BA66" s="151"/>
      <c r="BB66" s="151"/>
      <c r="BC66" s="151"/>
      <c r="BD66" s="151"/>
      <c r="BE66" s="151"/>
      <c r="BF66" s="151"/>
      <c r="BG66" s="151"/>
      <c r="BH66" s="151"/>
      <c r="BI66" s="151"/>
      <c r="BJ66" s="151"/>
      <c r="BK66" s="151"/>
      <c r="BL66" s="151"/>
      <c r="BM66" s="151"/>
      <c r="BN66" s="151"/>
      <c r="BO66" s="151"/>
      <c r="BP66" s="151"/>
      <c r="BQ66" s="151"/>
      <c r="BR66" s="151"/>
      <c r="BS66" s="151"/>
      <c r="BT66" s="151"/>
      <c r="BU66" s="151"/>
      <c r="BV66" s="151"/>
      <c r="BW66" s="151"/>
      <c r="BX66" s="151"/>
      <c r="BY66" s="151"/>
      <c r="BZ66" s="151"/>
      <c r="CA66" s="151"/>
      <c r="CB66" s="151"/>
      <c r="CC66" s="151"/>
      <c r="CD66" s="151"/>
      <c r="CE66" s="151"/>
      <c r="CF66" s="151"/>
      <c r="CG66" s="152"/>
      <c r="CH66" s="152"/>
      <c r="CI66" s="152"/>
      <c r="CJ66" s="152"/>
      <c r="CK66" s="152"/>
      <c r="CL66" s="152"/>
      <c r="CM66" s="152"/>
      <c r="CN66" s="152"/>
      <c r="CO66" s="152"/>
      <c r="CP66" s="152"/>
      <c r="CQ66" s="152"/>
      <c r="CR66" s="152"/>
      <c r="CS66" s="152"/>
      <c r="CT66" s="152"/>
      <c r="CU66" s="152"/>
      <c r="CV66" s="152"/>
      <c r="CW66" s="152"/>
      <c r="CX66" s="152"/>
      <c r="CY66" s="152"/>
      <c r="CZ66" s="152"/>
      <c r="DA66" s="152"/>
      <c r="DB66" s="152"/>
      <c r="DC66" s="152"/>
      <c r="DD66" s="152"/>
      <c r="DE66" s="152"/>
      <c r="DF66" s="152"/>
      <c r="DG66" s="152"/>
      <c r="DH66" s="152"/>
      <c r="DI66" s="152"/>
      <c r="DJ66" s="152"/>
      <c r="DK66" s="152"/>
      <c r="DL66" s="152"/>
      <c r="DM66" s="152"/>
      <c r="DN66" s="152"/>
      <c r="DO66" s="152"/>
      <c r="DP66" s="152"/>
      <c r="DQ66" s="152"/>
      <c r="DR66" s="152"/>
      <c r="DS66" s="152"/>
      <c r="DT66" s="152"/>
      <c r="DU66" s="152"/>
      <c r="DV66" s="152"/>
      <c r="DW66" s="152"/>
      <c r="DX66" s="152"/>
      <c r="DY66" s="152"/>
      <c r="DZ66" s="152"/>
      <c r="EA66" s="152"/>
      <c r="EB66" s="152"/>
      <c r="EC66" s="152"/>
      <c r="ED66" s="152"/>
      <c r="EE66" s="152"/>
      <c r="EF66" s="152"/>
      <c r="EG66" s="152"/>
      <c r="EH66" s="152"/>
      <c r="EI66" s="152"/>
      <c r="EJ66" s="152"/>
      <c r="EK66" s="152"/>
      <c r="EL66" s="152"/>
      <c r="EM66" s="152"/>
      <c r="EN66" s="152"/>
      <c r="EO66" s="152"/>
      <c r="EP66" s="152"/>
      <c r="EQ66" s="152"/>
      <c r="ER66" s="152"/>
      <c r="ES66" s="152"/>
      <c r="ET66" s="152"/>
      <c r="EU66" s="152"/>
      <c r="EV66" s="152"/>
      <c r="EW66" s="152"/>
      <c r="EX66" s="152"/>
      <c r="EY66" s="152"/>
      <c r="EZ66" s="152"/>
      <c r="FA66" s="152"/>
      <c r="FB66" s="152"/>
      <c r="FC66" s="152"/>
      <c r="FD66" s="152"/>
      <c r="FE66" s="152"/>
      <c r="FF66" s="152"/>
      <c r="FG66" s="152"/>
      <c r="FH66" s="152"/>
      <c r="FI66" s="152"/>
      <c r="FJ66" s="152"/>
      <c r="FK66" s="152"/>
      <c r="FL66" s="152"/>
      <c r="FM66" s="152"/>
      <c r="FN66" s="152"/>
      <c r="FO66" s="152"/>
      <c r="FP66" s="152"/>
      <c r="FQ66" s="152"/>
      <c r="FR66" s="152"/>
      <c r="FS66" s="152"/>
      <c r="FT66" s="152"/>
      <c r="FU66" s="152"/>
      <c r="FV66" s="152"/>
      <c r="FW66" s="152"/>
      <c r="FX66" s="152"/>
      <c r="FY66" s="152"/>
      <c r="FZ66" s="152"/>
      <c r="GA66" s="152"/>
      <c r="GB66" s="152"/>
      <c r="GC66" s="152"/>
      <c r="GD66" s="152"/>
      <c r="GE66" s="152"/>
      <c r="GF66" s="152"/>
      <c r="GG66" s="152"/>
      <c r="GH66" s="152"/>
      <c r="GI66" s="152"/>
      <c r="GJ66" s="152"/>
      <c r="GK66" s="152"/>
      <c r="GL66" s="152"/>
      <c r="GM66" s="152"/>
      <c r="GN66" s="152"/>
      <c r="GO66" s="152"/>
      <c r="GP66" s="152"/>
      <c r="GQ66" s="152"/>
      <c r="GR66" s="152"/>
      <c r="GS66" s="152"/>
      <c r="GT66" s="152"/>
      <c r="GU66" s="152"/>
      <c r="GV66" s="152"/>
      <c r="GW66" s="152"/>
      <c r="GX66" s="152"/>
      <c r="GY66" s="152"/>
      <c r="GZ66" s="152"/>
      <c r="HA66" s="152"/>
      <c r="HB66" s="152"/>
      <c r="HC66" s="152"/>
      <c r="HD66" s="152"/>
      <c r="HE66" s="152"/>
      <c r="HF66" s="152"/>
      <c r="HG66" s="152"/>
      <c r="HH66" s="152"/>
      <c r="HI66" s="152"/>
      <c r="HJ66" s="152"/>
      <c r="HK66" s="152"/>
      <c r="HL66" s="152"/>
      <c r="HM66" s="152"/>
      <c r="HN66" s="152"/>
      <c r="HO66" s="152"/>
      <c r="HP66" s="152"/>
      <c r="HQ66" s="152"/>
      <c r="HR66" s="152"/>
      <c r="HS66" s="152"/>
      <c r="HT66" s="152"/>
      <c r="HU66" s="152"/>
      <c r="HV66" s="152"/>
      <c r="HW66" s="152"/>
      <c r="HX66" s="152"/>
      <c r="HY66" s="152"/>
      <c r="HZ66" s="152"/>
    </row>
    <row r="67" spans="1:234" ht="14.1" customHeight="1">
      <c r="A67" s="243" t="s">
        <v>24</v>
      </c>
      <c r="B67" s="159"/>
      <c r="C67" s="159"/>
      <c r="D67" s="159"/>
      <c r="E67" s="159"/>
      <c r="F67" s="159"/>
      <c r="G67" s="159"/>
      <c r="H67" s="159"/>
      <c r="I67" s="161"/>
      <c r="J67" s="160"/>
      <c r="K67" s="185" t="e">
        <f>SUM(K64:K66)</f>
        <v>#REF!</v>
      </c>
      <c r="L67" s="185" t="e">
        <f>SUM(L64:L66)</f>
        <v>#REF!</v>
      </c>
      <c r="M67" s="185" t="e">
        <f>SUM(M64:M66)</f>
        <v>#REF!</v>
      </c>
      <c r="N67" s="185" t="e">
        <f>SUM(N64:N66)</f>
        <v>#REF!</v>
      </c>
    </row>
    <row r="68" spans="1:234" ht="22.5" customHeight="1">
      <c r="A68" s="207" t="s">
        <v>103</v>
      </c>
      <c r="B68" s="208"/>
      <c r="C68" s="208"/>
      <c r="D68" s="208"/>
      <c r="E68" s="208"/>
      <c r="F68" s="208"/>
      <c r="G68" s="166"/>
      <c r="H68" s="166"/>
      <c r="I68" s="166"/>
      <c r="J68" s="234"/>
      <c r="K68" s="235"/>
      <c r="L68" s="235"/>
      <c r="M68" s="235"/>
      <c r="N68" s="235"/>
    </row>
    <row r="69" spans="1:234">
      <c r="A69" s="207" t="s">
        <v>104</v>
      </c>
      <c r="B69" s="208"/>
      <c r="C69" s="208"/>
      <c r="D69" s="208"/>
      <c r="E69" s="208"/>
      <c r="F69" s="208"/>
      <c r="G69" s="166"/>
      <c r="H69" s="166"/>
      <c r="I69" s="166"/>
      <c r="J69" s="283" t="s">
        <v>75</v>
      </c>
      <c r="K69" s="173" t="s">
        <v>70</v>
      </c>
      <c r="L69" s="173" t="s">
        <v>70</v>
      </c>
      <c r="M69" s="173" t="s">
        <v>70</v>
      </c>
      <c r="N69" s="173" t="s">
        <v>70</v>
      </c>
    </row>
    <row r="70" spans="1:234">
      <c r="A70" s="226" t="s">
        <v>105</v>
      </c>
      <c r="B70" s="242"/>
      <c r="C70" s="242"/>
      <c r="D70" s="165"/>
      <c r="E70" s="165"/>
      <c r="F70" s="165"/>
      <c r="G70" s="165"/>
      <c r="H70" s="165"/>
      <c r="I70" s="344"/>
      <c r="J70" s="165"/>
      <c r="K70" s="344"/>
      <c r="L70" s="344"/>
      <c r="M70" s="344"/>
      <c r="N70" s="225"/>
    </row>
    <row r="71" spans="1:234" ht="12.75" customHeight="1">
      <c r="A71" s="264" t="s">
        <v>7</v>
      </c>
      <c r="B71" s="128" t="s">
        <v>153</v>
      </c>
      <c r="C71" s="128"/>
      <c r="D71" s="128"/>
      <c r="E71" s="1260" t="s">
        <v>154</v>
      </c>
      <c r="F71" s="1261"/>
      <c r="G71" s="1261"/>
      <c r="H71" s="1262"/>
      <c r="I71" s="306" t="e">
        <f>#REF!</f>
        <v>#REF!</v>
      </c>
      <c r="J71" s="240" t="e">
        <f>#REF!</f>
        <v>#REF!</v>
      </c>
      <c r="K71" s="241" t="e">
        <f t="shared" ref="K71:K80" si="4">$J71*$K$17</f>
        <v>#REF!</v>
      </c>
      <c r="L71" s="241" t="e">
        <f t="shared" ref="L71:L80" si="5">$J71*$L$17</f>
        <v>#REF!</v>
      </c>
      <c r="M71" s="241" t="e">
        <f t="shared" ref="M71:M80" si="6">$J71*$M$17</f>
        <v>#REF!</v>
      </c>
      <c r="N71" s="241" t="e">
        <f>$J71*$N$17</f>
        <v>#REF!</v>
      </c>
    </row>
    <row r="72" spans="1:234" ht="14.1" customHeight="1">
      <c r="A72" s="277" t="s">
        <v>9</v>
      </c>
      <c r="B72" s="178" t="s">
        <v>155</v>
      </c>
      <c r="C72" s="179"/>
      <c r="D72" s="179"/>
      <c r="E72" s="1263"/>
      <c r="F72" s="1264"/>
      <c r="G72" s="1264"/>
      <c r="H72" s="1265"/>
      <c r="I72" s="307" t="e">
        <f>#REF!</f>
        <v>#REF!</v>
      </c>
      <c r="J72" s="167" t="e">
        <f>#REF!</f>
        <v>#REF!</v>
      </c>
      <c r="K72" s="184" t="e">
        <f t="shared" si="4"/>
        <v>#REF!</v>
      </c>
      <c r="L72" s="184" t="e">
        <f t="shared" si="5"/>
        <v>#REF!</v>
      </c>
      <c r="M72" s="184" t="e">
        <f t="shared" si="6"/>
        <v>#REF!</v>
      </c>
      <c r="N72" s="184" t="e">
        <f>$J72*$N$17</f>
        <v>#REF!</v>
      </c>
    </row>
    <row r="73" spans="1:234" ht="14.1" customHeight="1">
      <c r="A73" s="280" t="s">
        <v>11</v>
      </c>
      <c r="B73" s="193" t="s">
        <v>132</v>
      </c>
      <c r="C73" s="194"/>
      <c r="D73" s="194"/>
      <c r="E73" s="1263"/>
      <c r="F73" s="1264"/>
      <c r="G73" s="1264"/>
      <c r="H73" s="1265"/>
      <c r="I73" s="306" t="e">
        <f>#REF!</f>
        <v>#REF!</v>
      </c>
      <c r="J73" s="279" t="e">
        <f>#REF!</f>
        <v>#REF!</v>
      </c>
      <c r="K73" s="304" t="e">
        <f t="shared" si="4"/>
        <v>#REF!</v>
      </c>
      <c r="L73" s="304" t="e">
        <f t="shared" si="5"/>
        <v>#REF!</v>
      </c>
      <c r="M73" s="304" t="e">
        <f t="shared" si="6"/>
        <v>#REF!</v>
      </c>
      <c r="N73" s="184" t="e">
        <f>$J73*$N$17</f>
        <v>#REF!</v>
      </c>
    </row>
    <row r="74" spans="1:234" ht="14.1" customHeight="1">
      <c r="A74" s="277" t="s">
        <v>13</v>
      </c>
      <c r="B74" s="178" t="s">
        <v>133</v>
      </c>
      <c r="C74" s="179"/>
      <c r="D74" s="179"/>
      <c r="E74" s="1263"/>
      <c r="F74" s="1264"/>
      <c r="G74" s="1264"/>
      <c r="H74" s="1265"/>
      <c r="I74" s="308" t="e">
        <f>#REF!</f>
        <v>#REF!</v>
      </c>
      <c r="J74" s="167" t="e">
        <f>#REF!</f>
        <v>#REF!</v>
      </c>
      <c r="K74" s="184" t="e">
        <f t="shared" si="4"/>
        <v>#REF!</v>
      </c>
      <c r="L74" s="184" t="e">
        <f t="shared" si="5"/>
        <v>#REF!</v>
      </c>
      <c r="M74" s="184" t="e">
        <f t="shared" si="6"/>
        <v>#REF!</v>
      </c>
      <c r="N74" s="184" t="e">
        <f>$J74*$N$17</f>
        <v>#REF!</v>
      </c>
    </row>
    <row r="75" spans="1:234" ht="12.75" customHeight="1">
      <c r="A75" s="280" t="s">
        <v>15</v>
      </c>
      <c r="B75" s="193" t="s">
        <v>134</v>
      </c>
      <c r="C75" s="194"/>
      <c r="D75" s="194"/>
      <c r="E75" s="1263"/>
      <c r="F75" s="1264"/>
      <c r="G75" s="1264"/>
      <c r="H75" s="1265"/>
      <c r="I75" s="306" t="e">
        <f>#REF!</f>
        <v>#REF!</v>
      </c>
      <c r="J75" s="281" t="e">
        <f>#REF!</f>
        <v>#REF!</v>
      </c>
      <c r="K75" s="305" t="e">
        <f t="shared" si="4"/>
        <v>#REF!</v>
      </c>
      <c r="L75" s="304" t="e">
        <f>J75*$L$17</f>
        <v>#REF!</v>
      </c>
      <c r="M75" s="305" t="e">
        <f t="shared" si="6"/>
        <v>#REF!</v>
      </c>
      <c r="N75" s="304" t="e">
        <f>J75*$N$17</f>
        <v>#REF!</v>
      </c>
    </row>
    <row r="76" spans="1:234" ht="14.1" customHeight="1">
      <c r="A76" s="277" t="s">
        <v>18</v>
      </c>
      <c r="B76" s="193" t="s">
        <v>61</v>
      </c>
      <c r="C76" s="194"/>
      <c r="D76" s="194" t="s">
        <v>156</v>
      </c>
      <c r="E76" s="1266"/>
      <c r="F76" s="1267"/>
      <c r="G76" s="1267"/>
      <c r="H76" s="1268"/>
      <c r="I76" s="309" t="e">
        <f>#REF!</f>
        <v>#REF!</v>
      </c>
      <c r="J76" s="310" t="e">
        <f>#REF!</f>
        <v>#REF!</v>
      </c>
      <c r="K76" s="305" t="e">
        <f t="shared" si="4"/>
        <v>#REF!</v>
      </c>
      <c r="L76" s="184" t="e">
        <f t="shared" si="5"/>
        <v>#REF!</v>
      </c>
      <c r="M76" s="184" t="e">
        <f t="shared" si="6"/>
        <v>#REF!</v>
      </c>
      <c r="N76" s="184" t="e">
        <f>$J76*$N$17</f>
        <v>#REF!</v>
      </c>
    </row>
    <row r="77" spans="1:234" ht="13.5" customHeight="1">
      <c r="A77" s="312" t="s">
        <v>157</v>
      </c>
      <c r="B77" s="311"/>
      <c r="C77" s="311"/>
      <c r="D77" s="311"/>
      <c r="E77" s="311"/>
      <c r="F77" s="311"/>
      <c r="G77" s="311"/>
      <c r="H77" s="311"/>
      <c r="I77" s="311"/>
      <c r="J77" s="222" t="e">
        <f>SUM(J71:J76)</f>
        <v>#REF!</v>
      </c>
      <c r="K77" s="184" t="e">
        <f t="shared" si="4"/>
        <v>#REF!</v>
      </c>
      <c r="L77" s="184" t="e">
        <f t="shared" si="5"/>
        <v>#REF!</v>
      </c>
      <c r="M77" s="184" t="e">
        <f t="shared" si="6"/>
        <v>#REF!</v>
      </c>
      <c r="N77" s="184" t="e">
        <f>$J77*$N$17</f>
        <v>#REF!</v>
      </c>
    </row>
    <row r="78" spans="1:234" ht="13.5" customHeight="1">
      <c r="A78" s="277" t="s">
        <v>20</v>
      </c>
      <c r="B78" s="162" t="s">
        <v>158</v>
      </c>
      <c r="C78" s="163"/>
      <c r="D78" s="132"/>
      <c r="E78" s="132"/>
      <c r="F78" s="132"/>
      <c r="G78" s="132"/>
      <c r="H78" s="132"/>
      <c r="I78" s="132"/>
      <c r="J78" s="223" t="e">
        <f>(J77-J75)*(1/12+1/12+1/12/3)</f>
        <v>#REF!</v>
      </c>
      <c r="K78" s="184" t="e">
        <f t="shared" si="4"/>
        <v>#REF!</v>
      </c>
      <c r="L78" s="184" t="e">
        <f t="shared" si="5"/>
        <v>#REF!</v>
      </c>
      <c r="M78" s="184" t="e">
        <f t="shared" si="6"/>
        <v>#REF!</v>
      </c>
      <c r="N78" s="184" t="e">
        <f>$J78*$N$17</f>
        <v>#REF!</v>
      </c>
    </row>
    <row r="79" spans="1:234" ht="13.5" customHeight="1">
      <c r="A79" s="312" t="s">
        <v>159</v>
      </c>
      <c r="B79" s="311"/>
      <c r="C79" s="311"/>
      <c r="D79" s="311"/>
      <c r="E79" s="311"/>
      <c r="F79" s="311"/>
      <c r="G79" s="311"/>
      <c r="H79" s="311"/>
      <c r="I79" s="311"/>
      <c r="J79" s="223" t="e">
        <f>SUM(J77:J78)</f>
        <v>#REF!</v>
      </c>
      <c r="K79" s="184" t="e">
        <f t="shared" si="4"/>
        <v>#REF!</v>
      </c>
      <c r="L79" s="184" t="e">
        <f t="shared" si="5"/>
        <v>#REF!</v>
      </c>
      <c r="M79" s="184" t="e">
        <f t="shared" si="6"/>
        <v>#REF!</v>
      </c>
      <c r="N79" s="184" t="e">
        <f>$J79*$N$17</f>
        <v>#REF!</v>
      </c>
    </row>
    <row r="80" spans="1:234" ht="13.5" customHeight="1">
      <c r="A80" s="277" t="s">
        <v>22</v>
      </c>
      <c r="B80" s="164" t="s">
        <v>160</v>
      </c>
      <c r="C80" s="165"/>
      <c r="D80" s="133"/>
      <c r="E80" s="133"/>
      <c r="F80" s="133"/>
      <c r="G80" s="133"/>
      <c r="H80" s="133"/>
      <c r="I80" s="133"/>
      <c r="J80" s="223" t="e">
        <f>J79*J38</f>
        <v>#REF!</v>
      </c>
      <c r="K80" s="184" t="e">
        <f t="shared" si="4"/>
        <v>#REF!</v>
      </c>
      <c r="L80" s="184" t="e">
        <f t="shared" si="5"/>
        <v>#REF!</v>
      </c>
      <c r="M80" s="184" t="e">
        <f t="shared" si="6"/>
        <v>#REF!</v>
      </c>
      <c r="N80" s="184" t="e">
        <f>$J80*$N$17</f>
        <v>#REF!</v>
      </c>
    </row>
    <row r="81" spans="1:234" ht="14.1" customHeight="1">
      <c r="A81" s="211" t="s">
        <v>24</v>
      </c>
      <c r="B81" s="164"/>
      <c r="C81" s="165"/>
      <c r="D81" s="220"/>
      <c r="E81" s="220"/>
      <c r="F81" s="220"/>
      <c r="G81" s="220"/>
      <c r="H81" s="220"/>
      <c r="I81" s="221"/>
      <c r="J81" s="224" t="e">
        <f>SUM(J71:J76,J78,J80)</f>
        <v>#REF!</v>
      </c>
      <c r="K81" s="187" t="e">
        <f>SUM(K71:K76,K78,K80)</f>
        <v>#REF!</v>
      </c>
      <c r="L81" s="187" t="e">
        <f>SUM(L71:L76,L78,L80)</f>
        <v>#REF!</v>
      </c>
      <c r="M81" s="187" t="e">
        <f>SUM(M71:M76,M78,M80)</f>
        <v>#REF!</v>
      </c>
      <c r="N81" s="187" t="e">
        <f>SUM(N71:N76,N78,N80)</f>
        <v>#REF!</v>
      </c>
      <c r="O81" s="151"/>
      <c r="P81" s="151"/>
      <c r="Q81" s="151"/>
      <c r="R81" s="151"/>
      <c r="S81" s="151"/>
      <c r="T81" s="151"/>
      <c r="U81" s="151"/>
      <c r="V81" s="151"/>
      <c r="W81" s="151"/>
      <c r="X81" s="151"/>
      <c r="Y81" s="151"/>
      <c r="Z81" s="151"/>
      <c r="AA81" s="151"/>
      <c r="AB81" s="151"/>
      <c r="AC81" s="151"/>
      <c r="AD81" s="151"/>
      <c r="AE81" s="151"/>
      <c r="AF81" s="151"/>
      <c r="AG81" s="151"/>
      <c r="AH81" s="151"/>
      <c r="AI81" s="151"/>
      <c r="AJ81" s="151"/>
      <c r="AK81" s="151"/>
      <c r="AL81" s="151"/>
      <c r="AM81" s="151"/>
      <c r="AN81" s="151"/>
      <c r="AO81" s="151"/>
      <c r="AP81" s="151"/>
      <c r="AQ81" s="151"/>
      <c r="AR81" s="151"/>
      <c r="AS81" s="151"/>
      <c r="AT81" s="151"/>
      <c r="AU81" s="151"/>
      <c r="AV81" s="151"/>
      <c r="AW81" s="151"/>
      <c r="AX81" s="151"/>
      <c r="AY81" s="151"/>
      <c r="AZ81" s="151"/>
      <c r="BA81" s="151"/>
      <c r="BB81" s="151"/>
      <c r="BC81" s="151"/>
      <c r="BD81" s="151"/>
      <c r="BE81" s="151"/>
      <c r="BF81" s="151"/>
      <c r="BG81" s="151"/>
      <c r="BH81" s="151"/>
      <c r="BI81" s="151"/>
      <c r="BJ81" s="151"/>
      <c r="BK81" s="151"/>
      <c r="BL81" s="151"/>
      <c r="BM81" s="151"/>
      <c r="BN81" s="151"/>
      <c r="BO81" s="151"/>
      <c r="BP81" s="151"/>
      <c r="BQ81" s="151"/>
      <c r="BR81" s="151"/>
      <c r="BS81" s="151"/>
      <c r="BT81" s="151"/>
      <c r="BU81" s="151"/>
      <c r="BV81" s="151"/>
      <c r="BW81" s="151"/>
      <c r="BX81" s="151"/>
      <c r="BY81" s="151"/>
      <c r="BZ81" s="151"/>
      <c r="CA81" s="151"/>
      <c r="CB81" s="151"/>
      <c r="CC81" s="151"/>
      <c r="CD81" s="151"/>
      <c r="CE81" s="151"/>
      <c r="CF81" s="151"/>
      <c r="CG81" s="152"/>
      <c r="CH81" s="152"/>
      <c r="CI81" s="152"/>
      <c r="CJ81" s="152"/>
      <c r="CK81" s="152"/>
      <c r="CL81" s="152"/>
      <c r="CM81" s="152"/>
      <c r="CN81" s="152"/>
      <c r="CO81" s="152"/>
      <c r="CP81" s="152"/>
      <c r="CQ81" s="152"/>
      <c r="CR81" s="152"/>
      <c r="CS81" s="152"/>
      <c r="CT81" s="152"/>
      <c r="CU81" s="152"/>
      <c r="CV81" s="152"/>
      <c r="CW81" s="152"/>
      <c r="CX81" s="152"/>
      <c r="CY81" s="152"/>
      <c r="CZ81" s="152"/>
      <c r="DA81" s="152"/>
      <c r="DB81" s="152"/>
      <c r="DC81" s="152"/>
      <c r="DD81" s="152"/>
      <c r="DE81" s="152"/>
      <c r="DF81" s="152"/>
      <c r="DG81" s="152"/>
      <c r="DH81" s="152"/>
      <c r="DI81" s="152"/>
      <c r="DJ81" s="152"/>
      <c r="DK81" s="152"/>
      <c r="DL81" s="152"/>
      <c r="DM81" s="152"/>
      <c r="DN81" s="152"/>
      <c r="DO81" s="152"/>
      <c r="DP81" s="152"/>
      <c r="DQ81" s="152"/>
      <c r="DR81" s="152"/>
      <c r="DS81" s="152"/>
      <c r="DT81" s="152"/>
      <c r="DU81" s="152"/>
      <c r="DV81" s="152"/>
      <c r="DW81" s="152"/>
      <c r="DX81" s="152"/>
      <c r="DY81" s="152"/>
      <c r="DZ81" s="152"/>
      <c r="EA81" s="152"/>
      <c r="EB81" s="152"/>
      <c r="EC81" s="152"/>
      <c r="ED81" s="152"/>
      <c r="EE81" s="152"/>
      <c r="EF81" s="152"/>
      <c r="EG81" s="152"/>
      <c r="EH81" s="152"/>
      <c r="EI81" s="152"/>
      <c r="EJ81" s="152"/>
      <c r="EK81" s="152"/>
      <c r="EL81" s="152"/>
      <c r="EM81" s="152"/>
      <c r="EN81" s="152"/>
      <c r="EO81" s="152"/>
      <c r="EP81" s="152"/>
      <c r="EQ81" s="152"/>
      <c r="ER81" s="152"/>
      <c r="ES81" s="152"/>
      <c r="ET81" s="152"/>
      <c r="EU81" s="152"/>
      <c r="EV81" s="152"/>
      <c r="EW81" s="152"/>
      <c r="EX81" s="152"/>
      <c r="EY81" s="152"/>
      <c r="EZ81" s="152"/>
      <c r="FA81" s="152"/>
      <c r="FB81" s="152"/>
      <c r="FC81" s="152"/>
      <c r="FD81" s="152"/>
      <c r="FE81" s="152"/>
      <c r="FF81" s="152"/>
      <c r="FG81" s="152"/>
      <c r="FH81" s="152"/>
      <c r="FI81" s="152"/>
      <c r="FJ81" s="152"/>
      <c r="FK81" s="152"/>
      <c r="FL81" s="152"/>
      <c r="FM81" s="152"/>
      <c r="FN81" s="152"/>
      <c r="FO81" s="152"/>
      <c r="FP81" s="152"/>
      <c r="FQ81" s="152"/>
      <c r="FR81" s="152"/>
      <c r="FS81" s="152"/>
      <c r="FT81" s="152"/>
      <c r="FU81" s="152"/>
      <c r="FV81" s="152"/>
      <c r="FW81" s="152"/>
      <c r="FX81" s="152"/>
      <c r="FY81" s="152"/>
      <c r="FZ81" s="152"/>
      <c r="GA81" s="152"/>
      <c r="GB81" s="152"/>
      <c r="GC81" s="152"/>
      <c r="GD81" s="152"/>
      <c r="GE81" s="152"/>
      <c r="GF81" s="152"/>
      <c r="GG81" s="152"/>
      <c r="GH81" s="152"/>
      <c r="GI81" s="152"/>
      <c r="GJ81" s="152"/>
      <c r="GK81" s="152"/>
      <c r="GL81" s="152"/>
      <c r="GM81" s="152"/>
      <c r="GN81" s="152"/>
      <c r="GO81" s="152"/>
      <c r="GP81" s="152"/>
      <c r="GQ81" s="152"/>
      <c r="GR81" s="152"/>
      <c r="GS81" s="152"/>
      <c r="GT81" s="152"/>
      <c r="GU81" s="152"/>
      <c r="GV81" s="152"/>
      <c r="GW81" s="152"/>
      <c r="GX81" s="152"/>
      <c r="GY81" s="152"/>
      <c r="GZ81" s="152"/>
      <c r="HA81" s="152"/>
      <c r="HB81" s="152"/>
      <c r="HC81" s="152"/>
      <c r="HD81" s="152"/>
      <c r="HE81" s="152"/>
      <c r="HF81" s="152"/>
      <c r="HG81" s="152"/>
      <c r="HH81" s="152"/>
      <c r="HI81" s="152"/>
      <c r="HJ81" s="152"/>
      <c r="HK81" s="152"/>
      <c r="HL81" s="152"/>
      <c r="HM81" s="152"/>
      <c r="HN81" s="152"/>
      <c r="HO81" s="152"/>
      <c r="HP81" s="152"/>
      <c r="HQ81" s="152"/>
      <c r="HR81" s="152"/>
      <c r="HS81" s="152"/>
      <c r="HT81" s="152"/>
      <c r="HU81" s="152"/>
      <c r="HV81" s="152"/>
      <c r="HW81" s="152"/>
      <c r="HX81" s="152"/>
      <c r="HY81" s="152"/>
      <c r="HZ81" s="152"/>
    </row>
    <row r="82" spans="1:234">
      <c r="A82" s="145" t="s">
        <v>161</v>
      </c>
      <c r="B82" s="145"/>
      <c r="C82" s="145"/>
      <c r="D82" s="145"/>
      <c r="E82" s="145"/>
      <c r="F82" s="145"/>
      <c r="G82" s="146"/>
      <c r="H82" s="146"/>
      <c r="I82" s="146"/>
      <c r="J82" s="147"/>
      <c r="K82" s="141" t="s">
        <v>70</v>
      </c>
      <c r="L82" s="141" t="s">
        <v>70</v>
      </c>
      <c r="M82" s="141" t="s">
        <v>70</v>
      </c>
      <c r="N82" s="141" t="s">
        <v>70</v>
      </c>
    </row>
    <row r="83" spans="1:234">
      <c r="A83" s="211" t="s">
        <v>107</v>
      </c>
      <c r="B83" s="212"/>
      <c r="C83" s="165"/>
      <c r="D83" s="165"/>
      <c r="E83" s="165"/>
      <c r="F83" s="165"/>
      <c r="G83" s="165"/>
      <c r="H83" s="165"/>
      <c r="I83" s="344"/>
      <c r="J83" s="165"/>
      <c r="K83" s="344"/>
      <c r="L83" s="344"/>
      <c r="M83" s="344"/>
      <c r="N83" s="225"/>
    </row>
    <row r="84" spans="1:234" ht="12.75" customHeight="1">
      <c r="A84" s="264" t="s">
        <v>7</v>
      </c>
      <c r="B84" s="158" t="s">
        <v>108</v>
      </c>
      <c r="C84" s="158"/>
      <c r="D84" s="158"/>
      <c r="E84" s="158"/>
      <c r="F84" s="158"/>
      <c r="G84" s="158"/>
      <c r="H84" s="158"/>
      <c r="I84" s="238"/>
      <c r="J84" s="158"/>
      <c r="K84" s="239"/>
      <c r="L84" s="239"/>
      <c r="M84" s="239"/>
      <c r="N84" s="239"/>
    </row>
    <row r="85" spans="1:234" ht="14.1" customHeight="1">
      <c r="A85" s="211" t="s">
        <v>24</v>
      </c>
      <c r="B85" s="205"/>
      <c r="C85" s="232"/>
      <c r="D85" s="232"/>
      <c r="E85" s="232"/>
      <c r="F85" s="232"/>
      <c r="G85" s="232"/>
      <c r="H85" s="232"/>
      <c r="I85" s="168"/>
      <c r="J85" s="206"/>
      <c r="K85" s="233">
        <f>SUM(K84)</f>
        <v>0</v>
      </c>
      <c r="L85" s="233">
        <f>SUM(L84)</f>
        <v>0</v>
      </c>
      <c r="M85" s="233">
        <f>SUM(M84)</f>
        <v>0</v>
      </c>
      <c r="N85" s="233">
        <f>SUM(N84)</f>
        <v>0</v>
      </c>
      <c r="O85" s="151"/>
      <c r="P85" s="151"/>
      <c r="Q85" s="151"/>
      <c r="R85" s="151"/>
      <c r="S85" s="151"/>
      <c r="T85" s="151"/>
      <c r="U85" s="151"/>
      <c r="V85" s="151"/>
      <c r="W85" s="151"/>
      <c r="X85" s="151"/>
      <c r="Y85" s="151"/>
      <c r="Z85" s="151"/>
      <c r="AA85" s="151"/>
      <c r="AB85" s="151"/>
      <c r="AC85" s="151"/>
      <c r="AD85" s="151"/>
      <c r="AE85" s="151"/>
      <c r="AF85" s="151"/>
      <c r="AG85" s="151"/>
      <c r="AH85" s="151"/>
      <c r="AI85" s="151"/>
      <c r="AJ85" s="151"/>
      <c r="AK85" s="151"/>
      <c r="AL85" s="151"/>
      <c r="AM85" s="151"/>
      <c r="AN85" s="151"/>
      <c r="AO85" s="151"/>
      <c r="AP85" s="151"/>
      <c r="AQ85" s="151"/>
      <c r="AR85" s="151"/>
      <c r="AS85" s="151"/>
      <c r="AT85" s="151"/>
      <c r="AU85" s="151"/>
      <c r="AV85" s="151"/>
      <c r="AW85" s="151"/>
      <c r="AX85" s="151"/>
      <c r="AY85" s="151"/>
      <c r="AZ85" s="151"/>
      <c r="BA85" s="151"/>
      <c r="BB85" s="151"/>
      <c r="BC85" s="151"/>
      <c r="BD85" s="151"/>
      <c r="BE85" s="151"/>
      <c r="BF85" s="151"/>
      <c r="BG85" s="151"/>
      <c r="BH85" s="151"/>
      <c r="BI85" s="151"/>
      <c r="BJ85" s="151"/>
      <c r="BK85" s="151"/>
      <c r="BL85" s="151"/>
      <c r="BM85" s="151"/>
      <c r="BN85" s="151"/>
      <c r="BO85" s="151"/>
      <c r="BP85" s="151"/>
      <c r="BQ85" s="151"/>
      <c r="BR85" s="151"/>
      <c r="BS85" s="151"/>
      <c r="BT85" s="151"/>
      <c r="BU85" s="151"/>
      <c r="BV85" s="151"/>
      <c r="BW85" s="151"/>
      <c r="BX85" s="151"/>
      <c r="BY85" s="151"/>
      <c r="BZ85" s="151"/>
      <c r="CA85" s="151"/>
      <c r="CB85" s="151"/>
      <c r="CC85" s="151"/>
      <c r="CD85" s="151"/>
      <c r="CE85" s="151"/>
      <c r="CF85" s="151"/>
      <c r="CG85" s="152"/>
      <c r="CH85" s="152"/>
      <c r="CI85" s="152"/>
      <c r="CJ85" s="152"/>
      <c r="CK85" s="152"/>
      <c r="CL85" s="152"/>
      <c r="CM85" s="152"/>
      <c r="CN85" s="152"/>
      <c r="CO85" s="152"/>
      <c r="CP85" s="152"/>
      <c r="CQ85" s="152"/>
      <c r="CR85" s="152"/>
      <c r="CS85" s="152"/>
      <c r="CT85" s="152"/>
      <c r="CU85" s="152"/>
      <c r="CV85" s="152"/>
      <c r="CW85" s="152"/>
      <c r="CX85" s="152"/>
      <c r="CY85" s="152"/>
      <c r="CZ85" s="152"/>
      <c r="DA85" s="152"/>
      <c r="DB85" s="152"/>
      <c r="DC85" s="152"/>
      <c r="DD85" s="152"/>
      <c r="DE85" s="152"/>
      <c r="DF85" s="152"/>
      <c r="DG85" s="152"/>
      <c r="DH85" s="152"/>
      <c r="DI85" s="152"/>
      <c r="DJ85" s="152"/>
      <c r="DK85" s="152"/>
      <c r="DL85" s="152"/>
      <c r="DM85" s="152"/>
      <c r="DN85" s="152"/>
      <c r="DO85" s="152"/>
      <c r="DP85" s="152"/>
      <c r="DQ85" s="152"/>
      <c r="DR85" s="152"/>
      <c r="DS85" s="152"/>
      <c r="DT85" s="152"/>
      <c r="DU85" s="152"/>
      <c r="DV85" s="152"/>
      <c r="DW85" s="152"/>
      <c r="DX85" s="152"/>
      <c r="DY85" s="152"/>
      <c r="DZ85" s="152"/>
      <c r="EA85" s="152"/>
      <c r="EB85" s="152"/>
      <c r="EC85" s="152"/>
      <c r="ED85" s="152"/>
      <c r="EE85" s="152"/>
      <c r="EF85" s="152"/>
      <c r="EG85" s="152"/>
      <c r="EH85" s="152"/>
      <c r="EI85" s="152"/>
      <c r="EJ85" s="152"/>
      <c r="EK85" s="152"/>
      <c r="EL85" s="152"/>
      <c r="EM85" s="152"/>
      <c r="EN85" s="152"/>
      <c r="EO85" s="152"/>
      <c r="EP85" s="152"/>
      <c r="EQ85" s="152"/>
      <c r="ER85" s="152"/>
      <c r="ES85" s="152"/>
      <c r="ET85" s="152"/>
      <c r="EU85" s="152"/>
      <c r="EV85" s="152"/>
      <c r="EW85" s="152"/>
      <c r="EX85" s="152"/>
      <c r="EY85" s="152"/>
      <c r="EZ85" s="152"/>
      <c r="FA85" s="152"/>
      <c r="FB85" s="152"/>
      <c r="FC85" s="152"/>
      <c r="FD85" s="152"/>
      <c r="FE85" s="152"/>
      <c r="FF85" s="152"/>
      <c r="FG85" s="152"/>
      <c r="FH85" s="152"/>
      <c r="FI85" s="152"/>
      <c r="FJ85" s="152"/>
      <c r="FK85" s="152"/>
      <c r="FL85" s="152"/>
      <c r="FM85" s="152"/>
      <c r="FN85" s="152"/>
      <c r="FO85" s="152"/>
      <c r="FP85" s="152"/>
      <c r="FQ85" s="152"/>
      <c r="FR85" s="152"/>
      <c r="FS85" s="152"/>
      <c r="FT85" s="152"/>
      <c r="FU85" s="152"/>
      <c r="FV85" s="152"/>
      <c r="FW85" s="152"/>
      <c r="FX85" s="152"/>
      <c r="FY85" s="152"/>
      <c r="FZ85" s="152"/>
      <c r="GA85" s="152"/>
      <c r="GB85" s="152"/>
      <c r="GC85" s="152"/>
      <c r="GD85" s="152"/>
      <c r="GE85" s="152"/>
      <c r="GF85" s="152"/>
      <c r="GG85" s="152"/>
      <c r="GH85" s="152"/>
      <c r="GI85" s="152"/>
      <c r="GJ85" s="152"/>
      <c r="GK85" s="152"/>
      <c r="GL85" s="152"/>
      <c r="GM85" s="152"/>
      <c r="GN85" s="152"/>
      <c r="GO85" s="152"/>
      <c r="GP85" s="152"/>
      <c r="GQ85" s="152"/>
      <c r="GR85" s="152"/>
      <c r="GS85" s="152"/>
      <c r="GT85" s="152"/>
      <c r="GU85" s="152"/>
      <c r="GV85" s="152"/>
      <c r="GW85" s="152"/>
      <c r="GX85" s="152"/>
      <c r="GY85" s="152"/>
      <c r="GZ85" s="152"/>
      <c r="HA85" s="152"/>
      <c r="HB85" s="152"/>
      <c r="HC85" s="152"/>
      <c r="HD85" s="152"/>
      <c r="HE85" s="152"/>
      <c r="HF85" s="152"/>
      <c r="HG85" s="152"/>
      <c r="HH85" s="152"/>
      <c r="HI85" s="152"/>
      <c r="HJ85" s="152"/>
      <c r="HK85" s="152"/>
      <c r="HL85" s="152"/>
      <c r="HM85" s="152"/>
      <c r="HN85" s="152"/>
      <c r="HO85" s="152"/>
      <c r="HP85" s="152"/>
      <c r="HQ85" s="152"/>
      <c r="HR85" s="152"/>
      <c r="HS85" s="152"/>
      <c r="HT85" s="152"/>
      <c r="HU85" s="152"/>
      <c r="HV85" s="152"/>
      <c r="HW85" s="152"/>
      <c r="HX85" s="152"/>
      <c r="HY85" s="152"/>
      <c r="HZ85" s="152"/>
    </row>
    <row r="86" spans="1:234">
      <c r="A86" s="207" t="s">
        <v>109</v>
      </c>
      <c r="B86" s="208"/>
      <c r="C86" s="208"/>
      <c r="D86" s="208"/>
      <c r="E86" s="208"/>
      <c r="F86" s="208"/>
      <c r="G86" s="166"/>
      <c r="H86" s="166"/>
      <c r="I86" s="166"/>
      <c r="J86" s="234"/>
      <c r="K86" s="235" t="s">
        <v>70</v>
      </c>
      <c r="L86" s="235" t="s">
        <v>70</v>
      </c>
      <c r="M86" s="235" t="s">
        <v>70</v>
      </c>
      <c r="N86" s="235" t="s">
        <v>70</v>
      </c>
    </row>
    <row r="87" spans="1:234">
      <c r="A87" s="190" t="s">
        <v>110</v>
      </c>
      <c r="B87" s="179"/>
      <c r="C87" s="179"/>
      <c r="D87" s="164"/>
      <c r="E87" s="165"/>
      <c r="F87" s="165"/>
      <c r="G87" s="165"/>
      <c r="H87" s="165"/>
      <c r="I87" s="344"/>
      <c r="J87" s="165"/>
      <c r="K87" s="344"/>
      <c r="L87" s="344"/>
      <c r="M87" s="344"/>
      <c r="N87" s="344"/>
    </row>
    <row r="88" spans="1:234" ht="15" customHeight="1">
      <c r="A88" s="236" t="s">
        <v>105</v>
      </c>
      <c r="B88" s="158"/>
      <c r="C88" s="158"/>
      <c r="D88" s="158"/>
      <c r="E88" s="158"/>
      <c r="F88" s="158"/>
      <c r="G88" s="158"/>
      <c r="H88" s="158"/>
      <c r="I88" s="158"/>
      <c r="J88" s="158"/>
      <c r="K88" s="237" t="e">
        <f>K81</f>
        <v>#REF!</v>
      </c>
      <c r="L88" s="237" t="e">
        <f>L81</f>
        <v>#REF!</v>
      </c>
      <c r="M88" s="237" t="e">
        <f>M81</f>
        <v>#REF!</v>
      </c>
      <c r="N88" s="237" t="e">
        <f>N81</f>
        <v>#REF!</v>
      </c>
      <c r="O88" s="151"/>
      <c r="P88" s="151"/>
      <c r="Q88" s="151"/>
      <c r="R88" s="151"/>
      <c r="S88" s="151"/>
      <c r="T88" s="151"/>
      <c r="U88" s="151"/>
      <c r="V88" s="151"/>
      <c r="W88" s="151"/>
      <c r="X88" s="151"/>
      <c r="Y88" s="151"/>
      <c r="Z88" s="151"/>
      <c r="AA88" s="151"/>
      <c r="AB88" s="151"/>
      <c r="AC88" s="151"/>
      <c r="AD88" s="151"/>
      <c r="AE88" s="151"/>
      <c r="AF88" s="151"/>
      <c r="AG88" s="151"/>
      <c r="AH88" s="151"/>
      <c r="AI88" s="151"/>
      <c r="AJ88" s="151"/>
      <c r="AK88" s="151"/>
      <c r="AL88" s="151"/>
      <c r="AM88" s="151"/>
      <c r="AN88" s="151"/>
      <c r="AO88" s="151"/>
      <c r="AP88" s="151"/>
      <c r="AQ88" s="151"/>
      <c r="AR88" s="151"/>
      <c r="AS88" s="151"/>
      <c r="AT88" s="151"/>
      <c r="AU88" s="151"/>
      <c r="AV88" s="151"/>
      <c r="AW88" s="151"/>
      <c r="AX88" s="151"/>
      <c r="AY88" s="151"/>
      <c r="AZ88" s="151"/>
      <c r="BA88" s="151"/>
      <c r="BB88" s="151"/>
      <c r="BC88" s="151"/>
      <c r="BD88" s="151"/>
      <c r="BE88" s="151"/>
      <c r="BF88" s="151"/>
      <c r="BG88" s="151"/>
      <c r="BH88" s="151"/>
      <c r="BI88" s="151"/>
      <c r="BJ88" s="151"/>
      <c r="BK88" s="151"/>
      <c r="BL88" s="151"/>
      <c r="BM88" s="151"/>
      <c r="BN88" s="151"/>
      <c r="BO88" s="151"/>
      <c r="BP88" s="151"/>
      <c r="BQ88" s="151"/>
      <c r="BR88" s="151"/>
      <c r="BS88" s="151"/>
      <c r="BT88" s="151"/>
      <c r="BU88" s="151"/>
      <c r="BV88" s="151"/>
      <c r="BW88" s="151"/>
      <c r="BX88" s="151"/>
      <c r="BY88" s="151"/>
      <c r="BZ88" s="151"/>
      <c r="CA88" s="151"/>
      <c r="CB88" s="151"/>
      <c r="CC88" s="151"/>
      <c r="CD88" s="151"/>
      <c r="CE88" s="151"/>
      <c r="CF88" s="151"/>
      <c r="CG88" s="152"/>
      <c r="CH88" s="152"/>
      <c r="CI88" s="152"/>
      <c r="CJ88" s="152"/>
      <c r="CK88" s="152"/>
      <c r="CL88" s="152"/>
      <c r="CM88" s="152"/>
      <c r="CN88" s="152"/>
      <c r="CO88" s="152"/>
      <c r="CP88" s="152"/>
      <c r="CQ88" s="152"/>
      <c r="CR88" s="152"/>
      <c r="CS88" s="152"/>
      <c r="CT88" s="152"/>
      <c r="CU88" s="152"/>
      <c r="CV88" s="152"/>
      <c r="CW88" s="152"/>
      <c r="CX88" s="152"/>
      <c r="CY88" s="152"/>
      <c r="CZ88" s="152"/>
      <c r="DA88" s="152"/>
      <c r="DB88" s="152"/>
      <c r="DC88" s="152"/>
      <c r="DD88" s="152"/>
      <c r="DE88" s="152"/>
      <c r="DF88" s="152"/>
      <c r="DG88" s="152"/>
      <c r="DH88" s="152"/>
      <c r="DI88" s="152"/>
      <c r="DJ88" s="152"/>
      <c r="DK88" s="152"/>
      <c r="DL88" s="152"/>
      <c r="DM88" s="152"/>
      <c r="DN88" s="152"/>
      <c r="DO88" s="152"/>
      <c r="DP88" s="152"/>
      <c r="DQ88" s="152"/>
      <c r="DR88" s="152"/>
      <c r="DS88" s="152"/>
      <c r="DT88" s="152"/>
      <c r="DU88" s="152"/>
      <c r="DV88" s="152"/>
      <c r="DW88" s="152"/>
      <c r="DX88" s="152"/>
      <c r="DY88" s="152"/>
      <c r="DZ88" s="152"/>
      <c r="EA88" s="152"/>
      <c r="EB88" s="152"/>
      <c r="EC88" s="152"/>
      <c r="ED88" s="152"/>
      <c r="EE88" s="152"/>
      <c r="EF88" s="152"/>
      <c r="EG88" s="152"/>
      <c r="EH88" s="152"/>
      <c r="EI88" s="152"/>
      <c r="EJ88" s="152"/>
      <c r="EK88" s="152"/>
      <c r="EL88" s="152"/>
      <c r="EM88" s="152"/>
      <c r="EN88" s="152"/>
      <c r="EO88" s="152"/>
      <c r="EP88" s="152"/>
      <c r="EQ88" s="152"/>
      <c r="ER88" s="152"/>
      <c r="ES88" s="152"/>
      <c r="ET88" s="152"/>
      <c r="EU88" s="152"/>
      <c r="EV88" s="152"/>
      <c r="EW88" s="152"/>
      <c r="EX88" s="152"/>
      <c r="EY88" s="152"/>
      <c r="EZ88" s="152"/>
      <c r="FA88" s="152"/>
      <c r="FB88" s="152"/>
      <c r="FC88" s="152"/>
      <c r="FD88" s="152"/>
      <c r="FE88" s="152"/>
      <c r="FF88" s="152"/>
      <c r="FG88" s="152"/>
      <c r="FH88" s="152"/>
      <c r="FI88" s="152"/>
      <c r="FJ88" s="152"/>
      <c r="FK88" s="152"/>
      <c r="FL88" s="152"/>
      <c r="FM88" s="152"/>
      <c r="FN88" s="152"/>
      <c r="FO88" s="152"/>
      <c r="FP88" s="152"/>
      <c r="FQ88" s="152"/>
      <c r="FR88" s="152"/>
      <c r="FS88" s="152"/>
      <c r="FT88" s="152"/>
      <c r="FU88" s="152"/>
      <c r="FV88" s="152"/>
      <c r="FW88" s="152"/>
      <c r="FX88" s="152"/>
      <c r="FY88" s="152"/>
      <c r="FZ88" s="152"/>
      <c r="GA88" s="152"/>
      <c r="GB88" s="152"/>
      <c r="GC88" s="152"/>
      <c r="GD88" s="152"/>
      <c r="GE88" s="152"/>
      <c r="GF88" s="152"/>
      <c r="GG88" s="152"/>
      <c r="GH88" s="152"/>
      <c r="GI88" s="152"/>
      <c r="GJ88" s="152"/>
      <c r="GK88" s="152"/>
      <c r="GL88" s="152"/>
      <c r="GM88" s="152"/>
      <c r="GN88" s="152"/>
      <c r="GO88" s="152"/>
      <c r="GP88" s="152"/>
      <c r="GQ88" s="152"/>
      <c r="GR88" s="152"/>
      <c r="GS88" s="152"/>
      <c r="GT88" s="152"/>
      <c r="GU88" s="152"/>
      <c r="GV88" s="152"/>
      <c r="GW88" s="152"/>
      <c r="GX88" s="152"/>
      <c r="GY88" s="152"/>
      <c r="GZ88" s="152"/>
      <c r="HA88" s="152"/>
      <c r="HB88" s="152"/>
      <c r="HC88" s="152"/>
      <c r="HD88" s="152"/>
      <c r="HE88" s="152"/>
      <c r="HF88" s="152"/>
      <c r="HG88" s="152"/>
      <c r="HH88" s="152"/>
      <c r="HI88" s="152"/>
      <c r="HJ88" s="152"/>
      <c r="HK88" s="152"/>
      <c r="HL88" s="152"/>
      <c r="HM88" s="152"/>
      <c r="HN88" s="152"/>
      <c r="HO88" s="152"/>
      <c r="HP88" s="152"/>
      <c r="HQ88" s="152"/>
      <c r="HR88" s="152"/>
      <c r="HS88" s="152"/>
      <c r="HT88" s="152"/>
      <c r="HU88" s="152"/>
      <c r="HV88" s="152"/>
      <c r="HW88" s="152"/>
      <c r="HX88" s="152"/>
      <c r="HY88" s="152"/>
      <c r="HZ88" s="152"/>
    </row>
    <row r="89" spans="1:234" ht="15" customHeight="1">
      <c r="A89" s="217" t="s">
        <v>107</v>
      </c>
      <c r="B89" s="129"/>
      <c r="C89" s="129"/>
      <c r="D89" s="129"/>
      <c r="E89" s="129"/>
      <c r="F89" s="129"/>
      <c r="G89" s="129"/>
      <c r="H89" s="129"/>
      <c r="I89" s="129"/>
      <c r="J89" s="156"/>
      <c r="K89" s="185">
        <f>K85</f>
        <v>0</v>
      </c>
      <c r="L89" s="185">
        <f>L85</f>
        <v>0</v>
      </c>
      <c r="M89" s="185">
        <f>M85</f>
        <v>0</v>
      </c>
      <c r="N89" s="185">
        <f>N85</f>
        <v>0</v>
      </c>
      <c r="O89" s="151"/>
      <c r="P89" s="151"/>
      <c r="Q89" s="151"/>
      <c r="R89" s="151"/>
      <c r="S89" s="151"/>
      <c r="T89" s="151"/>
      <c r="U89" s="151"/>
      <c r="V89" s="151"/>
      <c r="W89" s="151"/>
      <c r="X89" s="151"/>
      <c r="Y89" s="151"/>
      <c r="Z89" s="151"/>
      <c r="AA89" s="151"/>
      <c r="AB89" s="151"/>
      <c r="AC89" s="151"/>
      <c r="AD89" s="151"/>
      <c r="AE89" s="151"/>
      <c r="AF89" s="151"/>
      <c r="AG89" s="151"/>
      <c r="AH89" s="151"/>
      <c r="AI89" s="151"/>
      <c r="AJ89" s="151"/>
      <c r="AK89" s="151"/>
      <c r="AL89" s="151"/>
      <c r="AM89" s="151"/>
      <c r="AN89" s="151"/>
      <c r="AO89" s="151"/>
      <c r="AP89" s="151"/>
      <c r="AQ89" s="151"/>
      <c r="AR89" s="151"/>
      <c r="AS89" s="151"/>
      <c r="AT89" s="151"/>
      <c r="AU89" s="151"/>
      <c r="AV89" s="151"/>
      <c r="AW89" s="151"/>
      <c r="AX89" s="151"/>
      <c r="AY89" s="151"/>
      <c r="AZ89" s="151"/>
      <c r="BA89" s="151"/>
      <c r="BB89" s="151"/>
      <c r="BC89" s="151"/>
      <c r="BD89" s="151"/>
      <c r="BE89" s="151"/>
      <c r="BF89" s="151"/>
      <c r="BG89" s="151"/>
      <c r="BH89" s="151"/>
      <c r="BI89" s="151"/>
      <c r="BJ89" s="151"/>
      <c r="BK89" s="151"/>
      <c r="BL89" s="151"/>
      <c r="BM89" s="151"/>
      <c r="BN89" s="151"/>
      <c r="BO89" s="151"/>
      <c r="BP89" s="151"/>
      <c r="BQ89" s="151"/>
      <c r="BR89" s="151"/>
      <c r="BS89" s="151"/>
      <c r="BT89" s="151"/>
      <c r="BU89" s="151"/>
      <c r="BV89" s="151"/>
      <c r="BW89" s="151"/>
      <c r="BX89" s="151"/>
      <c r="BY89" s="151"/>
      <c r="BZ89" s="151"/>
      <c r="CA89" s="151"/>
      <c r="CB89" s="151"/>
      <c r="CC89" s="151"/>
      <c r="CD89" s="151"/>
      <c r="CE89" s="151"/>
      <c r="CF89" s="151"/>
      <c r="CG89" s="152"/>
      <c r="CH89" s="152"/>
      <c r="CI89" s="152"/>
      <c r="CJ89" s="152"/>
      <c r="CK89" s="152"/>
      <c r="CL89" s="152"/>
      <c r="CM89" s="152"/>
      <c r="CN89" s="152"/>
      <c r="CO89" s="152"/>
      <c r="CP89" s="152"/>
      <c r="CQ89" s="152"/>
      <c r="CR89" s="152"/>
      <c r="CS89" s="152"/>
      <c r="CT89" s="152"/>
      <c r="CU89" s="152"/>
      <c r="CV89" s="152"/>
      <c r="CW89" s="152"/>
      <c r="CX89" s="152"/>
      <c r="CY89" s="152"/>
      <c r="CZ89" s="152"/>
      <c r="DA89" s="152"/>
      <c r="DB89" s="152"/>
      <c r="DC89" s="152"/>
      <c r="DD89" s="152"/>
      <c r="DE89" s="152"/>
      <c r="DF89" s="152"/>
      <c r="DG89" s="152"/>
      <c r="DH89" s="152"/>
      <c r="DI89" s="152"/>
      <c r="DJ89" s="152"/>
      <c r="DK89" s="152"/>
      <c r="DL89" s="152"/>
      <c r="DM89" s="152"/>
      <c r="DN89" s="152"/>
      <c r="DO89" s="152"/>
      <c r="DP89" s="152"/>
      <c r="DQ89" s="152"/>
      <c r="DR89" s="152"/>
      <c r="DS89" s="152"/>
      <c r="DT89" s="152"/>
      <c r="DU89" s="152"/>
      <c r="DV89" s="152"/>
      <c r="DW89" s="152"/>
      <c r="DX89" s="152"/>
      <c r="DY89" s="152"/>
      <c r="DZ89" s="152"/>
      <c r="EA89" s="152"/>
      <c r="EB89" s="152"/>
      <c r="EC89" s="152"/>
      <c r="ED89" s="152"/>
      <c r="EE89" s="152"/>
      <c r="EF89" s="152"/>
      <c r="EG89" s="152"/>
      <c r="EH89" s="152"/>
      <c r="EI89" s="152"/>
      <c r="EJ89" s="152"/>
      <c r="EK89" s="152"/>
      <c r="EL89" s="152"/>
      <c r="EM89" s="152"/>
      <c r="EN89" s="152"/>
      <c r="EO89" s="152"/>
      <c r="EP89" s="152"/>
      <c r="EQ89" s="152"/>
      <c r="ER89" s="152"/>
      <c r="ES89" s="152"/>
      <c r="ET89" s="152"/>
      <c r="EU89" s="152"/>
      <c r="EV89" s="152"/>
      <c r="EW89" s="152"/>
      <c r="EX89" s="152"/>
      <c r="EY89" s="152"/>
      <c r="EZ89" s="152"/>
      <c r="FA89" s="152"/>
      <c r="FB89" s="152"/>
      <c r="FC89" s="152"/>
      <c r="FD89" s="152"/>
      <c r="FE89" s="152"/>
      <c r="FF89" s="152"/>
      <c r="FG89" s="152"/>
      <c r="FH89" s="152"/>
      <c r="FI89" s="152"/>
      <c r="FJ89" s="152"/>
      <c r="FK89" s="152"/>
      <c r="FL89" s="152"/>
      <c r="FM89" s="152"/>
      <c r="FN89" s="152"/>
      <c r="FO89" s="152"/>
      <c r="FP89" s="152"/>
      <c r="FQ89" s="152"/>
      <c r="FR89" s="152"/>
      <c r="FS89" s="152"/>
      <c r="FT89" s="152"/>
      <c r="FU89" s="152"/>
      <c r="FV89" s="152"/>
      <c r="FW89" s="152"/>
      <c r="FX89" s="152"/>
      <c r="FY89" s="152"/>
      <c r="FZ89" s="152"/>
      <c r="GA89" s="152"/>
      <c r="GB89" s="152"/>
      <c r="GC89" s="152"/>
      <c r="GD89" s="152"/>
      <c r="GE89" s="152"/>
      <c r="GF89" s="152"/>
      <c r="GG89" s="152"/>
      <c r="GH89" s="152"/>
      <c r="GI89" s="152"/>
      <c r="GJ89" s="152"/>
      <c r="GK89" s="152"/>
      <c r="GL89" s="152"/>
      <c r="GM89" s="152"/>
      <c r="GN89" s="152"/>
      <c r="GO89" s="152"/>
      <c r="GP89" s="152"/>
      <c r="GQ89" s="152"/>
      <c r="GR89" s="152"/>
      <c r="GS89" s="152"/>
      <c r="GT89" s="152"/>
      <c r="GU89" s="152"/>
      <c r="GV89" s="152"/>
      <c r="GW89" s="152"/>
      <c r="GX89" s="152"/>
      <c r="GY89" s="152"/>
      <c r="GZ89" s="152"/>
      <c r="HA89" s="152"/>
      <c r="HB89" s="152"/>
      <c r="HC89" s="152"/>
      <c r="HD89" s="152"/>
      <c r="HE89" s="152"/>
      <c r="HF89" s="152"/>
      <c r="HG89" s="152"/>
      <c r="HH89" s="152"/>
      <c r="HI89" s="152"/>
      <c r="HJ89" s="152"/>
      <c r="HK89" s="152"/>
      <c r="HL89" s="152"/>
      <c r="HM89" s="152"/>
      <c r="HN89" s="152"/>
      <c r="HO89" s="152"/>
      <c r="HP89" s="152"/>
      <c r="HQ89" s="152"/>
      <c r="HR89" s="152"/>
      <c r="HS89" s="152"/>
      <c r="HT89" s="152"/>
      <c r="HU89" s="152"/>
      <c r="HV89" s="152"/>
      <c r="HW89" s="152"/>
      <c r="HX89" s="152"/>
      <c r="HY89" s="152"/>
      <c r="HZ89" s="152"/>
    </row>
    <row r="90" spans="1:234" ht="15" customHeight="1">
      <c r="A90" s="231" t="s">
        <v>24</v>
      </c>
      <c r="B90" s="205"/>
      <c r="C90" s="205"/>
      <c r="D90" s="142"/>
      <c r="E90" s="142"/>
      <c r="F90" s="142"/>
      <c r="G90" s="142"/>
      <c r="H90" s="142"/>
      <c r="I90" s="142"/>
      <c r="J90" s="153"/>
      <c r="K90" s="233" t="e">
        <f>SUM(K88:K89)</f>
        <v>#REF!</v>
      </c>
      <c r="L90" s="233" t="e">
        <f>SUM(L88:L89)</f>
        <v>#REF!</v>
      </c>
      <c r="M90" s="233" t="e">
        <f>SUM(M88:M89)</f>
        <v>#REF!</v>
      </c>
      <c r="N90" s="233" t="e">
        <f>SUM(N88:N89)</f>
        <v>#REF!</v>
      </c>
      <c r="O90" s="151"/>
      <c r="P90" s="151"/>
      <c r="Q90" s="151"/>
      <c r="R90" s="151"/>
      <c r="S90" s="151"/>
      <c r="T90" s="151"/>
      <c r="U90" s="151"/>
      <c r="V90" s="151"/>
      <c r="W90" s="151"/>
      <c r="X90" s="151"/>
      <c r="Y90" s="151"/>
      <c r="Z90" s="151"/>
      <c r="AA90" s="151"/>
      <c r="AB90" s="151"/>
      <c r="AC90" s="151"/>
      <c r="AD90" s="151"/>
      <c r="AE90" s="151"/>
      <c r="AF90" s="151"/>
      <c r="AG90" s="151"/>
      <c r="AH90" s="151"/>
      <c r="AI90" s="151"/>
      <c r="AJ90" s="151"/>
      <c r="AK90" s="151"/>
      <c r="AL90" s="151"/>
      <c r="AM90" s="151"/>
      <c r="AN90" s="151"/>
      <c r="AO90" s="151"/>
      <c r="AP90" s="151"/>
      <c r="AQ90" s="151"/>
      <c r="AR90" s="151"/>
      <c r="AS90" s="151"/>
      <c r="AT90" s="151"/>
      <c r="AU90" s="151"/>
      <c r="AV90" s="151"/>
      <c r="AW90" s="151"/>
      <c r="AX90" s="151"/>
      <c r="AY90" s="151"/>
      <c r="AZ90" s="151"/>
      <c r="BA90" s="151"/>
      <c r="BB90" s="151"/>
      <c r="BC90" s="151"/>
      <c r="BD90" s="151"/>
      <c r="BE90" s="151"/>
      <c r="BF90" s="151"/>
      <c r="BG90" s="151"/>
      <c r="BH90" s="151"/>
      <c r="BI90" s="151"/>
      <c r="BJ90" s="151"/>
      <c r="BK90" s="151"/>
      <c r="BL90" s="151"/>
      <c r="BM90" s="151"/>
      <c r="BN90" s="151"/>
      <c r="BO90" s="151"/>
      <c r="BP90" s="151"/>
      <c r="BQ90" s="151"/>
      <c r="BR90" s="151"/>
      <c r="BS90" s="151"/>
      <c r="BT90" s="151"/>
      <c r="BU90" s="151"/>
      <c r="BV90" s="151"/>
      <c r="BW90" s="151"/>
      <c r="BX90" s="151"/>
      <c r="BY90" s="151"/>
      <c r="BZ90" s="151"/>
      <c r="CA90" s="151"/>
      <c r="CB90" s="151"/>
      <c r="CC90" s="151"/>
      <c r="CD90" s="151"/>
      <c r="CE90" s="151"/>
      <c r="CF90" s="151"/>
      <c r="CG90" s="152"/>
      <c r="CH90" s="152"/>
      <c r="CI90" s="152"/>
      <c r="CJ90" s="152"/>
      <c r="CK90" s="152"/>
      <c r="CL90" s="152"/>
      <c r="CM90" s="152"/>
      <c r="CN90" s="152"/>
      <c r="CO90" s="152"/>
      <c r="CP90" s="152"/>
      <c r="CQ90" s="152"/>
      <c r="CR90" s="152"/>
      <c r="CS90" s="152"/>
      <c r="CT90" s="152"/>
      <c r="CU90" s="152"/>
      <c r="CV90" s="152"/>
      <c r="CW90" s="152"/>
      <c r="CX90" s="152"/>
      <c r="CY90" s="152"/>
      <c r="CZ90" s="152"/>
      <c r="DA90" s="152"/>
      <c r="DB90" s="152"/>
      <c r="DC90" s="152"/>
      <c r="DD90" s="152"/>
      <c r="DE90" s="152"/>
      <c r="DF90" s="152"/>
      <c r="DG90" s="152"/>
      <c r="DH90" s="152"/>
      <c r="DI90" s="152"/>
      <c r="DJ90" s="152"/>
      <c r="DK90" s="152"/>
      <c r="DL90" s="152"/>
      <c r="DM90" s="152"/>
      <c r="DN90" s="152"/>
      <c r="DO90" s="152"/>
      <c r="DP90" s="152"/>
      <c r="DQ90" s="152"/>
      <c r="DR90" s="152"/>
      <c r="DS90" s="152"/>
      <c r="DT90" s="152"/>
      <c r="DU90" s="152"/>
      <c r="DV90" s="152"/>
      <c r="DW90" s="152"/>
      <c r="DX90" s="152"/>
      <c r="DY90" s="152"/>
      <c r="DZ90" s="152"/>
      <c r="EA90" s="152"/>
      <c r="EB90" s="152"/>
      <c r="EC90" s="152"/>
      <c r="ED90" s="152"/>
      <c r="EE90" s="152"/>
      <c r="EF90" s="152"/>
      <c r="EG90" s="152"/>
      <c r="EH90" s="152"/>
      <c r="EI90" s="152"/>
      <c r="EJ90" s="152"/>
      <c r="EK90" s="152"/>
      <c r="EL90" s="152"/>
      <c r="EM90" s="152"/>
      <c r="EN90" s="152"/>
      <c r="EO90" s="152"/>
      <c r="EP90" s="152"/>
      <c r="EQ90" s="152"/>
      <c r="ER90" s="152"/>
      <c r="ES90" s="152"/>
      <c r="ET90" s="152"/>
      <c r="EU90" s="152"/>
      <c r="EV90" s="152"/>
      <c r="EW90" s="152"/>
      <c r="EX90" s="152"/>
      <c r="EY90" s="152"/>
      <c r="EZ90" s="152"/>
      <c r="FA90" s="152"/>
      <c r="FB90" s="152"/>
      <c r="FC90" s="152"/>
      <c r="FD90" s="152"/>
      <c r="FE90" s="152"/>
      <c r="FF90" s="152"/>
      <c r="FG90" s="152"/>
      <c r="FH90" s="152"/>
      <c r="FI90" s="152"/>
      <c r="FJ90" s="152"/>
      <c r="FK90" s="152"/>
      <c r="FL90" s="152"/>
      <c r="FM90" s="152"/>
      <c r="FN90" s="152"/>
      <c r="FO90" s="152"/>
      <c r="FP90" s="152"/>
      <c r="FQ90" s="152"/>
      <c r="FR90" s="152"/>
      <c r="FS90" s="152"/>
      <c r="FT90" s="152"/>
      <c r="FU90" s="152"/>
      <c r="FV90" s="152"/>
      <c r="FW90" s="152"/>
      <c r="FX90" s="152"/>
      <c r="FY90" s="152"/>
      <c r="FZ90" s="152"/>
      <c r="GA90" s="152"/>
      <c r="GB90" s="152"/>
      <c r="GC90" s="152"/>
      <c r="GD90" s="152"/>
      <c r="GE90" s="152"/>
      <c r="GF90" s="152"/>
      <c r="GG90" s="152"/>
      <c r="GH90" s="152"/>
      <c r="GI90" s="152"/>
      <c r="GJ90" s="152"/>
      <c r="GK90" s="152"/>
      <c r="GL90" s="152"/>
      <c r="GM90" s="152"/>
      <c r="GN90" s="152"/>
      <c r="GO90" s="152"/>
      <c r="GP90" s="152"/>
      <c r="GQ90" s="152"/>
      <c r="GR90" s="152"/>
      <c r="GS90" s="152"/>
      <c r="GT90" s="152"/>
      <c r="GU90" s="152"/>
      <c r="GV90" s="152"/>
      <c r="GW90" s="152"/>
      <c r="GX90" s="152"/>
      <c r="GY90" s="152"/>
      <c r="GZ90" s="152"/>
      <c r="HA90" s="152"/>
      <c r="HB90" s="152"/>
      <c r="HC90" s="152"/>
      <c r="HD90" s="152"/>
      <c r="HE90" s="152"/>
      <c r="HF90" s="152"/>
      <c r="HG90" s="152"/>
      <c r="HH90" s="152"/>
      <c r="HI90" s="152"/>
      <c r="HJ90" s="152"/>
      <c r="HK90" s="152"/>
      <c r="HL90" s="152"/>
      <c r="HM90" s="152"/>
      <c r="HN90" s="152"/>
      <c r="HO90" s="152"/>
      <c r="HP90" s="152"/>
      <c r="HQ90" s="152"/>
      <c r="HR90" s="152"/>
      <c r="HS90" s="152"/>
      <c r="HT90" s="152"/>
      <c r="HU90" s="152"/>
      <c r="HV90" s="152"/>
      <c r="HW90" s="152"/>
      <c r="HX90" s="152"/>
      <c r="HY90" s="152"/>
      <c r="HZ90" s="152"/>
    </row>
    <row r="91" spans="1:234" ht="22.5" customHeight="1">
      <c r="A91" s="207" t="s">
        <v>111</v>
      </c>
      <c r="B91" s="208"/>
      <c r="C91" s="208"/>
      <c r="D91" s="208"/>
      <c r="E91" s="208"/>
      <c r="F91" s="208"/>
      <c r="G91" s="166"/>
      <c r="H91" s="166"/>
      <c r="I91" s="166"/>
      <c r="J91" s="234"/>
      <c r="K91" s="235"/>
      <c r="L91" s="235"/>
      <c r="M91" s="235"/>
      <c r="N91" s="235"/>
    </row>
    <row r="92" spans="1:234">
      <c r="A92" s="190" t="s">
        <v>112</v>
      </c>
      <c r="B92" s="194"/>
      <c r="C92" s="194"/>
      <c r="D92" s="163"/>
      <c r="E92" s="163"/>
      <c r="F92" s="163"/>
      <c r="G92" s="163"/>
      <c r="H92" s="163"/>
      <c r="I92" s="349"/>
      <c r="J92" s="163"/>
      <c r="K92" s="344"/>
      <c r="L92" s="344"/>
      <c r="M92" s="344"/>
      <c r="N92" s="344"/>
    </row>
    <row r="93" spans="1:234" ht="14.1" customHeight="1">
      <c r="A93" s="255" t="s">
        <v>7</v>
      </c>
      <c r="B93" s="321" t="s">
        <v>57</v>
      </c>
      <c r="C93" s="165"/>
      <c r="D93" s="165"/>
      <c r="E93" s="165"/>
      <c r="F93" s="165"/>
      <c r="G93" s="165"/>
      <c r="H93" s="165"/>
      <c r="I93" s="165"/>
      <c r="J93" s="322"/>
      <c r="K93" s="331" t="e">
        <f>#REF!</f>
        <v>#REF!</v>
      </c>
      <c r="L93" s="186" t="e">
        <f>#REF!</f>
        <v>#REF!</v>
      </c>
      <c r="M93" s="186" t="e">
        <f>#REF!</f>
        <v>#REF!</v>
      </c>
      <c r="N93" s="186" t="e">
        <f>#REF!</f>
        <v>#REF!</v>
      </c>
    </row>
    <row r="94" spans="1:234" ht="14.1" customHeight="1">
      <c r="A94" s="255" t="s">
        <v>9</v>
      </c>
      <c r="B94" s="321" t="s">
        <v>58</v>
      </c>
      <c r="C94" s="165"/>
      <c r="D94" s="165"/>
      <c r="E94" s="165"/>
      <c r="F94" s="165"/>
      <c r="G94" s="165"/>
      <c r="H94" s="165"/>
      <c r="I94" s="165"/>
      <c r="J94" s="322"/>
      <c r="K94" s="331" t="e">
        <f>#REF!</f>
        <v>#REF!</v>
      </c>
      <c r="L94" s="186" t="e">
        <f>#REF!</f>
        <v>#REF!</v>
      </c>
      <c r="M94" s="186" t="e">
        <f>#REF!</f>
        <v>#REF!</v>
      </c>
      <c r="N94" s="186" t="e">
        <f>#REF!</f>
        <v>#REF!</v>
      </c>
    </row>
    <row r="95" spans="1:234" ht="15" customHeight="1">
      <c r="A95" s="255" t="s">
        <v>11</v>
      </c>
      <c r="B95" s="321" t="s">
        <v>59</v>
      </c>
      <c r="C95" s="165"/>
      <c r="D95" s="165"/>
      <c r="E95" s="165"/>
      <c r="F95" s="165"/>
      <c r="G95" s="165"/>
      <c r="H95" s="165"/>
      <c r="I95" s="165"/>
      <c r="J95" s="322"/>
      <c r="K95" s="331" t="e">
        <f>#REF!</f>
        <v>#REF!</v>
      </c>
      <c r="L95" s="186" t="e">
        <f>#REF!</f>
        <v>#REF!</v>
      </c>
      <c r="M95" s="186" t="e">
        <f>#REF!</f>
        <v>#REF!</v>
      </c>
      <c r="N95" s="186" t="e">
        <f>#REF!</f>
        <v>#REF!</v>
      </c>
    </row>
    <row r="96" spans="1:234" ht="14.1" customHeight="1">
      <c r="A96" s="255" t="s">
        <v>13</v>
      </c>
      <c r="B96" s="321" t="s">
        <v>60</v>
      </c>
      <c r="C96" s="165"/>
      <c r="D96" s="165"/>
      <c r="E96" s="165"/>
      <c r="F96" s="165"/>
      <c r="G96" s="165"/>
      <c r="H96" s="165"/>
      <c r="I96" s="165"/>
      <c r="J96" s="322"/>
      <c r="K96" s="331" t="e">
        <f>#REF!</f>
        <v>#REF!</v>
      </c>
      <c r="L96" s="331" t="e">
        <f>#REF!</f>
        <v>#REF!</v>
      </c>
      <c r="M96" s="331" t="e">
        <f>#REF!</f>
        <v>#REF!</v>
      </c>
      <c r="N96" s="331" t="e">
        <f>#REF!</f>
        <v>#REF!</v>
      </c>
    </row>
    <row r="97" spans="1:234" ht="14.1" customHeight="1">
      <c r="A97" s="277" t="s">
        <v>15</v>
      </c>
      <c r="B97" s="323" t="s">
        <v>61</v>
      </c>
      <c r="C97" s="165"/>
      <c r="D97" s="165"/>
      <c r="E97" s="165"/>
      <c r="F97" s="165"/>
      <c r="G97" s="165"/>
      <c r="H97" s="165"/>
      <c r="I97" s="165"/>
      <c r="J97" s="322"/>
      <c r="K97" s="332"/>
      <c r="L97" s="268"/>
      <c r="M97" s="268"/>
      <c r="N97" s="268"/>
    </row>
    <row r="98" spans="1:234" ht="15" customHeight="1">
      <c r="A98" s="219" t="s">
        <v>24</v>
      </c>
      <c r="B98" s="320"/>
      <c r="C98" s="324"/>
      <c r="D98" s="324"/>
      <c r="E98" s="324"/>
      <c r="F98" s="324"/>
      <c r="G98" s="324"/>
      <c r="H98" s="324"/>
      <c r="I98" s="324"/>
      <c r="J98" s="333"/>
      <c r="K98" s="329" t="e">
        <f>SUM(K93:K97)</f>
        <v>#REF!</v>
      </c>
      <c r="L98" s="329" t="e">
        <f>SUM(L93:L97)</f>
        <v>#REF!</v>
      </c>
      <c r="M98" s="329" t="e">
        <f>SUM(M93:M97)</f>
        <v>#REF!</v>
      </c>
      <c r="N98" s="329" t="e">
        <f>SUM(N93:N97)</f>
        <v>#REF!</v>
      </c>
      <c r="O98" s="151"/>
      <c r="P98" s="151"/>
      <c r="Q98" s="151"/>
      <c r="R98" s="151"/>
      <c r="S98" s="151"/>
      <c r="T98" s="151"/>
      <c r="U98" s="151"/>
      <c r="V98" s="151"/>
      <c r="W98" s="151"/>
      <c r="X98" s="151"/>
      <c r="Y98" s="151"/>
      <c r="Z98" s="151"/>
      <c r="AA98" s="151"/>
      <c r="AB98" s="151"/>
      <c r="AC98" s="151"/>
      <c r="AD98" s="151"/>
      <c r="AE98" s="151"/>
      <c r="AF98" s="151"/>
      <c r="AG98" s="151"/>
      <c r="AH98" s="151"/>
      <c r="AI98" s="151"/>
      <c r="AJ98" s="151"/>
      <c r="AK98" s="151"/>
      <c r="AL98" s="151"/>
      <c r="AM98" s="151"/>
      <c r="AN98" s="151"/>
      <c r="AO98" s="151"/>
      <c r="AP98" s="151"/>
      <c r="AQ98" s="151"/>
      <c r="AR98" s="151"/>
      <c r="AS98" s="151"/>
      <c r="AT98" s="151"/>
      <c r="AU98" s="151"/>
      <c r="AV98" s="151"/>
      <c r="AW98" s="151"/>
      <c r="AX98" s="151"/>
      <c r="AY98" s="151"/>
      <c r="AZ98" s="151"/>
      <c r="BA98" s="151"/>
      <c r="BB98" s="151"/>
      <c r="BC98" s="151"/>
      <c r="BD98" s="151"/>
      <c r="BE98" s="151"/>
      <c r="BF98" s="151"/>
      <c r="BG98" s="151"/>
      <c r="BH98" s="151"/>
      <c r="BI98" s="151"/>
      <c r="BJ98" s="151"/>
      <c r="BK98" s="151"/>
      <c r="BL98" s="151"/>
      <c r="BM98" s="151"/>
      <c r="BN98" s="151"/>
      <c r="BO98" s="151"/>
      <c r="BP98" s="151"/>
      <c r="BQ98" s="151"/>
      <c r="BR98" s="151"/>
      <c r="BS98" s="151"/>
      <c r="BT98" s="151"/>
      <c r="BU98" s="151"/>
      <c r="BV98" s="151"/>
      <c r="BW98" s="151"/>
      <c r="BX98" s="151"/>
      <c r="BY98" s="151"/>
      <c r="BZ98" s="151"/>
      <c r="CA98" s="151"/>
      <c r="CB98" s="151"/>
      <c r="CC98" s="151"/>
      <c r="CD98" s="151"/>
      <c r="CE98" s="151"/>
      <c r="CF98" s="151"/>
      <c r="CG98" s="152"/>
      <c r="CH98" s="152"/>
      <c r="CI98" s="152"/>
      <c r="CJ98" s="152"/>
      <c r="CK98" s="152"/>
      <c r="CL98" s="152"/>
      <c r="CM98" s="152"/>
      <c r="CN98" s="152"/>
      <c r="CO98" s="152"/>
      <c r="CP98" s="152"/>
      <c r="CQ98" s="152"/>
      <c r="CR98" s="152"/>
      <c r="CS98" s="152"/>
      <c r="CT98" s="152"/>
      <c r="CU98" s="152"/>
      <c r="CV98" s="152"/>
      <c r="CW98" s="152"/>
      <c r="CX98" s="152"/>
      <c r="CY98" s="152"/>
      <c r="CZ98" s="152"/>
      <c r="DA98" s="152"/>
      <c r="DB98" s="152"/>
      <c r="DC98" s="152"/>
      <c r="DD98" s="152"/>
      <c r="DE98" s="152"/>
      <c r="DF98" s="152"/>
      <c r="DG98" s="152"/>
      <c r="DH98" s="152"/>
      <c r="DI98" s="152"/>
      <c r="DJ98" s="152"/>
      <c r="DK98" s="152"/>
      <c r="DL98" s="152"/>
      <c r="DM98" s="152"/>
      <c r="DN98" s="152"/>
      <c r="DO98" s="152"/>
      <c r="DP98" s="152"/>
      <c r="DQ98" s="152"/>
      <c r="DR98" s="152"/>
      <c r="DS98" s="152"/>
      <c r="DT98" s="152"/>
      <c r="DU98" s="152"/>
      <c r="DV98" s="152"/>
      <c r="DW98" s="152"/>
      <c r="DX98" s="152"/>
      <c r="DY98" s="152"/>
      <c r="DZ98" s="152"/>
      <c r="EA98" s="152"/>
      <c r="EB98" s="152"/>
      <c r="EC98" s="152"/>
      <c r="ED98" s="152"/>
      <c r="EE98" s="152"/>
      <c r="EF98" s="152"/>
      <c r="EG98" s="152"/>
      <c r="EH98" s="152"/>
      <c r="EI98" s="152"/>
      <c r="EJ98" s="152"/>
      <c r="EK98" s="152"/>
      <c r="EL98" s="152"/>
      <c r="EM98" s="152"/>
      <c r="EN98" s="152"/>
      <c r="EO98" s="152"/>
      <c r="EP98" s="152"/>
      <c r="EQ98" s="152"/>
      <c r="ER98" s="152"/>
      <c r="ES98" s="152"/>
      <c r="ET98" s="152"/>
      <c r="EU98" s="152"/>
      <c r="EV98" s="152"/>
      <c r="EW98" s="152"/>
      <c r="EX98" s="152"/>
      <c r="EY98" s="152"/>
      <c r="EZ98" s="152"/>
      <c r="FA98" s="152"/>
      <c r="FB98" s="152"/>
      <c r="FC98" s="152"/>
      <c r="FD98" s="152"/>
      <c r="FE98" s="152"/>
      <c r="FF98" s="152"/>
      <c r="FG98" s="152"/>
      <c r="FH98" s="152"/>
      <c r="FI98" s="152"/>
      <c r="FJ98" s="152"/>
      <c r="FK98" s="152"/>
      <c r="FL98" s="152"/>
      <c r="FM98" s="152"/>
      <c r="FN98" s="152"/>
      <c r="FO98" s="152"/>
      <c r="FP98" s="152"/>
      <c r="FQ98" s="152"/>
      <c r="FR98" s="152"/>
      <c r="FS98" s="152"/>
      <c r="FT98" s="152"/>
      <c r="FU98" s="152"/>
      <c r="FV98" s="152"/>
      <c r="FW98" s="152"/>
      <c r="FX98" s="152"/>
      <c r="FY98" s="152"/>
      <c r="FZ98" s="152"/>
      <c r="GA98" s="152"/>
      <c r="GB98" s="152"/>
      <c r="GC98" s="152"/>
      <c r="GD98" s="152"/>
      <c r="GE98" s="152"/>
      <c r="GF98" s="152"/>
      <c r="GG98" s="152"/>
      <c r="GH98" s="152"/>
      <c r="GI98" s="152"/>
      <c r="GJ98" s="152"/>
      <c r="GK98" s="152"/>
      <c r="GL98" s="152"/>
      <c r="GM98" s="152"/>
      <c r="GN98" s="152"/>
      <c r="GO98" s="152"/>
      <c r="GP98" s="152"/>
      <c r="GQ98" s="152"/>
      <c r="GR98" s="152"/>
      <c r="GS98" s="152"/>
      <c r="GT98" s="152"/>
      <c r="GU98" s="152"/>
      <c r="GV98" s="152"/>
      <c r="GW98" s="152"/>
      <c r="GX98" s="152"/>
      <c r="GY98" s="152"/>
      <c r="GZ98" s="152"/>
      <c r="HA98" s="152"/>
      <c r="HB98" s="152"/>
      <c r="HC98" s="152"/>
      <c r="HD98" s="152"/>
      <c r="HE98" s="152"/>
      <c r="HF98" s="152"/>
      <c r="HG98" s="152"/>
      <c r="HH98" s="152"/>
      <c r="HI98" s="152"/>
      <c r="HJ98" s="152"/>
      <c r="HK98" s="152"/>
      <c r="HL98" s="152"/>
      <c r="HM98" s="152"/>
      <c r="HN98" s="152"/>
      <c r="HO98" s="152"/>
      <c r="HP98" s="152"/>
      <c r="HQ98" s="152"/>
      <c r="HR98" s="152"/>
      <c r="HS98" s="152"/>
      <c r="HT98" s="152"/>
      <c r="HU98" s="152"/>
      <c r="HV98" s="152"/>
      <c r="HW98" s="152"/>
      <c r="HX98" s="152"/>
      <c r="HY98" s="152"/>
      <c r="HZ98" s="152"/>
    </row>
    <row r="99" spans="1:234">
      <c r="A99" s="218" t="s">
        <v>113</v>
      </c>
      <c r="B99" s="145"/>
      <c r="C99" s="145"/>
      <c r="D99" s="145"/>
      <c r="E99" s="145"/>
      <c r="F99" s="145"/>
      <c r="G99" s="146"/>
      <c r="H99" s="146"/>
      <c r="I99" s="146"/>
      <c r="J99" s="147"/>
      <c r="K99" s="173" t="s">
        <v>70</v>
      </c>
      <c r="L99" s="173" t="s">
        <v>70</v>
      </c>
      <c r="M99" s="173" t="s">
        <v>70</v>
      </c>
      <c r="N99" s="173" t="s">
        <v>70</v>
      </c>
    </row>
    <row r="100" spans="1:234" ht="15" customHeight="1">
      <c r="A100" s="216" t="s">
        <v>114</v>
      </c>
      <c r="B100" s="129"/>
      <c r="C100" s="129"/>
      <c r="D100" s="129"/>
      <c r="E100" s="129"/>
      <c r="F100" s="129"/>
      <c r="G100" s="129"/>
      <c r="H100" s="129"/>
      <c r="I100" s="129"/>
      <c r="J100" s="160"/>
      <c r="K100" s="184" t="e">
        <f>K17</f>
        <v>#REF!</v>
      </c>
      <c r="L100" s="184" t="e">
        <f>L17</f>
        <v>#REF!</v>
      </c>
      <c r="M100" s="184" t="e">
        <f>M17</f>
        <v>#REF!</v>
      </c>
      <c r="N100" s="184" t="e">
        <f>N17</f>
        <v>#REF!</v>
      </c>
      <c r="O100" s="151"/>
      <c r="P100" s="151"/>
      <c r="Q100" s="151"/>
      <c r="R100" s="151"/>
      <c r="S100" s="151"/>
      <c r="T100" s="151"/>
      <c r="U100" s="151"/>
      <c r="V100" s="151"/>
      <c r="W100" s="151"/>
      <c r="X100" s="151"/>
      <c r="Y100" s="151"/>
      <c r="Z100" s="151"/>
      <c r="AA100" s="151"/>
      <c r="AB100" s="151"/>
      <c r="AC100" s="151"/>
      <c r="AD100" s="151"/>
      <c r="AE100" s="151"/>
      <c r="AF100" s="151"/>
      <c r="AG100" s="151"/>
      <c r="AH100" s="151"/>
      <c r="AI100" s="151"/>
      <c r="AJ100" s="151"/>
      <c r="AK100" s="151"/>
      <c r="AL100" s="151"/>
      <c r="AM100" s="151"/>
      <c r="AN100" s="151"/>
      <c r="AO100" s="151"/>
      <c r="AP100" s="151"/>
      <c r="AQ100" s="151"/>
      <c r="AR100" s="151"/>
      <c r="AS100" s="151"/>
      <c r="AT100" s="151"/>
      <c r="AU100" s="151"/>
      <c r="AV100" s="151"/>
      <c r="AW100" s="151"/>
      <c r="AX100" s="151"/>
      <c r="AY100" s="151"/>
      <c r="AZ100" s="151"/>
      <c r="BA100" s="151"/>
      <c r="BB100" s="151"/>
      <c r="BC100" s="151"/>
      <c r="BD100" s="151"/>
      <c r="BE100" s="151"/>
      <c r="BF100" s="151"/>
      <c r="BG100" s="151"/>
      <c r="BH100" s="151"/>
      <c r="BI100" s="151"/>
      <c r="BJ100" s="151"/>
      <c r="BK100" s="151"/>
      <c r="BL100" s="151"/>
      <c r="BM100" s="151"/>
      <c r="BN100" s="151"/>
      <c r="BO100" s="151"/>
      <c r="BP100" s="151"/>
      <c r="BQ100" s="151"/>
      <c r="BR100" s="151"/>
      <c r="BS100" s="151"/>
      <c r="BT100" s="151"/>
      <c r="BU100" s="151"/>
      <c r="BV100" s="151"/>
      <c r="BW100" s="151"/>
      <c r="BX100" s="151"/>
      <c r="BY100" s="151"/>
      <c r="BZ100" s="151"/>
      <c r="CA100" s="151"/>
      <c r="CB100" s="151"/>
      <c r="CC100" s="151"/>
      <c r="CD100" s="151"/>
      <c r="CE100" s="151"/>
      <c r="CF100" s="151"/>
      <c r="CG100" s="152"/>
      <c r="CH100" s="152"/>
      <c r="CI100" s="152"/>
      <c r="CJ100" s="152"/>
      <c r="CK100" s="152"/>
      <c r="CL100" s="152"/>
      <c r="CM100" s="152"/>
      <c r="CN100" s="152"/>
      <c r="CO100" s="152"/>
      <c r="CP100" s="152"/>
      <c r="CQ100" s="152"/>
      <c r="CR100" s="152"/>
      <c r="CS100" s="152"/>
      <c r="CT100" s="152"/>
      <c r="CU100" s="152"/>
      <c r="CV100" s="152"/>
      <c r="CW100" s="152"/>
      <c r="CX100" s="152"/>
      <c r="CY100" s="152"/>
      <c r="CZ100" s="152"/>
      <c r="DA100" s="152"/>
      <c r="DB100" s="152"/>
      <c r="DC100" s="152"/>
      <c r="DD100" s="152"/>
      <c r="DE100" s="152"/>
      <c r="DF100" s="152"/>
      <c r="DG100" s="152"/>
      <c r="DH100" s="152"/>
      <c r="DI100" s="152"/>
      <c r="DJ100" s="152"/>
      <c r="DK100" s="152"/>
      <c r="DL100" s="152"/>
      <c r="DM100" s="152"/>
      <c r="DN100" s="152"/>
      <c r="DO100" s="152"/>
      <c r="DP100" s="152"/>
      <c r="DQ100" s="152"/>
      <c r="DR100" s="152"/>
      <c r="DS100" s="152"/>
      <c r="DT100" s="152"/>
      <c r="DU100" s="152"/>
      <c r="DV100" s="152"/>
      <c r="DW100" s="152"/>
      <c r="DX100" s="152"/>
      <c r="DY100" s="152"/>
      <c r="DZ100" s="152"/>
      <c r="EA100" s="152"/>
      <c r="EB100" s="152"/>
      <c r="EC100" s="152"/>
      <c r="ED100" s="152"/>
      <c r="EE100" s="152"/>
      <c r="EF100" s="152"/>
      <c r="EG100" s="152"/>
      <c r="EH100" s="152"/>
      <c r="EI100" s="152"/>
      <c r="EJ100" s="152"/>
      <c r="EK100" s="152"/>
      <c r="EL100" s="152"/>
      <c r="EM100" s="152"/>
      <c r="EN100" s="152"/>
      <c r="EO100" s="152"/>
      <c r="EP100" s="152"/>
      <c r="EQ100" s="152"/>
      <c r="ER100" s="152"/>
      <c r="ES100" s="152"/>
      <c r="ET100" s="152"/>
      <c r="EU100" s="152"/>
      <c r="EV100" s="152"/>
      <c r="EW100" s="152"/>
      <c r="EX100" s="152"/>
      <c r="EY100" s="152"/>
      <c r="EZ100" s="152"/>
      <c r="FA100" s="152"/>
      <c r="FB100" s="152"/>
      <c r="FC100" s="152"/>
      <c r="FD100" s="152"/>
      <c r="FE100" s="152"/>
      <c r="FF100" s="152"/>
      <c r="FG100" s="152"/>
      <c r="FH100" s="152"/>
      <c r="FI100" s="152"/>
      <c r="FJ100" s="152"/>
      <c r="FK100" s="152"/>
      <c r="FL100" s="152"/>
      <c r="FM100" s="152"/>
      <c r="FN100" s="152"/>
      <c r="FO100" s="152"/>
      <c r="FP100" s="152"/>
      <c r="FQ100" s="152"/>
      <c r="FR100" s="152"/>
      <c r="FS100" s="152"/>
      <c r="FT100" s="152"/>
      <c r="FU100" s="152"/>
      <c r="FV100" s="152"/>
      <c r="FW100" s="152"/>
      <c r="FX100" s="152"/>
      <c r="FY100" s="152"/>
      <c r="FZ100" s="152"/>
      <c r="GA100" s="152"/>
      <c r="GB100" s="152"/>
      <c r="GC100" s="152"/>
      <c r="GD100" s="152"/>
      <c r="GE100" s="152"/>
      <c r="GF100" s="152"/>
      <c r="GG100" s="152"/>
      <c r="GH100" s="152"/>
      <c r="GI100" s="152"/>
      <c r="GJ100" s="152"/>
      <c r="GK100" s="152"/>
      <c r="GL100" s="152"/>
      <c r="GM100" s="152"/>
      <c r="GN100" s="152"/>
      <c r="GO100" s="152"/>
      <c r="GP100" s="152"/>
      <c r="GQ100" s="152"/>
      <c r="GR100" s="152"/>
      <c r="GS100" s="152"/>
      <c r="GT100" s="152"/>
      <c r="GU100" s="152"/>
      <c r="GV100" s="152"/>
      <c r="GW100" s="152"/>
      <c r="GX100" s="152"/>
      <c r="GY100" s="152"/>
      <c r="GZ100" s="152"/>
      <c r="HA100" s="152"/>
      <c r="HB100" s="152"/>
      <c r="HC100" s="152"/>
      <c r="HD100" s="152"/>
      <c r="HE100" s="152"/>
      <c r="HF100" s="152"/>
      <c r="HG100" s="152"/>
      <c r="HH100" s="152"/>
      <c r="HI100" s="152"/>
      <c r="HJ100" s="152"/>
      <c r="HK100" s="152"/>
      <c r="HL100" s="152"/>
      <c r="HM100" s="152"/>
      <c r="HN100" s="152"/>
      <c r="HO100" s="152"/>
      <c r="HP100" s="152"/>
      <c r="HQ100" s="152"/>
      <c r="HR100" s="152"/>
      <c r="HS100" s="152"/>
      <c r="HT100" s="152"/>
      <c r="HU100" s="152"/>
      <c r="HV100" s="152"/>
      <c r="HW100" s="152"/>
      <c r="HX100" s="152"/>
      <c r="HY100" s="152"/>
      <c r="HZ100" s="152"/>
    </row>
    <row r="101" spans="1:234" ht="15" customHeight="1">
      <c r="A101" s="217" t="s">
        <v>115</v>
      </c>
      <c r="B101" s="129"/>
      <c r="C101" s="129"/>
      <c r="D101" s="129"/>
      <c r="E101" s="129"/>
      <c r="F101" s="129"/>
      <c r="G101" s="129"/>
      <c r="H101" s="129"/>
      <c r="I101" s="129"/>
      <c r="J101" s="160"/>
      <c r="K101" s="184" t="e">
        <f>K54</f>
        <v>#REF!</v>
      </c>
      <c r="L101" s="184" t="e">
        <f>L54</f>
        <v>#REF!</v>
      </c>
      <c r="M101" s="184" t="e">
        <f>M54</f>
        <v>#REF!</v>
      </c>
      <c r="N101" s="184" t="e">
        <f>N54</f>
        <v>#REF!</v>
      </c>
      <c r="O101" s="151"/>
      <c r="P101" s="151"/>
      <c r="Q101" s="151"/>
      <c r="R101" s="151"/>
      <c r="S101" s="151"/>
      <c r="T101" s="151"/>
      <c r="U101" s="151"/>
      <c r="V101" s="151"/>
      <c r="W101" s="151"/>
      <c r="X101" s="151"/>
      <c r="Y101" s="151"/>
      <c r="Z101" s="151"/>
      <c r="AA101" s="151"/>
      <c r="AB101" s="151"/>
      <c r="AC101" s="151"/>
      <c r="AD101" s="151"/>
      <c r="AE101" s="151"/>
      <c r="AF101" s="151"/>
      <c r="AG101" s="151"/>
      <c r="AH101" s="151"/>
      <c r="AI101" s="151"/>
      <c r="AJ101" s="151"/>
      <c r="AK101" s="151"/>
      <c r="AL101" s="151"/>
      <c r="AM101" s="151"/>
      <c r="AN101" s="151"/>
      <c r="AO101" s="151"/>
      <c r="AP101" s="151"/>
      <c r="AQ101" s="151"/>
      <c r="AR101" s="151"/>
      <c r="AS101" s="151"/>
      <c r="AT101" s="151"/>
      <c r="AU101" s="151"/>
      <c r="AV101" s="151"/>
      <c r="AW101" s="151"/>
      <c r="AX101" s="151"/>
      <c r="AY101" s="151"/>
      <c r="AZ101" s="151"/>
      <c r="BA101" s="151"/>
      <c r="BB101" s="151"/>
      <c r="BC101" s="151"/>
      <c r="BD101" s="151"/>
      <c r="BE101" s="151"/>
      <c r="BF101" s="151"/>
      <c r="BG101" s="151"/>
      <c r="BH101" s="151"/>
      <c r="BI101" s="151"/>
      <c r="BJ101" s="151"/>
      <c r="BK101" s="151"/>
      <c r="BL101" s="151"/>
      <c r="BM101" s="151"/>
      <c r="BN101" s="151"/>
      <c r="BO101" s="151"/>
      <c r="BP101" s="151"/>
      <c r="BQ101" s="151"/>
      <c r="BR101" s="151"/>
      <c r="BS101" s="151"/>
      <c r="BT101" s="151"/>
      <c r="BU101" s="151"/>
      <c r="BV101" s="151"/>
      <c r="BW101" s="151"/>
      <c r="BX101" s="151"/>
      <c r="BY101" s="151"/>
      <c r="BZ101" s="151"/>
      <c r="CA101" s="151"/>
      <c r="CB101" s="151"/>
      <c r="CC101" s="151"/>
      <c r="CD101" s="151"/>
      <c r="CE101" s="151"/>
      <c r="CF101" s="151"/>
      <c r="CG101" s="152"/>
      <c r="CH101" s="152"/>
      <c r="CI101" s="152"/>
      <c r="CJ101" s="152"/>
      <c r="CK101" s="152"/>
      <c r="CL101" s="152"/>
      <c r="CM101" s="152"/>
      <c r="CN101" s="152"/>
      <c r="CO101" s="152"/>
      <c r="CP101" s="152"/>
      <c r="CQ101" s="152"/>
      <c r="CR101" s="152"/>
      <c r="CS101" s="152"/>
      <c r="CT101" s="152"/>
      <c r="CU101" s="152"/>
      <c r="CV101" s="152"/>
      <c r="CW101" s="152"/>
      <c r="CX101" s="152"/>
      <c r="CY101" s="152"/>
      <c r="CZ101" s="152"/>
      <c r="DA101" s="152"/>
      <c r="DB101" s="152"/>
      <c r="DC101" s="152"/>
      <c r="DD101" s="152"/>
      <c r="DE101" s="152"/>
      <c r="DF101" s="152"/>
      <c r="DG101" s="152"/>
      <c r="DH101" s="152"/>
      <c r="DI101" s="152"/>
      <c r="DJ101" s="152"/>
      <c r="DK101" s="152"/>
      <c r="DL101" s="152"/>
      <c r="DM101" s="152"/>
      <c r="DN101" s="152"/>
      <c r="DO101" s="152"/>
      <c r="DP101" s="152"/>
      <c r="DQ101" s="152"/>
      <c r="DR101" s="152"/>
      <c r="DS101" s="152"/>
      <c r="DT101" s="152"/>
      <c r="DU101" s="152"/>
      <c r="DV101" s="152"/>
      <c r="DW101" s="152"/>
      <c r="DX101" s="152"/>
      <c r="DY101" s="152"/>
      <c r="DZ101" s="152"/>
      <c r="EA101" s="152"/>
      <c r="EB101" s="152"/>
      <c r="EC101" s="152"/>
      <c r="ED101" s="152"/>
      <c r="EE101" s="152"/>
      <c r="EF101" s="152"/>
      <c r="EG101" s="152"/>
      <c r="EH101" s="152"/>
      <c r="EI101" s="152"/>
      <c r="EJ101" s="152"/>
      <c r="EK101" s="152"/>
      <c r="EL101" s="152"/>
      <c r="EM101" s="152"/>
      <c r="EN101" s="152"/>
      <c r="EO101" s="152"/>
      <c r="EP101" s="152"/>
      <c r="EQ101" s="152"/>
      <c r="ER101" s="152"/>
      <c r="ES101" s="152"/>
      <c r="ET101" s="152"/>
      <c r="EU101" s="152"/>
      <c r="EV101" s="152"/>
      <c r="EW101" s="152"/>
      <c r="EX101" s="152"/>
      <c r="EY101" s="152"/>
      <c r="EZ101" s="152"/>
      <c r="FA101" s="152"/>
      <c r="FB101" s="152"/>
      <c r="FC101" s="152"/>
      <c r="FD101" s="152"/>
      <c r="FE101" s="152"/>
      <c r="FF101" s="152"/>
      <c r="FG101" s="152"/>
      <c r="FH101" s="152"/>
      <c r="FI101" s="152"/>
      <c r="FJ101" s="152"/>
      <c r="FK101" s="152"/>
      <c r="FL101" s="152"/>
      <c r="FM101" s="152"/>
      <c r="FN101" s="152"/>
      <c r="FO101" s="152"/>
      <c r="FP101" s="152"/>
      <c r="FQ101" s="152"/>
      <c r="FR101" s="152"/>
      <c r="FS101" s="152"/>
      <c r="FT101" s="152"/>
      <c r="FU101" s="152"/>
      <c r="FV101" s="152"/>
      <c r="FW101" s="152"/>
      <c r="FX101" s="152"/>
      <c r="FY101" s="152"/>
      <c r="FZ101" s="152"/>
      <c r="GA101" s="152"/>
      <c r="GB101" s="152"/>
      <c r="GC101" s="152"/>
      <c r="GD101" s="152"/>
      <c r="GE101" s="152"/>
      <c r="GF101" s="152"/>
      <c r="GG101" s="152"/>
      <c r="GH101" s="152"/>
      <c r="GI101" s="152"/>
      <c r="GJ101" s="152"/>
      <c r="GK101" s="152"/>
      <c r="GL101" s="152"/>
      <c r="GM101" s="152"/>
      <c r="GN101" s="152"/>
      <c r="GO101" s="152"/>
      <c r="GP101" s="152"/>
      <c r="GQ101" s="152"/>
      <c r="GR101" s="152"/>
      <c r="GS101" s="152"/>
      <c r="GT101" s="152"/>
      <c r="GU101" s="152"/>
      <c r="GV101" s="152"/>
      <c r="GW101" s="152"/>
      <c r="GX101" s="152"/>
      <c r="GY101" s="152"/>
      <c r="GZ101" s="152"/>
      <c r="HA101" s="152"/>
      <c r="HB101" s="152"/>
      <c r="HC101" s="152"/>
      <c r="HD101" s="152"/>
      <c r="HE101" s="152"/>
      <c r="HF101" s="152"/>
      <c r="HG101" s="152"/>
      <c r="HH101" s="152"/>
      <c r="HI101" s="152"/>
      <c r="HJ101" s="152"/>
      <c r="HK101" s="152"/>
      <c r="HL101" s="152"/>
      <c r="HM101" s="152"/>
      <c r="HN101" s="152"/>
      <c r="HO101" s="152"/>
      <c r="HP101" s="152"/>
      <c r="HQ101" s="152"/>
      <c r="HR101" s="152"/>
      <c r="HS101" s="152"/>
      <c r="HT101" s="152"/>
      <c r="HU101" s="152"/>
      <c r="HV101" s="152"/>
      <c r="HW101" s="152"/>
      <c r="HX101" s="152"/>
      <c r="HY101" s="152"/>
      <c r="HZ101" s="152"/>
    </row>
    <row r="102" spans="1:234" ht="15" customHeight="1">
      <c r="A102" s="217" t="s">
        <v>116</v>
      </c>
      <c r="B102" s="129"/>
      <c r="C102" s="129"/>
      <c r="D102" s="129"/>
      <c r="E102" s="129"/>
      <c r="F102" s="129"/>
      <c r="G102" s="129"/>
      <c r="H102" s="129"/>
      <c r="I102" s="129"/>
      <c r="J102" s="160"/>
      <c r="K102" s="184" t="e">
        <f>K61</f>
        <v>#REF!</v>
      </c>
      <c r="L102" s="184" t="e">
        <f>L61</f>
        <v>#REF!</v>
      </c>
      <c r="M102" s="184" t="e">
        <f>M61</f>
        <v>#REF!</v>
      </c>
      <c r="N102" s="184" t="e">
        <f>N61</f>
        <v>#REF!</v>
      </c>
      <c r="O102" s="151"/>
      <c r="P102" s="151"/>
      <c r="Q102" s="151"/>
      <c r="R102" s="151"/>
      <c r="S102" s="151"/>
      <c r="T102" s="151"/>
      <c r="U102" s="151"/>
      <c r="V102" s="151"/>
      <c r="W102" s="151"/>
      <c r="X102" s="151"/>
      <c r="Y102" s="151"/>
      <c r="Z102" s="151"/>
      <c r="AA102" s="151"/>
      <c r="AB102" s="151"/>
      <c r="AC102" s="151"/>
      <c r="AD102" s="151"/>
      <c r="AE102" s="151"/>
      <c r="AF102" s="151"/>
      <c r="AG102" s="151"/>
      <c r="AH102" s="151"/>
      <c r="AI102" s="151"/>
      <c r="AJ102" s="151"/>
      <c r="AK102" s="151"/>
      <c r="AL102" s="151"/>
      <c r="AM102" s="151"/>
      <c r="AN102" s="151"/>
      <c r="AO102" s="151"/>
      <c r="AP102" s="151"/>
      <c r="AQ102" s="151"/>
      <c r="AR102" s="151"/>
      <c r="AS102" s="151"/>
      <c r="AT102" s="151"/>
      <c r="AU102" s="151"/>
      <c r="AV102" s="151"/>
      <c r="AW102" s="151"/>
      <c r="AX102" s="151"/>
      <c r="AY102" s="151"/>
      <c r="AZ102" s="151"/>
      <c r="BA102" s="151"/>
      <c r="BB102" s="151"/>
      <c r="BC102" s="151"/>
      <c r="BD102" s="151"/>
      <c r="BE102" s="151"/>
      <c r="BF102" s="151"/>
      <c r="BG102" s="151"/>
      <c r="BH102" s="151"/>
      <c r="BI102" s="151"/>
      <c r="BJ102" s="151"/>
      <c r="BK102" s="151"/>
      <c r="BL102" s="151"/>
      <c r="BM102" s="151"/>
      <c r="BN102" s="151"/>
      <c r="BO102" s="151"/>
      <c r="BP102" s="151"/>
      <c r="BQ102" s="151"/>
      <c r="BR102" s="151"/>
      <c r="BS102" s="151"/>
      <c r="BT102" s="151"/>
      <c r="BU102" s="151"/>
      <c r="BV102" s="151"/>
      <c r="BW102" s="151"/>
      <c r="BX102" s="151"/>
      <c r="BY102" s="151"/>
      <c r="BZ102" s="151"/>
      <c r="CA102" s="151"/>
      <c r="CB102" s="151"/>
      <c r="CC102" s="151"/>
      <c r="CD102" s="151"/>
      <c r="CE102" s="151"/>
      <c r="CF102" s="151"/>
      <c r="CG102" s="152"/>
      <c r="CH102" s="152"/>
      <c r="CI102" s="152"/>
      <c r="CJ102" s="152"/>
      <c r="CK102" s="152"/>
      <c r="CL102" s="152"/>
      <c r="CM102" s="152"/>
      <c r="CN102" s="152"/>
      <c r="CO102" s="152"/>
      <c r="CP102" s="152"/>
      <c r="CQ102" s="152"/>
      <c r="CR102" s="152"/>
      <c r="CS102" s="152"/>
      <c r="CT102" s="152"/>
      <c r="CU102" s="152"/>
      <c r="CV102" s="152"/>
      <c r="CW102" s="152"/>
      <c r="CX102" s="152"/>
      <c r="CY102" s="152"/>
      <c r="CZ102" s="152"/>
      <c r="DA102" s="152"/>
      <c r="DB102" s="152"/>
      <c r="DC102" s="152"/>
      <c r="DD102" s="152"/>
      <c r="DE102" s="152"/>
      <c r="DF102" s="152"/>
      <c r="DG102" s="152"/>
      <c r="DH102" s="152"/>
      <c r="DI102" s="152"/>
      <c r="DJ102" s="152"/>
      <c r="DK102" s="152"/>
      <c r="DL102" s="152"/>
      <c r="DM102" s="152"/>
      <c r="DN102" s="152"/>
      <c r="DO102" s="152"/>
      <c r="DP102" s="152"/>
      <c r="DQ102" s="152"/>
      <c r="DR102" s="152"/>
      <c r="DS102" s="152"/>
      <c r="DT102" s="152"/>
      <c r="DU102" s="152"/>
      <c r="DV102" s="152"/>
      <c r="DW102" s="152"/>
      <c r="DX102" s="152"/>
      <c r="DY102" s="152"/>
      <c r="DZ102" s="152"/>
      <c r="EA102" s="152"/>
      <c r="EB102" s="152"/>
      <c r="EC102" s="152"/>
      <c r="ED102" s="152"/>
      <c r="EE102" s="152"/>
      <c r="EF102" s="152"/>
      <c r="EG102" s="152"/>
      <c r="EH102" s="152"/>
      <c r="EI102" s="152"/>
      <c r="EJ102" s="152"/>
      <c r="EK102" s="152"/>
      <c r="EL102" s="152"/>
      <c r="EM102" s="152"/>
      <c r="EN102" s="152"/>
      <c r="EO102" s="152"/>
      <c r="EP102" s="152"/>
      <c r="EQ102" s="152"/>
      <c r="ER102" s="152"/>
      <c r="ES102" s="152"/>
      <c r="ET102" s="152"/>
      <c r="EU102" s="152"/>
      <c r="EV102" s="152"/>
      <c r="EW102" s="152"/>
      <c r="EX102" s="152"/>
      <c r="EY102" s="152"/>
      <c r="EZ102" s="152"/>
      <c r="FA102" s="152"/>
      <c r="FB102" s="152"/>
      <c r="FC102" s="152"/>
      <c r="FD102" s="152"/>
      <c r="FE102" s="152"/>
      <c r="FF102" s="152"/>
      <c r="FG102" s="152"/>
      <c r="FH102" s="152"/>
      <c r="FI102" s="152"/>
      <c r="FJ102" s="152"/>
      <c r="FK102" s="152"/>
      <c r="FL102" s="152"/>
      <c r="FM102" s="152"/>
      <c r="FN102" s="152"/>
      <c r="FO102" s="152"/>
      <c r="FP102" s="152"/>
      <c r="FQ102" s="152"/>
      <c r="FR102" s="152"/>
      <c r="FS102" s="152"/>
      <c r="FT102" s="152"/>
      <c r="FU102" s="152"/>
      <c r="FV102" s="152"/>
      <c r="FW102" s="152"/>
      <c r="FX102" s="152"/>
      <c r="FY102" s="152"/>
      <c r="FZ102" s="152"/>
      <c r="GA102" s="152"/>
      <c r="GB102" s="152"/>
      <c r="GC102" s="152"/>
      <c r="GD102" s="152"/>
      <c r="GE102" s="152"/>
      <c r="GF102" s="152"/>
      <c r="GG102" s="152"/>
      <c r="GH102" s="152"/>
      <c r="GI102" s="152"/>
      <c r="GJ102" s="152"/>
      <c r="GK102" s="152"/>
      <c r="GL102" s="152"/>
      <c r="GM102" s="152"/>
      <c r="GN102" s="152"/>
      <c r="GO102" s="152"/>
      <c r="GP102" s="152"/>
      <c r="GQ102" s="152"/>
      <c r="GR102" s="152"/>
      <c r="GS102" s="152"/>
      <c r="GT102" s="152"/>
      <c r="GU102" s="152"/>
      <c r="GV102" s="152"/>
      <c r="GW102" s="152"/>
      <c r="GX102" s="152"/>
      <c r="GY102" s="152"/>
      <c r="GZ102" s="152"/>
      <c r="HA102" s="152"/>
      <c r="HB102" s="152"/>
      <c r="HC102" s="152"/>
      <c r="HD102" s="152"/>
      <c r="HE102" s="152"/>
      <c r="HF102" s="152"/>
      <c r="HG102" s="152"/>
      <c r="HH102" s="152"/>
      <c r="HI102" s="152"/>
      <c r="HJ102" s="152"/>
      <c r="HK102" s="152"/>
      <c r="HL102" s="152"/>
      <c r="HM102" s="152"/>
      <c r="HN102" s="152"/>
      <c r="HO102" s="152"/>
      <c r="HP102" s="152"/>
      <c r="HQ102" s="152"/>
      <c r="HR102" s="152"/>
      <c r="HS102" s="152"/>
      <c r="HT102" s="152"/>
      <c r="HU102" s="152"/>
      <c r="HV102" s="152"/>
      <c r="HW102" s="152"/>
      <c r="HX102" s="152"/>
      <c r="HY102" s="152"/>
      <c r="HZ102" s="152"/>
    </row>
    <row r="103" spans="1:234" ht="15" customHeight="1">
      <c r="A103" s="217" t="s">
        <v>117</v>
      </c>
      <c r="B103" s="129"/>
      <c r="C103" s="129"/>
      <c r="D103" s="129"/>
      <c r="E103" s="129"/>
      <c r="F103" s="129"/>
      <c r="G103" s="129"/>
      <c r="H103" s="129"/>
      <c r="I103" s="129"/>
      <c r="J103" s="160"/>
      <c r="K103" s="184" t="e">
        <f>K90</f>
        <v>#REF!</v>
      </c>
      <c r="L103" s="184" t="e">
        <f>L90</f>
        <v>#REF!</v>
      </c>
      <c r="M103" s="184" t="e">
        <f>M90</f>
        <v>#REF!</v>
      </c>
      <c r="N103" s="184" t="e">
        <f>N90</f>
        <v>#REF!</v>
      </c>
      <c r="O103" s="151"/>
      <c r="P103" s="151"/>
      <c r="Q103" s="151"/>
      <c r="R103" s="151"/>
      <c r="S103" s="151"/>
      <c r="T103" s="151"/>
      <c r="U103" s="151"/>
      <c r="V103" s="151"/>
      <c r="W103" s="151"/>
      <c r="X103" s="151"/>
      <c r="Y103" s="151"/>
      <c r="Z103" s="151"/>
      <c r="AA103" s="151"/>
      <c r="AB103" s="151"/>
      <c r="AC103" s="151"/>
      <c r="AD103" s="151"/>
      <c r="AE103" s="151"/>
      <c r="AF103" s="151"/>
      <c r="AG103" s="151"/>
      <c r="AH103" s="151"/>
      <c r="AI103" s="151"/>
      <c r="AJ103" s="151"/>
      <c r="AK103" s="151"/>
      <c r="AL103" s="151"/>
      <c r="AM103" s="151"/>
      <c r="AN103" s="151"/>
      <c r="AO103" s="151"/>
      <c r="AP103" s="151"/>
      <c r="AQ103" s="151"/>
      <c r="AR103" s="151"/>
      <c r="AS103" s="151"/>
      <c r="AT103" s="151"/>
      <c r="AU103" s="151"/>
      <c r="AV103" s="151"/>
      <c r="AW103" s="151"/>
      <c r="AX103" s="151"/>
      <c r="AY103" s="151"/>
      <c r="AZ103" s="151"/>
      <c r="BA103" s="151"/>
      <c r="BB103" s="151"/>
      <c r="BC103" s="151"/>
      <c r="BD103" s="151"/>
      <c r="BE103" s="151"/>
      <c r="BF103" s="151"/>
      <c r="BG103" s="151"/>
      <c r="BH103" s="151"/>
      <c r="BI103" s="151"/>
      <c r="BJ103" s="151"/>
      <c r="BK103" s="151"/>
      <c r="BL103" s="151"/>
      <c r="BM103" s="151"/>
      <c r="BN103" s="151"/>
      <c r="BO103" s="151"/>
      <c r="BP103" s="151"/>
      <c r="BQ103" s="151"/>
      <c r="BR103" s="151"/>
      <c r="BS103" s="151"/>
      <c r="BT103" s="151"/>
      <c r="BU103" s="151"/>
      <c r="BV103" s="151"/>
      <c r="BW103" s="151"/>
      <c r="BX103" s="151"/>
      <c r="BY103" s="151"/>
      <c r="BZ103" s="151"/>
      <c r="CA103" s="151"/>
      <c r="CB103" s="151"/>
      <c r="CC103" s="151"/>
      <c r="CD103" s="151"/>
      <c r="CE103" s="151"/>
      <c r="CF103" s="151"/>
      <c r="CG103" s="152"/>
      <c r="CH103" s="152"/>
      <c r="CI103" s="152"/>
      <c r="CJ103" s="152"/>
      <c r="CK103" s="152"/>
      <c r="CL103" s="152"/>
      <c r="CM103" s="152"/>
      <c r="CN103" s="152"/>
      <c r="CO103" s="152"/>
      <c r="CP103" s="152"/>
      <c r="CQ103" s="152"/>
      <c r="CR103" s="152"/>
      <c r="CS103" s="152"/>
      <c r="CT103" s="152"/>
      <c r="CU103" s="152"/>
      <c r="CV103" s="152"/>
      <c r="CW103" s="152"/>
      <c r="CX103" s="152"/>
      <c r="CY103" s="152"/>
      <c r="CZ103" s="152"/>
      <c r="DA103" s="152"/>
      <c r="DB103" s="152"/>
      <c r="DC103" s="152"/>
      <c r="DD103" s="152"/>
      <c r="DE103" s="152"/>
      <c r="DF103" s="152"/>
      <c r="DG103" s="152"/>
      <c r="DH103" s="152"/>
      <c r="DI103" s="152"/>
      <c r="DJ103" s="152"/>
      <c r="DK103" s="152"/>
      <c r="DL103" s="152"/>
      <c r="DM103" s="152"/>
      <c r="DN103" s="152"/>
      <c r="DO103" s="152"/>
      <c r="DP103" s="152"/>
      <c r="DQ103" s="152"/>
      <c r="DR103" s="152"/>
      <c r="DS103" s="152"/>
      <c r="DT103" s="152"/>
      <c r="DU103" s="152"/>
      <c r="DV103" s="152"/>
      <c r="DW103" s="152"/>
      <c r="DX103" s="152"/>
      <c r="DY103" s="152"/>
      <c r="DZ103" s="152"/>
      <c r="EA103" s="152"/>
      <c r="EB103" s="152"/>
      <c r="EC103" s="152"/>
      <c r="ED103" s="152"/>
      <c r="EE103" s="152"/>
      <c r="EF103" s="152"/>
      <c r="EG103" s="152"/>
      <c r="EH103" s="152"/>
      <c r="EI103" s="152"/>
      <c r="EJ103" s="152"/>
      <c r="EK103" s="152"/>
      <c r="EL103" s="152"/>
      <c r="EM103" s="152"/>
      <c r="EN103" s="152"/>
      <c r="EO103" s="152"/>
      <c r="EP103" s="152"/>
      <c r="EQ103" s="152"/>
      <c r="ER103" s="152"/>
      <c r="ES103" s="152"/>
      <c r="ET103" s="152"/>
      <c r="EU103" s="152"/>
      <c r="EV103" s="152"/>
      <c r="EW103" s="152"/>
      <c r="EX103" s="152"/>
      <c r="EY103" s="152"/>
      <c r="EZ103" s="152"/>
      <c r="FA103" s="152"/>
      <c r="FB103" s="152"/>
      <c r="FC103" s="152"/>
      <c r="FD103" s="152"/>
      <c r="FE103" s="152"/>
      <c r="FF103" s="152"/>
      <c r="FG103" s="152"/>
      <c r="FH103" s="152"/>
      <c r="FI103" s="152"/>
      <c r="FJ103" s="152"/>
      <c r="FK103" s="152"/>
      <c r="FL103" s="152"/>
      <c r="FM103" s="152"/>
      <c r="FN103" s="152"/>
      <c r="FO103" s="152"/>
      <c r="FP103" s="152"/>
      <c r="FQ103" s="152"/>
      <c r="FR103" s="152"/>
      <c r="FS103" s="152"/>
      <c r="FT103" s="152"/>
      <c r="FU103" s="152"/>
      <c r="FV103" s="152"/>
      <c r="FW103" s="152"/>
      <c r="FX103" s="152"/>
      <c r="FY103" s="152"/>
      <c r="FZ103" s="152"/>
      <c r="GA103" s="152"/>
      <c r="GB103" s="152"/>
      <c r="GC103" s="152"/>
      <c r="GD103" s="152"/>
      <c r="GE103" s="152"/>
      <c r="GF103" s="152"/>
      <c r="GG103" s="152"/>
      <c r="GH103" s="152"/>
      <c r="GI103" s="152"/>
      <c r="GJ103" s="152"/>
      <c r="GK103" s="152"/>
      <c r="GL103" s="152"/>
      <c r="GM103" s="152"/>
      <c r="GN103" s="152"/>
      <c r="GO103" s="152"/>
      <c r="GP103" s="152"/>
      <c r="GQ103" s="152"/>
      <c r="GR103" s="152"/>
      <c r="GS103" s="152"/>
      <c r="GT103" s="152"/>
      <c r="GU103" s="152"/>
      <c r="GV103" s="152"/>
      <c r="GW103" s="152"/>
      <c r="GX103" s="152"/>
      <c r="GY103" s="152"/>
      <c r="GZ103" s="152"/>
      <c r="HA103" s="152"/>
      <c r="HB103" s="152"/>
      <c r="HC103" s="152"/>
      <c r="HD103" s="152"/>
      <c r="HE103" s="152"/>
      <c r="HF103" s="152"/>
      <c r="HG103" s="152"/>
      <c r="HH103" s="152"/>
      <c r="HI103" s="152"/>
      <c r="HJ103" s="152"/>
      <c r="HK103" s="152"/>
      <c r="HL103" s="152"/>
      <c r="HM103" s="152"/>
      <c r="HN103" s="152"/>
      <c r="HO103" s="152"/>
      <c r="HP103" s="152"/>
      <c r="HQ103" s="152"/>
      <c r="HR103" s="152"/>
      <c r="HS103" s="152"/>
      <c r="HT103" s="152"/>
      <c r="HU103" s="152"/>
      <c r="HV103" s="152"/>
      <c r="HW103" s="152"/>
      <c r="HX103" s="152"/>
      <c r="HY103" s="152"/>
      <c r="HZ103" s="152"/>
    </row>
    <row r="104" spans="1:234" ht="15" customHeight="1">
      <c r="A104" s="217" t="s">
        <v>118</v>
      </c>
      <c r="B104" s="129"/>
      <c r="C104" s="129"/>
      <c r="D104" s="129"/>
      <c r="E104" s="129"/>
      <c r="F104" s="129"/>
      <c r="G104" s="129"/>
      <c r="H104" s="129"/>
      <c r="I104" s="129"/>
      <c r="J104" s="160"/>
      <c r="K104" s="184" t="e">
        <f>K98</f>
        <v>#REF!</v>
      </c>
      <c r="L104" s="184" t="e">
        <f>L98</f>
        <v>#REF!</v>
      </c>
      <c r="M104" s="184" t="e">
        <f>M98</f>
        <v>#REF!</v>
      </c>
      <c r="N104" s="184" t="e">
        <f>N98</f>
        <v>#REF!</v>
      </c>
      <c r="O104" s="151"/>
      <c r="P104" s="151"/>
      <c r="Q104" s="151"/>
      <c r="R104" s="151"/>
      <c r="S104" s="151"/>
      <c r="T104" s="151"/>
      <c r="U104" s="151"/>
      <c r="V104" s="151"/>
      <c r="W104" s="151"/>
      <c r="X104" s="151"/>
      <c r="Y104" s="151"/>
      <c r="Z104" s="151"/>
      <c r="AA104" s="151"/>
      <c r="AB104" s="151"/>
      <c r="AC104" s="151"/>
      <c r="AD104" s="151"/>
      <c r="AE104" s="151"/>
      <c r="AF104" s="151"/>
      <c r="AG104" s="151"/>
      <c r="AH104" s="151"/>
      <c r="AI104" s="151"/>
      <c r="AJ104" s="151"/>
      <c r="AK104" s="151"/>
      <c r="AL104" s="151"/>
      <c r="AM104" s="151"/>
      <c r="AN104" s="151"/>
      <c r="AO104" s="151"/>
      <c r="AP104" s="151"/>
      <c r="AQ104" s="151"/>
      <c r="AR104" s="151"/>
      <c r="AS104" s="151"/>
      <c r="AT104" s="151"/>
      <c r="AU104" s="151"/>
      <c r="AV104" s="151"/>
      <c r="AW104" s="151"/>
      <c r="AX104" s="151"/>
      <c r="AY104" s="151"/>
      <c r="AZ104" s="151"/>
      <c r="BA104" s="151"/>
      <c r="BB104" s="151"/>
      <c r="BC104" s="151"/>
      <c r="BD104" s="151"/>
      <c r="BE104" s="151"/>
      <c r="BF104" s="151"/>
      <c r="BG104" s="151"/>
      <c r="BH104" s="151"/>
      <c r="BI104" s="151"/>
      <c r="BJ104" s="151"/>
      <c r="BK104" s="151"/>
      <c r="BL104" s="151"/>
      <c r="BM104" s="151"/>
      <c r="BN104" s="151"/>
      <c r="BO104" s="151"/>
      <c r="BP104" s="151"/>
      <c r="BQ104" s="151"/>
      <c r="BR104" s="151"/>
      <c r="BS104" s="151"/>
      <c r="BT104" s="151"/>
      <c r="BU104" s="151"/>
      <c r="BV104" s="151"/>
      <c r="BW104" s="151"/>
      <c r="BX104" s="151"/>
      <c r="BY104" s="151"/>
      <c r="BZ104" s="151"/>
      <c r="CA104" s="151"/>
      <c r="CB104" s="151"/>
      <c r="CC104" s="151"/>
      <c r="CD104" s="151"/>
      <c r="CE104" s="151"/>
      <c r="CF104" s="151"/>
      <c r="CG104" s="152"/>
      <c r="CH104" s="152"/>
      <c r="CI104" s="152"/>
      <c r="CJ104" s="152"/>
      <c r="CK104" s="152"/>
      <c r="CL104" s="152"/>
      <c r="CM104" s="152"/>
      <c r="CN104" s="152"/>
      <c r="CO104" s="152"/>
      <c r="CP104" s="152"/>
      <c r="CQ104" s="152"/>
      <c r="CR104" s="152"/>
      <c r="CS104" s="152"/>
      <c r="CT104" s="152"/>
      <c r="CU104" s="152"/>
      <c r="CV104" s="152"/>
      <c r="CW104" s="152"/>
      <c r="CX104" s="152"/>
      <c r="CY104" s="152"/>
      <c r="CZ104" s="152"/>
      <c r="DA104" s="152"/>
      <c r="DB104" s="152"/>
      <c r="DC104" s="152"/>
      <c r="DD104" s="152"/>
      <c r="DE104" s="152"/>
      <c r="DF104" s="152"/>
      <c r="DG104" s="152"/>
      <c r="DH104" s="152"/>
      <c r="DI104" s="152"/>
      <c r="DJ104" s="152"/>
      <c r="DK104" s="152"/>
      <c r="DL104" s="152"/>
      <c r="DM104" s="152"/>
      <c r="DN104" s="152"/>
      <c r="DO104" s="152"/>
      <c r="DP104" s="152"/>
      <c r="DQ104" s="152"/>
      <c r="DR104" s="152"/>
      <c r="DS104" s="152"/>
      <c r="DT104" s="152"/>
      <c r="DU104" s="152"/>
      <c r="DV104" s="152"/>
      <c r="DW104" s="152"/>
      <c r="DX104" s="152"/>
      <c r="DY104" s="152"/>
      <c r="DZ104" s="152"/>
      <c r="EA104" s="152"/>
      <c r="EB104" s="152"/>
      <c r="EC104" s="152"/>
      <c r="ED104" s="152"/>
      <c r="EE104" s="152"/>
      <c r="EF104" s="152"/>
      <c r="EG104" s="152"/>
      <c r="EH104" s="152"/>
      <c r="EI104" s="152"/>
      <c r="EJ104" s="152"/>
      <c r="EK104" s="152"/>
      <c r="EL104" s="152"/>
      <c r="EM104" s="152"/>
      <c r="EN104" s="152"/>
      <c r="EO104" s="152"/>
      <c r="EP104" s="152"/>
      <c r="EQ104" s="152"/>
      <c r="ER104" s="152"/>
      <c r="ES104" s="152"/>
      <c r="ET104" s="152"/>
      <c r="EU104" s="152"/>
      <c r="EV104" s="152"/>
      <c r="EW104" s="152"/>
      <c r="EX104" s="152"/>
      <c r="EY104" s="152"/>
      <c r="EZ104" s="152"/>
      <c r="FA104" s="152"/>
      <c r="FB104" s="152"/>
      <c r="FC104" s="152"/>
      <c r="FD104" s="152"/>
      <c r="FE104" s="152"/>
      <c r="FF104" s="152"/>
      <c r="FG104" s="152"/>
      <c r="FH104" s="152"/>
      <c r="FI104" s="152"/>
      <c r="FJ104" s="152"/>
      <c r="FK104" s="152"/>
      <c r="FL104" s="152"/>
      <c r="FM104" s="152"/>
      <c r="FN104" s="152"/>
      <c r="FO104" s="152"/>
      <c r="FP104" s="152"/>
      <c r="FQ104" s="152"/>
      <c r="FR104" s="152"/>
      <c r="FS104" s="152"/>
      <c r="FT104" s="152"/>
      <c r="FU104" s="152"/>
      <c r="FV104" s="152"/>
      <c r="FW104" s="152"/>
      <c r="FX104" s="152"/>
      <c r="FY104" s="152"/>
      <c r="FZ104" s="152"/>
      <c r="GA104" s="152"/>
      <c r="GB104" s="152"/>
      <c r="GC104" s="152"/>
      <c r="GD104" s="152"/>
      <c r="GE104" s="152"/>
      <c r="GF104" s="152"/>
      <c r="GG104" s="152"/>
      <c r="GH104" s="152"/>
      <c r="GI104" s="152"/>
      <c r="GJ104" s="152"/>
      <c r="GK104" s="152"/>
      <c r="GL104" s="152"/>
      <c r="GM104" s="152"/>
      <c r="GN104" s="152"/>
      <c r="GO104" s="152"/>
      <c r="GP104" s="152"/>
      <c r="GQ104" s="152"/>
      <c r="GR104" s="152"/>
      <c r="GS104" s="152"/>
      <c r="GT104" s="152"/>
      <c r="GU104" s="152"/>
      <c r="GV104" s="152"/>
      <c r="GW104" s="152"/>
      <c r="GX104" s="152"/>
      <c r="GY104" s="152"/>
      <c r="GZ104" s="152"/>
      <c r="HA104" s="152"/>
      <c r="HB104" s="152"/>
      <c r="HC104" s="152"/>
      <c r="HD104" s="152"/>
      <c r="HE104" s="152"/>
      <c r="HF104" s="152"/>
      <c r="HG104" s="152"/>
      <c r="HH104" s="152"/>
      <c r="HI104" s="152"/>
      <c r="HJ104" s="152"/>
      <c r="HK104" s="152"/>
      <c r="HL104" s="152"/>
      <c r="HM104" s="152"/>
      <c r="HN104" s="152"/>
      <c r="HO104" s="152"/>
      <c r="HP104" s="152"/>
      <c r="HQ104" s="152"/>
      <c r="HR104" s="152"/>
      <c r="HS104" s="152"/>
      <c r="HT104" s="152"/>
      <c r="HU104" s="152"/>
      <c r="HV104" s="152"/>
      <c r="HW104" s="152"/>
      <c r="HX104" s="152"/>
      <c r="HY104" s="152"/>
      <c r="HZ104" s="152"/>
    </row>
    <row r="105" spans="1:234" ht="14.1" customHeight="1">
      <c r="A105" s="231" t="s">
        <v>24</v>
      </c>
      <c r="B105" s="232"/>
      <c r="C105" s="232"/>
      <c r="D105" s="232"/>
      <c r="E105" s="232"/>
      <c r="F105" s="232"/>
      <c r="G105" s="232"/>
      <c r="H105" s="232"/>
      <c r="I105" s="168"/>
      <c r="J105" s="206"/>
      <c r="K105" s="233" t="e">
        <f>SUM(K100:K104)</f>
        <v>#REF!</v>
      </c>
      <c r="L105" s="233" t="e">
        <f>SUM(L100:L104)</f>
        <v>#REF!</v>
      </c>
      <c r="M105" s="233" t="e">
        <f>SUM(M100:M104)</f>
        <v>#REF!</v>
      </c>
      <c r="N105" s="233" t="e">
        <f>SUM(N100:N104)</f>
        <v>#REF!</v>
      </c>
    </row>
    <row r="106" spans="1:234" ht="22.5" customHeight="1">
      <c r="A106" s="207" t="s">
        <v>119</v>
      </c>
      <c r="B106" s="208"/>
      <c r="C106" s="208"/>
      <c r="D106" s="208"/>
      <c r="E106" s="208"/>
      <c r="F106" s="208"/>
      <c r="G106" s="166"/>
      <c r="H106" s="166"/>
      <c r="I106" s="166"/>
      <c r="J106" s="234" t="s">
        <v>75</v>
      </c>
      <c r="K106" s="235"/>
      <c r="L106" s="235"/>
      <c r="M106" s="235"/>
      <c r="N106" s="235"/>
    </row>
    <row r="107" spans="1:234">
      <c r="A107" s="190" t="s">
        <v>121</v>
      </c>
      <c r="B107" s="179"/>
      <c r="C107" s="179"/>
      <c r="D107" s="179"/>
      <c r="E107" s="179"/>
      <c r="F107" s="165"/>
      <c r="G107" s="165"/>
      <c r="H107" s="165"/>
      <c r="I107" s="344"/>
      <c r="J107" s="165"/>
      <c r="K107" s="344"/>
      <c r="L107" s="344"/>
      <c r="M107" s="344"/>
      <c r="N107" s="344"/>
    </row>
    <row r="108" spans="1:234" ht="15.95" customHeight="1">
      <c r="A108" s="277" t="s">
        <v>7</v>
      </c>
      <c r="B108" s="201" t="s">
        <v>162</v>
      </c>
      <c r="C108" s="179"/>
      <c r="D108" s="179"/>
      <c r="E108" s="179"/>
      <c r="F108" s="179"/>
      <c r="G108" s="179"/>
      <c r="H108" s="179"/>
      <c r="I108" s="202"/>
      <c r="J108" s="313" t="e">
        <f>#REF!</f>
        <v>#REF!</v>
      </c>
      <c r="K108" s="188" t="e">
        <f>$J108*$K$105</f>
        <v>#REF!</v>
      </c>
      <c r="L108" s="188" t="e">
        <f>$J108*$L$105</f>
        <v>#REF!</v>
      </c>
      <c r="M108" s="188" t="e">
        <f>$J108*$M$105</f>
        <v>#REF!</v>
      </c>
      <c r="N108" s="188" t="e">
        <f>$J108*$N$105</f>
        <v>#REF!</v>
      </c>
    </row>
    <row r="109" spans="1:234" ht="15" customHeight="1">
      <c r="A109" s="277" t="s">
        <v>9</v>
      </c>
      <c r="B109" s="178" t="s">
        <v>163</v>
      </c>
      <c r="C109" s="179"/>
      <c r="D109" s="179"/>
      <c r="E109" s="179"/>
      <c r="F109" s="179"/>
      <c r="G109" s="179"/>
      <c r="H109" s="179"/>
      <c r="I109" s="202"/>
      <c r="J109" s="313" t="e">
        <f>#REF!</f>
        <v>#REF!</v>
      </c>
      <c r="K109" s="188" t="e">
        <f>$J109*($K$105+$K$108)</f>
        <v>#REF!</v>
      </c>
      <c r="L109" s="188" t="e">
        <f>$J109*(L105+L108)</f>
        <v>#REF!</v>
      </c>
      <c r="M109" s="188" t="e">
        <f>$J109*($M$105+$M$108)</f>
        <v>#REF!</v>
      </c>
      <c r="N109" s="188" t="e">
        <f>$J109*($N$105+$N$108)</f>
        <v>#REF!</v>
      </c>
    </row>
    <row r="110" spans="1:234" ht="15" customHeight="1">
      <c r="A110" s="1269" t="s">
        <v>11</v>
      </c>
      <c r="B110" s="196" t="s">
        <v>122</v>
      </c>
      <c r="C110" s="197"/>
      <c r="D110" s="197"/>
      <c r="E110" s="197"/>
      <c r="F110" s="197"/>
      <c r="G110" s="197"/>
      <c r="H110" s="198"/>
      <c r="I110" s="203" t="s">
        <v>120</v>
      </c>
      <c r="J110" s="1272" t="e">
        <f>SUM(I111:I116)</f>
        <v>#REF!</v>
      </c>
      <c r="K110" s="1275" t="e">
        <f>($J110)*(K105+K108+K109)/1-$J110</f>
        <v>#REF!</v>
      </c>
      <c r="L110" s="1275" t="e">
        <f>($J110)*(L105+L108+L109)/1-$J110</f>
        <v>#REF!</v>
      </c>
      <c r="M110" s="1275" t="e">
        <f>($J110)*(M105+M108+M109)/1-$J110</f>
        <v>#REF!</v>
      </c>
      <c r="N110" s="1275" t="e">
        <f>$J110*(N105+N108+N109)</f>
        <v>#REF!</v>
      </c>
    </row>
    <row r="111" spans="1:234" ht="12.75" customHeight="1">
      <c r="A111" s="1270"/>
      <c r="B111" s="199" t="s">
        <v>123</v>
      </c>
      <c r="C111" s="1278" t="s">
        <v>124</v>
      </c>
      <c r="D111" s="1278"/>
      <c r="E111" s="1278"/>
      <c r="F111" s="200" t="s">
        <v>125</v>
      </c>
      <c r="G111" s="197"/>
      <c r="H111" s="198"/>
      <c r="I111" s="314" t="e">
        <f>#REF!</f>
        <v>#REF!</v>
      </c>
      <c r="J111" s="1273"/>
      <c r="K111" s="1275"/>
      <c r="L111" s="1275"/>
      <c r="M111" s="1275"/>
      <c r="N111" s="1275"/>
      <c r="O111" s="151"/>
      <c r="P111" s="151"/>
      <c r="Q111" s="151"/>
      <c r="R111" s="151"/>
      <c r="S111" s="151"/>
      <c r="T111" s="151"/>
      <c r="U111" s="151"/>
      <c r="V111" s="151"/>
      <c r="W111" s="151"/>
      <c r="X111" s="151"/>
      <c r="Y111" s="151"/>
      <c r="Z111" s="151"/>
      <c r="AA111" s="151"/>
      <c r="AB111" s="151"/>
      <c r="AC111" s="151"/>
      <c r="AD111" s="151"/>
      <c r="AE111" s="151"/>
      <c r="AF111" s="151"/>
      <c r="AG111" s="151"/>
      <c r="AH111" s="151"/>
      <c r="AI111" s="151"/>
      <c r="AJ111" s="151"/>
      <c r="AK111" s="151"/>
      <c r="AL111" s="151"/>
      <c r="AM111" s="151"/>
      <c r="AN111" s="151"/>
      <c r="AO111" s="151"/>
      <c r="AP111" s="151"/>
      <c r="AQ111" s="151"/>
      <c r="AR111" s="151"/>
      <c r="AS111" s="151"/>
      <c r="AT111" s="151"/>
      <c r="AU111" s="151"/>
      <c r="AV111" s="151"/>
      <c r="AW111" s="151"/>
      <c r="AX111" s="151"/>
      <c r="AY111" s="151"/>
      <c r="AZ111" s="151"/>
      <c r="BA111" s="151"/>
      <c r="BB111" s="151"/>
      <c r="BC111" s="151"/>
      <c r="BD111" s="151"/>
      <c r="BE111" s="151"/>
      <c r="BF111" s="151"/>
      <c r="BG111" s="151"/>
      <c r="BH111" s="151"/>
      <c r="BI111" s="151"/>
      <c r="BJ111" s="151"/>
      <c r="BK111" s="151"/>
      <c r="BL111" s="151"/>
      <c r="BM111" s="151"/>
      <c r="BN111" s="151"/>
      <c r="BO111" s="151"/>
      <c r="BP111" s="151"/>
      <c r="BQ111" s="151"/>
      <c r="BR111" s="151"/>
      <c r="BS111" s="151"/>
      <c r="BT111" s="151"/>
      <c r="BU111" s="151"/>
      <c r="BV111" s="151"/>
      <c r="BW111" s="151"/>
      <c r="BX111" s="151"/>
      <c r="BY111" s="151"/>
      <c r="BZ111" s="151"/>
      <c r="CA111" s="151"/>
      <c r="CB111" s="151"/>
      <c r="CC111" s="151"/>
      <c r="CD111" s="151"/>
      <c r="CE111" s="151"/>
      <c r="CF111" s="151"/>
      <c r="CG111" s="152"/>
      <c r="CH111" s="152"/>
      <c r="CI111" s="152"/>
      <c r="CJ111" s="152"/>
      <c r="CK111" s="152"/>
      <c r="CL111" s="152"/>
      <c r="CM111" s="152"/>
      <c r="CN111" s="152"/>
      <c r="CO111" s="152"/>
      <c r="CP111" s="152"/>
      <c r="CQ111" s="152"/>
      <c r="CR111" s="152"/>
      <c r="CS111" s="152"/>
      <c r="CT111" s="152"/>
      <c r="CU111" s="152"/>
      <c r="CV111" s="152"/>
      <c r="CW111" s="152"/>
      <c r="CX111" s="152"/>
      <c r="CY111" s="152"/>
      <c r="CZ111" s="152"/>
      <c r="DA111" s="152"/>
      <c r="DB111" s="152"/>
      <c r="DC111" s="152"/>
      <c r="DD111" s="152"/>
      <c r="DE111" s="152"/>
      <c r="DF111" s="152"/>
      <c r="DG111" s="152"/>
      <c r="DH111" s="152"/>
      <c r="DI111" s="152"/>
      <c r="DJ111" s="152"/>
      <c r="DK111" s="152"/>
      <c r="DL111" s="152"/>
      <c r="DM111" s="152"/>
      <c r="DN111" s="152"/>
      <c r="DO111" s="152"/>
      <c r="DP111" s="152"/>
      <c r="DQ111" s="152"/>
      <c r="DR111" s="152"/>
      <c r="DS111" s="152"/>
      <c r="DT111" s="152"/>
      <c r="DU111" s="152"/>
      <c r="DV111" s="152"/>
      <c r="DW111" s="152"/>
      <c r="DX111" s="152"/>
      <c r="DY111" s="152"/>
      <c r="DZ111" s="152"/>
      <c r="EA111" s="152"/>
      <c r="EB111" s="152"/>
      <c r="EC111" s="152"/>
      <c r="ED111" s="152"/>
      <c r="EE111" s="152"/>
      <c r="EF111" s="152"/>
      <c r="EG111" s="152"/>
      <c r="EH111" s="152"/>
      <c r="EI111" s="152"/>
      <c r="EJ111" s="152"/>
      <c r="EK111" s="152"/>
      <c r="EL111" s="152"/>
      <c r="EM111" s="152"/>
      <c r="EN111" s="152"/>
      <c r="EO111" s="152"/>
      <c r="EP111" s="152"/>
      <c r="EQ111" s="152"/>
      <c r="ER111" s="152"/>
      <c r="ES111" s="152"/>
      <c r="ET111" s="152"/>
      <c r="EU111" s="152"/>
      <c r="EV111" s="152"/>
      <c r="EW111" s="152"/>
      <c r="EX111" s="152"/>
      <c r="EY111" s="152"/>
      <c r="EZ111" s="152"/>
      <c r="FA111" s="152"/>
      <c r="FB111" s="152"/>
      <c r="FC111" s="152"/>
      <c r="FD111" s="152"/>
      <c r="FE111" s="152"/>
      <c r="FF111" s="152"/>
      <c r="FG111" s="152"/>
      <c r="FH111" s="152"/>
      <c r="FI111" s="152"/>
      <c r="FJ111" s="152"/>
      <c r="FK111" s="152"/>
      <c r="FL111" s="152"/>
      <c r="FM111" s="152"/>
      <c r="FN111" s="152"/>
      <c r="FO111" s="152"/>
      <c r="FP111" s="152"/>
      <c r="FQ111" s="152"/>
      <c r="FR111" s="152"/>
      <c r="FS111" s="152"/>
      <c r="FT111" s="152"/>
      <c r="FU111" s="152"/>
      <c r="FV111" s="152"/>
      <c r="FW111" s="152"/>
      <c r="FX111" s="152"/>
      <c r="FY111" s="152"/>
      <c r="FZ111" s="152"/>
      <c r="GA111" s="152"/>
      <c r="GB111" s="152"/>
      <c r="GC111" s="152"/>
      <c r="GD111" s="152"/>
      <c r="GE111" s="152"/>
      <c r="GF111" s="152"/>
      <c r="GG111" s="152"/>
      <c r="GH111" s="152"/>
      <c r="GI111" s="152"/>
      <c r="GJ111" s="152"/>
      <c r="GK111" s="152"/>
      <c r="GL111" s="152"/>
      <c r="GM111" s="152"/>
      <c r="GN111" s="152"/>
      <c r="GO111" s="152"/>
      <c r="GP111" s="152"/>
      <c r="GQ111" s="152"/>
      <c r="GR111" s="152"/>
      <c r="GS111" s="152"/>
      <c r="GT111" s="152"/>
      <c r="GU111" s="152"/>
      <c r="GV111" s="152"/>
      <c r="GW111" s="152"/>
      <c r="GX111" s="152"/>
      <c r="GY111" s="152"/>
      <c r="GZ111" s="152"/>
      <c r="HA111" s="152"/>
      <c r="HB111" s="152"/>
      <c r="HC111" s="152"/>
      <c r="HD111" s="152"/>
      <c r="HE111" s="152"/>
      <c r="HF111" s="152"/>
      <c r="HG111" s="152"/>
      <c r="HH111" s="152"/>
      <c r="HI111" s="152"/>
      <c r="HJ111" s="152"/>
      <c r="HK111" s="152"/>
      <c r="HL111" s="152"/>
      <c r="HM111" s="152"/>
      <c r="HN111" s="152"/>
      <c r="HO111" s="152"/>
      <c r="HP111" s="152"/>
      <c r="HQ111" s="152"/>
      <c r="HR111" s="152"/>
      <c r="HS111" s="152"/>
      <c r="HT111" s="152"/>
      <c r="HU111" s="152"/>
      <c r="HV111" s="152"/>
      <c r="HW111" s="152"/>
      <c r="HX111" s="152"/>
      <c r="HY111" s="152"/>
      <c r="HZ111" s="152"/>
    </row>
    <row r="112" spans="1:234" ht="12.75" customHeight="1">
      <c r="A112" s="1270"/>
      <c r="B112" s="193"/>
      <c r="C112" s="194"/>
      <c r="D112" s="194"/>
      <c r="E112" s="195"/>
      <c r="F112" s="190" t="s">
        <v>126</v>
      </c>
      <c r="G112" s="179"/>
      <c r="H112" s="177"/>
      <c r="I112" s="314" t="e">
        <f>#REF!</f>
        <v>#REF!</v>
      </c>
      <c r="J112" s="1273"/>
      <c r="K112" s="1275"/>
      <c r="L112" s="1275"/>
      <c r="M112" s="1275"/>
      <c r="N112" s="1275"/>
      <c r="O112" s="151"/>
      <c r="P112" s="151"/>
      <c r="Q112" s="151"/>
      <c r="R112" s="151"/>
      <c r="S112" s="151"/>
      <c r="T112" s="151"/>
      <c r="U112" s="151"/>
      <c r="V112" s="151"/>
      <c r="W112" s="151"/>
      <c r="X112" s="151"/>
      <c r="Y112" s="151"/>
      <c r="Z112" s="151"/>
      <c r="AA112" s="151"/>
      <c r="AB112" s="151"/>
      <c r="AC112" s="151"/>
      <c r="AD112" s="151"/>
      <c r="AE112" s="151"/>
      <c r="AF112" s="151"/>
      <c r="AG112" s="151"/>
      <c r="AH112" s="151"/>
      <c r="AI112" s="151"/>
      <c r="AJ112" s="151"/>
      <c r="AK112" s="151"/>
      <c r="AL112" s="151"/>
      <c r="AM112" s="151"/>
      <c r="AN112" s="151"/>
      <c r="AO112" s="151"/>
      <c r="AP112" s="151"/>
      <c r="AQ112" s="151"/>
      <c r="AR112" s="151"/>
      <c r="AS112" s="151"/>
      <c r="AT112" s="151"/>
      <c r="AU112" s="151"/>
      <c r="AV112" s="151"/>
      <c r="AW112" s="151"/>
      <c r="AX112" s="151"/>
      <c r="AY112" s="151"/>
      <c r="AZ112" s="151"/>
      <c r="BA112" s="151"/>
      <c r="BB112" s="151"/>
      <c r="BC112" s="151"/>
      <c r="BD112" s="151"/>
      <c r="BE112" s="151"/>
      <c r="BF112" s="151"/>
      <c r="BG112" s="151"/>
      <c r="BH112" s="151"/>
      <c r="BI112" s="151"/>
      <c r="BJ112" s="151"/>
      <c r="BK112" s="151"/>
      <c r="BL112" s="151"/>
      <c r="BM112" s="151"/>
      <c r="BN112" s="151"/>
      <c r="BO112" s="151"/>
      <c r="BP112" s="151"/>
      <c r="BQ112" s="151"/>
      <c r="BR112" s="151"/>
      <c r="BS112" s="151"/>
      <c r="BT112" s="151"/>
      <c r="BU112" s="151"/>
      <c r="BV112" s="151"/>
      <c r="BW112" s="151"/>
      <c r="BX112" s="151"/>
      <c r="BY112" s="151"/>
      <c r="BZ112" s="151"/>
      <c r="CA112" s="151"/>
      <c r="CB112" s="151"/>
      <c r="CC112" s="151"/>
      <c r="CD112" s="151"/>
      <c r="CE112" s="151"/>
      <c r="CF112" s="151"/>
      <c r="CG112" s="152"/>
      <c r="CH112" s="152"/>
      <c r="CI112" s="152"/>
      <c r="CJ112" s="152"/>
      <c r="CK112" s="152"/>
      <c r="CL112" s="152"/>
      <c r="CM112" s="152"/>
      <c r="CN112" s="152"/>
      <c r="CO112" s="152"/>
      <c r="CP112" s="152"/>
      <c r="CQ112" s="152"/>
      <c r="CR112" s="152"/>
      <c r="CS112" s="152"/>
      <c r="CT112" s="152"/>
      <c r="CU112" s="152"/>
      <c r="CV112" s="152"/>
      <c r="CW112" s="152"/>
      <c r="CX112" s="152"/>
      <c r="CY112" s="152"/>
      <c r="CZ112" s="152"/>
      <c r="DA112" s="152"/>
      <c r="DB112" s="152"/>
      <c r="DC112" s="152"/>
      <c r="DD112" s="152"/>
      <c r="DE112" s="152"/>
      <c r="DF112" s="152"/>
      <c r="DG112" s="152"/>
      <c r="DH112" s="152"/>
      <c r="DI112" s="152"/>
      <c r="DJ112" s="152"/>
      <c r="DK112" s="152"/>
      <c r="DL112" s="152"/>
      <c r="DM112" s="152"/>
      <c r="DN112" s="152"/>
      <c r="DO112" s="152"/>
      <c r="DP112" s="152"/>
      <c r="DQ112" s="152"/>
      <c r="DR112" s="152"/>
      <c r="DS112" s="152"/>
      <c r="DT112" s="152"/>
      <c r="DU112" s="152"/>
      <c r="DV112" s="152"/>
      <c r="DW112" s="152"/>
      <c r="DX112" s="152"/>
      <c r="DY112" s="152"/>
      <c r="DZ112" s="152"/>
      <c r="EA112" s="152"/>
      <c r="EB112" s="152"/>
      <c r="EC112" s="152"/>
      <c r="ED112" s="152"/>
      <c r="EE112" s="152"/>
      <c r="EF112" s="152"/>
      <c r="EG112" s="152"/>
      <c r="EH112" s="152"/>
      <c r="EI112" s="152"/>
      <c r="EJ112" s="152"/>
      <c r="EK112" s="152"/>
      <c r="EL112" s="152"/>
      <c r="EM112" s="152"/>
      <c r="EN112" s="152"/>
      <c r="EO112" s="152"/>
      <c r="EP112" s="152"/>
      <c r="EQ112" s="152"/>
      <c r="ER112" s="152"/>
      <c r="ES112" s="152"/>
      <c r="ET112" s="152"/>
      <c r="EU112" s="152"/>
      <c r="EV112" s="152"/>
      <c r="EW112" s="152"/>
      <c r="EX112" s="152"/>
      <c r="EY112" s="152"/>
      <c r="EZ112" s="152"/>
      <c r="FA112" s="152"/>
      <c r="FB112" s="152"/>
      <c r="FC112" s="152"/>
      <c r="FD112" s="152"/>
      <c r="FE112" s="152"/>
      <c r="FF112" s="152"/>
      <c r="FG112" s="152"/>
      <c r="FH112" s="152"/>
      <c r="FI112" s="152"/>
      <c r="FJ112" s="152"/>
      <c r="FK112" s="152"/>
      <c r="FL112" s="152"/>
      <c r="FM112" s="152"/>
      <c r="FN112" s="152"/>
      <c r="FO112" s="152"/>
      <c r="FP112" s="152"/>
      <c r="FQ112" s="152"/>
      <c r="FR112" s="152"/>
      <c r="FS112" s="152"/>
      <c r="FT112" s="152"/>
      <c r="FU112" s="152"/>
      <c r="FV112" s="152"/>
      <c r="FW112" s="152"/>
      <c r="FX112" s="152"/>
      <c r="FY112" s="152"/>
      <c r="FZ112" s="152"/>
      <c r="GA112" s="152"/>
      <c r="GB112" s="152"/>
      <c r="GC112" s="152"/>
      <c r="GD112" s="152"/>
      <c r="GE112" s="152"/>
      <c r="GF112" s="152"/>
      <c r="GG112" s="152"/>
      <c r="GH112" s="152"/>
      <c r="GI112" s="152"/>
      <c r="GJ112" s="152"/>
      <c r="GK112" s="152"/>
      <c r="GL112" s="152"/>
      <c r="GM112" s="152"/>
      <c r="GN112" s="152"/>
      <c r="GO112" s="152"/>
      <c r="GP112" s="152"/>
      <c r="GQ112" s="152"/>
      <c r="GR112" s="152"/>
      <c r="GS112" s="152"/>
      <c r="GT112" s="152"/>
      <c r="GU112" s="152"/>
      <c r="GV112" s="152"/>
      <c r="GW112" s="152"/>
      <c r="GX112" s="152"/>
      <c r="GY112" s="152"/>
      <c r="GZ112" s="152"/>
      <c r="HA112" s="152"/>
      <c r="HB112" s="152"/>
      <c r="HC112" s="152"/>
      <c r="HD112" s="152"/>
      <c r="HE112" s="152"/>
      <c r="HF112" s="152"/>
      <c r="HG112" s="152"/>
      <c r="HH112" s="152"/>
      <c r="HI112" s="152"/>
      <c r="HJ112" s="152"/>
      <c r="HK112" s="152"/>
      <c r="HL112" s="152"/>
      <c r="HM112" s="152"/>
      <c r="HN112" s="152"/>
      <c r="HO112" s="152"/>
      <c r="HP112" s="152"/>
      <c r="HQ112" s="152"/>
      <c r="HR112" s="152"/>
      <c r="HS112" s="152"/>
      <c r="HT112" s="152"/>
      <c r="HU112" s="152"/>
      <c r="HV112" s="152"/>
      <c r="HW112" s="152"/>
      <c r="HX112" s="152"/>
      <c r="HY112" s="152"/>
      <c r="HZ112" s="152"/>
    </row>
    <row r="113" spans="1:234" ht="12.75" customHeight="1">
      <c r="A113" s="1270"/>
      <c r="B113" s="196"/>
      <c r="C113" s="197"/>
      <c r="D113" s="197"/>
      <c r="E113" s="198"/>
      <c r="F113" s="190" t="s">
        <v>164</v>
      </c>
      <c r="G113" s="1279"/>
      <c r="H113" s="1280"/>
      <c r="I113" s="315"/>
      <c r="J113" s="1273"/>
      <c r="K113" s="1275"/>
      <c r="L113" s="1275"/>
      <c r="M113" s="1275"/>
      <c r="N113" s="1275"/>
      <c r="O113" s="151"/>
      <c r="P113" s="151"/>
      <c r="Q113" s="151"/>
      <c r="R113" s="151"/>
      <c r="S113" s="151"/>
      <c r="T113" s="151"/>
      <c r="U113" s="151"/>
      <c r="V113" s="151"/>
      <c r="W113" s="151"/>
      <c r="X113" s="151"/>
      <c r="Y113" s="151"/>
      <c r="Z113" s="151"/>
      <c r="AA113" s="151"/>
      <c r="AB113" s="151"/>
      <c r="AC113" s="151"/>
      <c r="AD113" s="151"/>
      <c r="AE113" s="151"/>
      <c r="AF113" s="151"/>
      <c r="AG113" s="151"/>
      <c r="AH113" s="151"/>
      <c r="AI113" s="151"/>
      <c r="AJ113" s="151"/>
      <c r="AK113" s="151"/>
      <c r="AL113" s="151"/>
      <c r="AM113" s="151"/>
      <c r="AN113" s="151"/>
      <c r="AO113" s="151"/>
      <c r="AP113" s="151"/>
      <c r="AQ113" s="151"/>
      <c r="AR113" s="151"/>
      <c r="AS113" s="151"/>
      <c r="AT113" s="151"/>
      <c r="AU113" s="151"/>
      <c r="AV113" s="151"/>
      <c r="AW113" s="151"/>
      <c r="AX113" s="151"/>
      <c r="AY113" s="151"/>
      <c r="AZ113" s="151"/>
      <c r="BA113" s="151"/>
      <c r="BB113" s="151"/>
      <c r="BC113" s="151"/>
      <c r="BD113" s="151"/>
      <c r="BE113" s="151"/>
      <c r="BF113" s="151"/>
      <c r="BG113" s="151"/>
      <c r="BH113" s="151"/>
      <c r="BI113" s="151"/>
      <c r="BJ113" s="151"/>
      <c r="BK113" s="151"/>
      <c r="BL113" s="151"/>
      <c r="BM113" s="151"/>
      <c r="BN113" s="151"/>
      <c r="BO113" s="151"/>
      <c r="BP113" s="151"/>
      <c r="BQ113" s="151"/>
      <c r="BR113" s="151"/>
      <c r="BS113" s="151"/>
      <c r="BT113" s="151"/>
      <c r="BU113" s="151"/>
      <c r="BV113" s="151"/>
      <c r="BW113" s="151"/>
      <c r="BX113" s="151"/>
      <c r="BY113" s="151"/>
      <c r="BZ113" s="151"/>
      <c r="CA113" s="151"/>
      <c r="CB113" s="151"/>
      <c r="CC113" s="151"/>
      <c r="CD113" s="151"/>
      <c r="CE113" s="151"/>
      <c r="CF113" s="151"/>
      <c r="CG113" s="152"/>
      <c r="CH113" s="152"/>
      <c r="CI113" s="152"/>
      <c r="CJ113" s="152"/>
      <c r="CK113" s="152"/>
      <c r="CL113" s="152"/>
      <c r="CM113" s="152"/>
      <c r="CN113" s="152"/>
      <c r="CO113" s="152"/>
      <c r="CP113" s="152"/>
      <c r="CQ113" s="152"/>
      <c r="CR113" s="152"/>
      <c r="CS113" s="152"/>
      <c r="CT113" s="152"/>
      <c r="CU113" s="152"/>
      <c r="CV113" s="152"/>
      <c r="CW113" s="152"/>
      <c r="CX113" s="152"/>
      <c r="CY113" s="152"/>
      <c r="CZ113" s="152"/>
      <c r="DA113" s="152"/>
      <c r="DB113" s="152"/>
      <c r="DC113" s="152"/>
      <c r="DD113" s="152"/>
      <c r="DE113" s="152"/>
      <c r="DF113" s="152"/>
      <c r="DG113" s="152"/>
      <c r="DH113" s="152"/>
      <c r="DI113" s="152"/>
      <c r="DJ113" s="152"/>
      <c r="DK113" s="152"/>
      <c r="DL113" s="152"/>
      <c r="DM113" s="152"/>
      <c r="DN113" s="152"/>
      <c r="DO113" s="152"/>
      <c r="DP113" s="152"/>
      <c r="DQ113" s="152"/>
      <c r="DR113" s="152"/>
      <c r="DS113" s="152"/>
      <c r="DT113" s="152"/>
      <c r="DU113" s="152"/>
      <c r="DV113" s="152"/>
      <c r="DW113" s="152"/>
      <c r="DX113" s="152"/>
      <c r="DY113" s="152"/>
      <c r="DZ113" s="152"/>
      <c r="EA113" s="152"/>
      <c r="EB113" s="152"/>
      <c r="EC113" s="152"/>
      <c r="ED113" s="152"/>
      <c r="EE113" s="152"/>
      <c r="EF113" s="152"/>
      <c r="EG113" s="152"/>
      <c r="EH113" s="152"/>
      <c r="EI113" s="152"/>
      <c r="EJ113" s="152"/>
      <c r="EK113" s="152"/>
      <c r="EL113" s="152"/>
      <c r="EM113" s="152"/>
      <c r="EN113" s="152"/>
      <c r="EO113" s="152"/>
      <c r="EP113" s="152"/>
      <c r="EQ113" s="152"/>
      <c r="ER113" s="152"/>
      <c r="ES113" s="152"/>
      <c r="ET113" s="152"/>
      <c r="EU113" s="152"/>
      <c r="EV113" s="152"/>
      <c r="EW113" s="152"/>
      <c r="EX113" s="152"/>
      <c r="EY113" s="152"/>
      <c r="EZ113" s="152"/>
      <c r="FA113" s="152"/>
      <c r="FB113" s="152"/>
      <c r="FC113" s="152"/>
      <c r="FD113" s="152"/>
      <c r="FE113" s="152"/>
      <c r="FF113" s="152"/>
      <c r="FG113" s="152"/>
      <c r="FH113" s="152"/>
      <c r="FI113" s="152"/>
      <c r="FJ113" s="152"/>
      <c r="FK113" s="152"/>
      <c r="FL113" s="152"/>
      <c r="FM113" s="152"/>
      <c r="FN113" s="152"/>
      <c r="FO113" s="152"/>
      <c r="FP113" s="152"/>
      <c r="FQ113" s="152"/>
      <c r="FR113" s="152"/>
      <c r="FS113" s="152"/>
      <c r="FT113" s="152"/>
      <c r="FU113" s="152"/>
      <c r="FV113" s="152"/>
      <c r="FW113" s="152"/>
      <c r="FX113" s="152"/>
      <c r="FY113" s="152"/>
      <c r="FZ113" s="152"/>
      <c r="GA113" s="152"/>
      <c r="GB113" s="152"/>
      <c r="GC113" s="152"/>
      <c r="GD113" s="152"/>
      <c r="GE113" s="152"/>
      <c r="GF113" s="152"/>
      <c r="GG113" s="152"/>
      <c r="GH113" s="152"/>
      <c r="GI113" s="152"/>
      <c r="GJ113" s="152"/>
      <c r="GK113" s="152"/>
      <c r="GL113" s="152"/>
      <c r="GM113" s="152"/>
      <c r="GN113" s="152"/>
      <c r="GO113" s="152"/>
      <c r="GP113" s="152"/>
      <c r="GQ113" s="152"/>
      <c r="GR113" s="152"/>
      <c r="GS113" s="152"/>
      <c r="GT113" s="152"/>
      <c r="GU113" s="152"/>
      <c r="GV113" s="152"/>
      <c r="GW113" s="152"/>
      <c r="GX113" s="152"/>
      <c r="GY113" s="152"/>
      <c r="GZ113" s="152"/>
      <c r="HA113" s="152"/>
      <c r="HB113" s="152"/>
      <c r="HC113" s="152"/>
      <c r="HD113" s="152"/>
      <c r="HE113" s="152"/>
      <c r="HF113" s="152"/>
      <c r="HG113" s="152"/>
      <c r="HH113" s="152"/>
      <c r="HI113" s="152"/>
      <c r="HJ113" s="152"/>
      <c r="HK113" s="152"/>
      <c r="HL113" s="152"/>
      <c r="HM113" s="152"/>
      <c r="HN113" s="152"/>
      <c r="HO113" s="152"/>
      <c r="HP113" s="152"/>
      <c r="HQ113" s="152"/>
      <c r="HR113" s="152"/>
      <c r="HS113" s="152"/>
      <c r="HT113" s="152"/>
      <c r="HU113" s="152"/>
      <c r="HV113" s="152"/>
      <c r="HW113" s="152"/>
      <c r="HX113" s="152"/>
      <c r="HY113" s="152"/>
      <c r="HZ113" s="152"/>
    </row>
    <row r="114" spans="1:234" ht="12.75" customHeight="1">
      <c r="A114" s="1270"/>
      <c r="B114" s="199" t="s">
        <v>127</v>
      </c>
      <c r="C114" s="1278" t="s">
        <v>128</v>
      </c>
      <c r="D114" s="1278"/>
      <c r="E114" s="1278"/>
      <c r="F114" s="190" t="s">
        <v>165</v>
      </c>
      <c r="G114" s="191"/>
      <c r="H114" s="192"/>
      <c r="I114" s="315" t="e">
        <f>#REF!</f>
        <v>#REF!</v>
      </c>
      <c r="J114" s="1273"/>
      <c r="K114" s="1275"/>
      <c r="L114" s="1275"/>
      <c r="M114" s="1275"/>
      <c r="N114" s="1275"/>
    </row>
    <row r="115" spans="1:234" ht="12.75" customHeight="1">
      <c r="A115" s="1270"/>
      <c r="B115" s="178"/>
      <c r="C115" s="179"/>
      <c r="D115" s="179"/>
      <c r="E115" s="177"/>
      <c r="F115" s="190" t="s">
        <v>164</v>
      </c>
      <c r="G115" s="1279"/>
      <c r="H115" s="1280"/>
      <c r="I115" s="316"/>
      <c r="J115" s="1273"/>
      <c r="K115" s="1275"/>
      <c r="L115" s="1275"/>
      <c r="M115" s="1275"/>
      <c r="N115" s="1275"/>
      <c r="O115" s="151"/>
      <c r="P115" s="151"/>
      <c r="Q115" s="151"/>
      <c r="R115" s="151"/>
      <c r="S115" s="151"/>
      <c r="T115" s="151"/>
      <c r="U115" s="151"/>
      <c r="V115" s="151"/>
      <c r="W115" s="151"/>
      <c r="X115" s="151"/>
      <c r="Y115" s="151"/>
      <c r="Z115" s="151"/>
      <c r="AA115" s="151"/>
      <c r="AB115" s="151"/>
      <c r="AC115" s="151"/>
      <c r="AD115" s="151"/>
      <c r="AE115" s="151"/>
      <c r="AF115" s="151"/>
      <c r="AG115" s="151"/>
      <c r="AH115" s="151"/>
      <c r="AI115" s="151"/>
      <c r="AJ115" s="151"/>
      <c r="AK115" s="151"/>
      <c r="AL115" s="151"/>
      <c r="AM115" s="151"/>
      <c r="AN115" s="151"/>
      <c r="AO115" s="151"/>
      <c r="AP115" s="151"/>
      <c r="AQ115" s="151"/>
      <c r="AR115" s="151"/>
      <c r="AS115" s="151"/>
      <c r="AT115" s="151"/>
      <c r="AU115" s="151"/>
      <c r="AV115" s="151"/>
      <c r="AW115" s="151"/>
      <c r="AX115" s="151"/>
      <c r="AY115" s="151"/>
      <c r="AZ115" s="151"/>
      <c r="BA115" s="151"/>
      <c r="BB115" s="151"/>
      <c r="BC115" s="151"/>
      <c r="BD115" s="151"/>
      <c r="BE115" s="151"/>
      <c r="BF115" s="151"/>
      <c r="BG115" s="151"/>
      <c r="BH115" s="151"/>
      <c r="BI115" s="151"/>
      <c r="BJ115" s="151"/>
      <c r="BK115" s="151"/>
      <c r="BL115" s="151"/>
      <c r="BM115" s="151"/>
      <c r="BN115" s="151"/>
      <c r="BO115" s="151"/>
      <c r="BP115" s="151"/>
      <c r="BQ115" s="151"/>
      <c r="BR115" s="151"/>
      <c r="BS115" s="151"/>
      <c r="BT115" s="151"/>
      <c r="BU115" s="151"/>
      <c r="BV115" s="151"/>
      <c r="BW115" s="151"/>
      <c r="BX115" s="151"/>
      <c r="BY115" s="151"/>
      <c r="BZ115" s="151"/>
      <c r="CA115" s="151"/>
      <c r="CB115" s="151"/>
      <c r="CC115" s="151"/>
      <c r="CD115" s="151"/>
      <c r="CE115" s="151"/>
      <c r="CF115" s="151"/>
      <c r="CG115" s="152"/>
      <c r="CH115" s="152"/>
      <c r="CI115" s="152"/>
      <c r="CJ115" s="152"/>
      <c r="CK115" s="152"/>
      <c r="CL115" s="152"/>
      <c r="CM115" s="152"/>
      <c r="CN115" s="152"/>
      <c r="CO115" s="152"/>
      <c r="CP115" s="152"/>
      <c r="CQ115" s="152"/>
      <c r="CR115" s="152"/>
      <c r="CS115" s="152"/>
      <c r="CT115" s="152"/>
      <c r="CU115" s="152"/>
      <c r="CV115" s="152"/>
      <c r="CW115" s="152"/>
      <c r="CX115" s="152"/>
      <c r="CY115" s="152"/>
      <c r="CZ115" s="152"/>
      <c r="DA115" s="152"/>
      <c r="DB115" s="152"/>
      <c r="DC115" s="152"/>
      <c r="DD115" s="152"/>
      <c r="DE115" s="152"/>
      <c r="DF115" s="152"/>
      <c r="DG115" s="152"/>
      <c r="DH115" s="152"/>
      <c r="DI115" s="152"/>
      <c r="DJ115" s="152"/>
      <c r="DK115" s="152"/>
      <c r="DL115" s="152"/>
      <c r="DM115" s="152"/>
      <c r="DN115" s="152"/>
      <c r="DO115" s="152"/>
      <c r="DP115" s="152"/>
      <c r="DQ115" s="152"/>
      <c r="DR115" s="152"/>
      <c r="DS115" s="152"/>
      <c r="DT115" s="152"/>
      <c r="DU115" s="152"/>
      <c r="DV115" s="152"/>
      <c r="DW115" s="152"/>
      <c r="DX115" s="152"/>
      <c r="DY115" s="152"/>
      <c r="DZ115" s="152"/>
      <c r="EA115" s="152"/>
      <c r="EB115" s="152"/>
      <c r="EC115" s="152"/>
      <c r="ED115" s="152"/>
      <c r="EE115" s="152"/>
      <c r="EF115" s="152"/>
      <c r="EG115" s="152"/>
      <c r="EH115" s="152"/>
      <c r="EI115" s="152"/>
      <c r="EJ115" s="152"/>
      <c r="EK115" s="152"/>
      <c r="EL115" s="152"/>
      <c r="EM115" s="152"/>
      <c r="EN115" s="152"/>
      <c r="EO115" s="152"/>
      <c r="EP115" s="152"/>
      <c r="EQ115" s="152"/>
      <c r="ER115" s="152"/>
      <c r="ES115" s="152"/>
      <c r="ET115" s="152"/>
      <c r="EU115" s="152"/>
      <c r="EV115" s="152"/>
      <c r="EW115" s="152"/>
      <c r="EX115" s="152"/>
      <c r="EY115" s="152"/>
      <c r="EZ115" s="152"/>
      <c r="FA115" s="152"/>
      <c r="FB115" s="152"/>
      <c r="FC115" s="152"/>
      <c r="FD115" s="152"/>
      <c r="FE115" s="152"/>
      <c r="FF115" s="152"/>
      <c r="FG115" s="152"/>
      <c r="FH115" s="152"/>
      <c r="FI115" s="152"/>
      <c r="FJ115" s="152"/>
      <c r="FK115" s="152"/>
      <c r="FL115" s="152"/>
      <c r="FM115" s="152"/>
      <c r="FN115" s="152"/>
      <c r="FO115" s="152"/>
      <c r="FP115" s="152"/>
      <c r="FQ115" s="152"/>
      <c r="FR115" s="152"/>
      <c r="FS115" s="152"/>
      <c r="FT115" s="152"/>
      <c r="FU115" s="152"/>
      <c r="FV115" s="152"/>
      <c r="FW115" s="152"/>
      <c r="FX115" s="152"/>
      <c r="FY115" s="152"/>
      <c r="FZ115" s="152"/>
      <c r="GA115" s="152"/>
      <c r="GB115" s="152"/>
      <c r="GC115" s="152"/>
      <c r="GD115" s="152"/>
      <c r="GE115" s="152"/>
      <c r="GF115" s="152"/>
      <c r="GG115" s="152"/>
      <c r="GH115" s="152"/>
      <c r="GI115" s="152"/>
      <c r="GJ115" s="152"/>
      <c r="GK115" s="152"/>
      <c r="GL115" s="152"/>
      <c r="GM115" s="152"/>
      <c r="GN115" s="152"/>
      <c r="GO115" s="152"/>
      <c r="GP115" s="152"/>
      <c r="GQ115" s="152"/>
      <c r="GR115" s="152"/>
      <c r="GS115" s="152"/>
      <c r="GT115" s="152"/>
      <c r="GU115" s="152"/>
      <c r="GV115" s="152"/>
      <c r="GW115" s="152"/>
      <c r="GX115" s="152"/>
      <c r="GY115" s="152"/>
      <c r="GZ115" s="152"/>
      <c r="HA115" s="152"/>
      <c r="HB115" s="152"/>
      <c r="HC115" s="152"/>
      <c r="HD115" s="152"/>
      <c r="HE115" s="152"/>
      <c r="HF115" s="152"/>
      <c r="HG115" s="152"/>
      <c r="HH115" s="152"/>
      <c r="HI115" s="152"/>
      <c r="HJ115" s="152"/>
      <c r="HK115" s="152"/>
      <c r="HL115" s="152"/>
      <c r="HM115" s="152"/>
      <c r="HN115" s="152"/>
      <c r="HO115" s="152"/>
      <c r="HP115" s="152"/>
      <c r="HQ115" s="152"/>
      <c r="HR115" s="152"/>
      <c r="HS115" s="152"/>
      <c r="HT115" s="152"/>
      <c r="HU115" s="152"/>
      <c r="HV115" s="152"/>
      <c r="HW115" s="152"/>
      <c r="HX115" s="152"/>
      <c r="HY115" s="152"/>
      <c r="HZ115" s="152"/>
    </row>
    <row r="116" spans="1:234" ht="12.75" customHeight="1">
      <c r="A116" s="1271"/>
      <c r="B116" s="199" t="s">
        <v>166</v>
      </c>
      <c r="C116" s="1278" t="s">
        <v>167</v>
      </c>
      <c r="D116" s="1278"/>
      <c r="E116" s="1278"/>
      <c r="F116" s="178"/>
      <c r="G116" s="1279"/>
      <c r="H116" s="1280"/>
      <c r="I116" s="317" t="e">
        <f>#REF!</f>
        <v>#REF!</v>
      </c>
      <c r="J116" s="1274"/>
      <c r="K116" s="1275"/>
      <c r="L116" s="1275"/>
      <c r="M116" s="1275"/>
      <c r="N116" s="1275"/>
      <c r="O116" s="151"/>
      <c r="P116" s="151"/>
      <c r="Q116" s="151"/>
      <c r="R116" s="151"/>
      <c r="S116" s="151"/>
      <c r="T116" s="151"/>
      <c r="U116" s="151"/>
      <c r="V116" s="151"/>
      <c r="W116" s="151"/>
      <c r="X116" s="151"/>
      <c r="Y116" s="151"/>
      <c r="Z116" s="151"/>
      <c r="AA116" s="151"/>
      <c r="AB116" s="151"/>
      <c r="AC116" s="151"/>
      <c r="AD116" s="151"/>
      <c r="AE116" s="151"/>
      <c r="AF116" s="151"/>
      <c r="AG116" s="151"/>
      <c r="AH116" s="151"/>
      <c r="AI116" s="151"/>
      <c r="AJ116" s="151"/>
      <c r="AK116" s="151"/>
      <c r="AL116" s="151"/>
      <c r="AM116" s="151"/>
      <c r="AN116" s="151"/>
      <c r="AO116" s="151"/>
      <c r="AP116" s="151"/>
      <c r="AQ116" s="151"/>
      <c r="AR116" s="151"/>
      <c r="AS116" s="151"/>
      <c r="AT116" s="151"/>
      <c r="AU116" s="151"/>
      <c r="AV116" s="151"/>
      <c r="AW116" s="151"/>
      <c r="AX116" s="151"/>
      <c r="AY116" s="151"/>
      <c r="AZ116" s="151"/>
      <c r="BA116" s="151"/>
      <c r="BB116" s="151"/>
      <c r="BC116" s="151"/>
      <c r="BD116" s="151"/>
      <c r="BE116" s="151"/>
      <c r="BF116" s="151"/>
      <c r="BG116" s="151"/>
      <c r="BH116" s="151"/>
      <c r="BI116" s="151"/>
      <c r="BJ116" s="151"/>
      <c r="BK116" s="151"/>
      <c r="BL116" s="151"/>
      <c r="BM116" s="151"/>
      <c r="BN116" s="151"/>
      <c r="BO116" s="151"/>
      <c r="BP116" s="151"/>
      <c r="BQ116" s="151"/>
      <c r="BR116" s="151"/>
      <c r="BS116" s="151"/>
      <c r="BT116" s="151"/>
      <c r="BU116" s="151"/>
      <c r="BV116" s="151"/>
      <c r="BW116" s="151"/>
      <c r="BX116" s="151"/>
      <c r="BY116" s="151"/>
      <c r="BZ116" s="151"/>
      <c r="CA116" s="151"/>
      <c r="CB116" s="151"/>
      <c r="CC116" s="151"/>
      <c r="CD116" s="151"/>
      <c r="CE116" s="151"/>
      <c r="CF116" s="151"/>
      <c r="CG116" s="152"/>
      <c r="CH116" s="152"/>
      <c r="CI116" s="152"/>
      <c r="CJ116" s="152"/>
      <c r="CK116" s="152"/>
      <c r="CL116" s="152"/>
      <c r="CM116" s="152"/>
      <c r="CN116" s="152"/>
      <c r="CO116" s="152"/>
      <c r="CP116" s="152"/>
      <c r="CQ116" s="152"/>
      <c r="CR116" s="152"/>
      <c r="CS116" s="152"/>
      <c r="CT116" s="152"/>
      <c r="CU116" s="152"/>
      <c r="CV116" s="152"/>
      <c r="CW116" s="152"/>
      <c r="CX116" s="152"/>
      <c r="CY116" s="152"/>
      <c r="CZ116" s="152"/>
      <c r="DA116" s="152"/>
      <c r="DB116" s="152"/>
      <c r="DC116" s="152"/>
      <c r="DD116" s="152"/>
      <c r="DE116" s="152"/>
      <c r="DF116" s="152"/>
      <c r="DG116" s="152"/>
      <c r="DH116" s="152"/>
      <c r="DI116" s="152"/>
      <c r="DJ116" s="152"/>
      <c r="DK116" s="152"/>
      <c r="DL116" s="152"/>
      <c r="DM116" s="152"/>
      <c r="DN116" s="152"/>
      <c r="DO116" s="152"/>
      <c r="DP116" s="152"/>
      <c r="DQ116" s="152"/>
      <c r="DR116" s="152"/>
      <c r="DS116" s="152"/>
      <c r="DT116" s="152"/>
      <c r="DU116" s="152"/>
      <c r="DV116" s="152"/>
      <c r="DW116" s="152"/>
      <c r="DX116" s="152"/>
      <c r="DY116" s="152"/>
      <c r="DZ116" s="152"/>
      <c r="EA116" s="152"/>
      <c r="EB116" s="152"/>
      <c r="EC116" s="152"/>
      <c r="ED116" s="152"/>
      <c r="EE116" s="152"/>
      <c r="EF116" s="152"/>
      <c r="EG116" s="152"/>
      <c r="EH116" s="152"/>
      <c r="EI116" s="152"/>
      <c r="EJ116" s="152"/>
      <c r="EK116" s="152"/>
      <c r="EL116" s="152"/>
      <c r="EM116" s="152"/>
      <c r="EN116" s="152"/>
      <c r="EO116" s="152"/>
      <c r="EP116" s="152"/>
      <c r="EQ116" s="152"/>
      <c r="ER116" s="152"/>
      <c r="ES116" s="152"/>
      <c r="ET116" s="152"/>
      <c r="EU116" s="152"/>
      <c r="EV116" s="152"/>
      <c r="EW116" s="152"/>
      <c r="EX116" s="152"/>
      <c r="EY116" s="152"/>
      <c r="EZ116" s="152"/>
      <c r="FA116" s="152"/>
      <c r="FB116" s="152"/>
      <c r="FC116" s="152"/>
      <c r="FD116" s="152"/>
      <c r="FE116" s="152"/>
      <c r="FF116" s="152"/>
      <c r="FG116" s="152"/>
      <c r="FH116" s="152"/>
      <c r="FI116" s="152"/>
      <c r="FJ116" s="152"/>
      <c r="FK116" s="152"/>
      <c r="FL116" s="152"/>
      <c r="FM116" s="152"/>
      <c r="FN116" s="152"/>
      <c r="FO116" s="152"/>
      <c r="FP116" s="152"/>
      <c r="FQ116" s="152"/>
      <c r="FR116" s="152"/>
      <c r="FS116" s="152"/>
      <c r="FT116" s="152"/>
      <c r="FU116" s="152"/>
      <c r="FV116" s="152"/>
      <c r="FW116" s="152"/>
      <c r="FX116" s="152"/>
      <c r="FY116" s="152"/>
      <c r="FZ116" s="152"/>
      <c r="GA116" s="152"/>
      <c r="GB116" s="152"/>
      <c r="GC116" s="152"/>
      <c r="GD116" s="152"/>
      <c r="GE116" s="152"/>
      <c r="GF116" s="152"/>
      <c r="GG116" s="152"/>
      <c r="GH116" s="152"/>
      <c r="GI116" s="152"/>
      <c r="GJ116" s="152"/>
      <c r="GK116" s="152"/>
      <c r="GL116" s="152"/>
      <c r="GM116" s="152"/>
      <c r="GN116" s="152"/>
      <c r="GO116" s="152"/>
      <c r="GP116" s="152"/>
      <c r="GQ116" s="152"/>
      <c r="GR116" s="152"/>
      <c r="GS116" s="152"/>
      <c r="GT116" s="152"/>
      <c r="GU116" s="152"/>
      <c r="GV116" s="152"/>
      <c r="GW116" s="152"/>
      <c r="GX116" s="152"/>
      <c r="GY116" s="152"/>
      <c r="GZ116" s="152"/>
      <c r="HA116" s="152"/>
      <c r="HB116" s="152"/>
      <c r="HC116" s="152"/>
      <c r="HD116" s="152"/>
      <c r="HE116" s="152"/>
      <c r="HF116" s="152"/>
      <c r="HG116" s="152"/>
      <c r="HH116" s="152"/>
      <c r="HI116" s="152"/>
      <c r="HJ116" s="152"/>
      <c r="HK116" s="152"/>
      <c r="HL116" s="152"/>
      <c r="HM116" s="152"/>
      <c r="HN116" s="152"/>
      <c r="HO116" s="152"/>
      <c r="HP116" s="152"/>
      <c r="HQ116" s="152"/>
      <c r="HR116" s="152"/>
      <c r="HS116" s="152"/>
      <c r="HT116" s="152"/>
      <c r="HU116" s="152"/>
      <c r="HV116" s="152"/>
      <c r="HW116" s="152"/>
      <c r="HX116" s="152"/>
      <c r="HY116" s="152"/>
      <c r="HZ116" s="152"/>
    </row>
    <row r="117" spans="1:234" ht="15" customHeight="1">
      <c r="A117" s="215" t="s">
        <v>24</v>
      </c>
      <c r="B117" s="350"/>
      <c r="C117" s="350"/>
      <c r="D117" s="350"/>
      <c r="E117" s="350"/>
      <c r="F117" s="138"/>
      <c r="G117" s="128"/>
      <c r="H117" s="128"/>
      <c r="I117" s="142"/>
      <c r="J117" s="206"/>
      <c r="K117" s="204" t="e">
        <f>SUM(K108:K116)</f>
        <v>#REF!</v>
      </c>
      <c r="L117" s="204" t="e">
        <f>SUM(L108:L116)</f>
        <v>#REF!</v>
      </c>
      <c r="M117" s="204" t="e">
        <f>SUM(M108:M116)</f>
        <v>#REF!</v>
      </c>
      <c r="N117" s="204" t="e">
        <f>SUM(N108:N116)</f>
        <v>#REF!</v>
      </c>
      <c r="O117" s="151"/>
      <c r="P117" s="151"/>
      <c r="Q117" s="151"/>
      <c r="R117" s="151"/>
      <c r="S117" s="151"/>
      <c r="T117" s="151"/>
      <c r="U117" s="151"/>
      <c r="V117" s="151"/>
      <c r="W117" s="151"/>
      <c r="X117" s="151"/>
      <c r="Y117" s="151"/>
      <c r="Z117" s="151"/>
      <c r="AA117" s="151"/>
      <c r="AB117" s="151"/>
      <c r="AC117" s="151"/>
      <c r="AD117" s="151"/>
      <c r="AE117" s="151"/>
      <c r="AF117" s="151"/>
      <c r="AG117" s="151"/>
      <c r="AH117" s="151"/>
      <c r="AI117" s="151"/>
      <c r="AJ117" s="151"/>
      <c r="AK117" s="151"/>
      <c r="AL117" s="151"/>
      <c r="AM117" s="151"/>
      <c r="AN117" s="151"/>
      <c r="AO117" s="151"/>
      <c r="AP117" s="151"/>
      <c r="AQ117" s="151"/>
      <c r="AR117" s="151"/>
      <c r="AS117" s="151"/>
      <c r="AT117" s="151"/>
      <c r="AU117" s="151"/>
      <c r="AV117" s="151"/>
      <c r="AW117" s="151"/>
      <c r="AX117" s="151"/>
      <c r="AY117" s="151"/>
      <c r="AZ117" s="151"/>
      <c r="BA117" s="151"/>
      <c r="BB117" s="151"/>
      <c r="BC117" s="151"/>
      <c r="BD117" s="151"/>
      <c r="BE117" s="151"/>
      <c r="BF117" s="151"/>
      <c r="BG117" s="151"/>
      <c r="BH117" s="151"/>
      <c r="BI117" s="151"/>
      <c r="BJ117" s="151"/>
      <c r="BK117" s="151"/>
      <c r="BL117" s="151"/>
      <c r="BM117" s="151"/>
      <c r="BN117" s="151"/>
      <c r="BO117" s="151"/>
      <c r="BP117" s="151"/>
      <c r="BQ117" s="151"/>
      <c r="BR117" s="151"/>
      <c r="BS117" s="151"/>
      <c r="BT117" s="151"/>
      <c r="BU117" s="151"/>
      <c r="BV117" s="151"/>
      <c r="BW117" s="151"/>
      <c r="BX117" s="151"/>
      <c r="BY117" s="151"/>
      <c r="BZ117" s="151"/>
      <c r="CA117" s="151"/>
      <c r="CB117" s="151"/>
      <c r="CC117" s="151"/>
      <c r="CD117" s="151"/>
      <c r="CE117" s="151"/>
      <c r="CF117" s="151"/>
      <c r="CG117" s="152"/>
      <c r="CH117" s="152"/>
      <c r="CI117" s="152"/>
      <c r="CJ117" s="152"/>
      <c r="CK117" s="152"/>
      <c r="CL117" s="152"/>
      <c r="CM117" s="152"/>
      <c r="CN117" s="152"/>
      <c r="CO117" s="152"/>
      <c r="CP117" s="152"/>
      <c r="CQ117" s="152"/>
      <c r="CR117" s="152"/>
      <c r="CS117" s="152"/>
      <c r="CT117" s="152"/>
      <c r="CU117" s="152"/>
      <c r="CV117" s="152"/>
      <c r="CW117" s="152"/>
      <c r="CX117" s="152"/>
      <c r="CY117" s="152"/>
      <c r="CZ117" s="152"/>
      <c r="DA117" s="152"/>
      <c r="DB117" s="152"/>
      <c r="DC117" s="152"/>
      <c r="DD117" s="152"/>
      <c r="DE117" s="152"/>
      <c r="DF117" s="152"/>
      <c r="DG117" s="152"/>
      <c r="DH117" s="152"/>
      <c r="DI117" s="152"/>
      <c r="DJ117" s="152"/>
      <c r="DK117" s="152"/>
      <c r="DL117" s="152"/>
      <c r="DM117" s="152"/>
      <c r="DN117" s="152"/>
      <c r="DO117" s="152"/>
      <c r="DP117" s="152"/>
      <c r="DQ117" s="152"/>
      <c r="DR117" s="152"/>
      <c r="DS117" s="152"/>
      <c r="DT117" s="152"/>
      <c r="DU117" s="152"/>
      <c r="DV117" s="152"/>
      <c r="DW117" s="152"/>
      <c r="DX117" s="152"/>
      <c r="DY117" s="152"/>
      <c r="DZ117" s="152"/>
      <c r="EA117" s="152"/>
      <c r="EB117" s="152"/>
      <c r="EC117" s="152"/>
      <c r="ED117" s="152"/>
      <c r="EE117" s="152"/>
      <c r="EF117" s="152"/>
      <c r="EG117" s="152"/>
      <c r="EH117" s="152"/>
      <c r="EI117" s="152"/>
      <c r="EJ117" s="152"/>
      <c r="EK117" s="152"/>
      <c r="EL117" s="152"/>
      <c r="EM117" s="152"/>
      <c r="EN117" s="152"/>
      <c r="EO117" s="152"/>
      <c r="EP117" s="152"/>
      <c r="EQ117" s="152"/>
      <c r="ER117" s="152"/>
      <c r="ES117" s="152"/>
      <c r="ET117" s="152"/>
      <c r="EU117" s="152"/>
      <c r="EV117" s="152"/>
      <c r="EW117" s="152"/>
      <c r="EX117" s="152"/>
      <c r="EY117" s="152"/>
      <c r="EZ117" s="152"/>
      <c r="FA117" s="152"/>
      <c r="FB117" s="152"/>
      <c r="FC117" s="152"/>
      <c r="FD117" s="152"/>
      <c r="FE117" s="152"/>
      <c r="FF117" s="152"/>
      <c r="FG117" s="152"/>
      <c r="FH117" s="152"/>
      <c r="FI117" s="152"/>
      <c r="FJ117" s="152"/>
      <c r="FK117" s="152"/>
      <c r="FL117" s="152"/>
      <c r="FM117" s="152"/>
      <c r="FN117" s="152"/>
      <c r="FO117" s="152"/>
      <c r="FP117" s="152"/>
      <c r="FQ117" s="152"/>
      <c r="FR117" s="152"/>
      <c r="FS117" s="152"/>
      <c r="FT117" s="152"/>
      <c r="FU117" s="152"/>
      <c r="FV117" s="152"/>
      <c r="FW117" s="152"/>
      <c r="FX117" s="152"/>
      <c r="FY117" s="152"/>
      <c r="FZ117" s="152"/>
      <c r="GA117" s="152"/>
      <c r="GB117" s="152"/>
      <c r="GC117" s="152"/>
      <c r="GD117" s="152"/>
      <c r="GE117" s="152"/>
      <c r="GF117" s="152"/>
      <c r="GG117" s="152"/>
      <c r="GH117" s="152"/>
      <c r="GI117" s="152"/>
      <c r="GJ117" s="152"/>
      <c r="GK117" s="152"/>
      <c r="GL117" s="152"/>
      <c r="GM117" s="152"/>
      <c r="GN117" s="152"/>
      <c r="GO117" s="152"/>
      <c r="GP117" s="152"/>
      <c r="GQ117" s="152"/>
      <c r="GR117" s="152"/>
      <c r="GS117" s="152"/>
      <c r="GT117" s="152"/>
      <c r="GU117" s="152"/>
      <c r="GV117" s="152"/>
      <c r="GW117" s="152"/>
      <c r="GX117" s="152"/>
      <c r="GY117" s="152"/>
      <c r="GZ117" s="152"/>
      <c r="HA117" s="152"/>
      <c r="HB117" s="152"/>
      <c r="HC117" s="152"/>
      <c r="HD117" s="152"/>
      <c r="HE117" s="152"/>
      <c r="HF117" s="152"/>
      <c r="HG117" s="152"/>
      <c r="HH117" s="152"/>
      <c r="HI117" s="152"/>
      <c r="HJ117" s="152"/>
      <c r="HK117" s="152"/>
      <c r="HL117" s="152"/>
      <c r="HM117" s="152"/>
      <c r="HN117" s="152"/>
      <c r="HO117" s="152"/>
      <c r="HP117" s="152"/>
      <c r="HQ117" s="152"/>
      <c r="HR117" s="152"/>
      <c r="HS117" s="152"/>
      <c r="HT117" s="152"/>
      <c r="HU117" s="152"/>
      <c r="HV117" s="152"/>
      <c r="HW117" s="152"/>
      <c r="HX117" s="152"/>
      <c r="HY117" s="152"/>
      <c r="HZ117" s="152"/>
    </row>
    <row r="118" spans="1:234" ht="23.25" customHeight="1">
      <c r="A118" s="207" t="s">
        <v>129</v>
      </c>
      <c r="B118" s="208"/>
      <c r="C118" s="208"/>
      <c r="D118" s="208"/>
      <c r="E118" s="208"/>
      <c r="F118" s="208"/>
      <c r="G118" s="208"/>
      <c r="H118" s="208"/>
      <c r="I118" s="208"/>
      <c r="J118" s="209"/>
      <c r="K118" s="319" t="s">
        <v>67</v>
      </c>
      <c r="L118" s="319" t="s">
        <v>68</v>
      </c>
      <c r="M118" s="319" t="s">
        <v>67</v>
      </c>
      <c r="N118" s="319" t="s">
        <v>68</v>
      </c>
    </row>
    <row r="119" spans="1:234" ht="15" customHeight="1">
      <c r="A119" s="190" t="s">
        <v>114</v>
      </c>
      <c r="B119" s="179"/>
      <c r="C119" s="179"/>
      <c r="D119" s="179"/>
      <c r="E119" s="179"/>
      <c r="F119" s="179"/>
      <c r="G119" s="179"/>
      <c r="H119" s="179"/>
      <c r="I119" s="179"/>
      <c r="J119" s="210"/>
      <c r="K119" s="184" t="e">
        <f>K17</f>
        <v>#REF!</v>
      </c>
      <c r="L119" s="184" t="e">
        <f>L17</f>
        <v>#REF!</v>
      </c>
      <c r="M119" s="184" t="e">
        <f>M17</f>
        <v>#REF!</v>
      </c>
      <c r="N119" s="184" t="e">
        <f>N17</f>
        <v>#REF!</v>
      </c>
      <c r="O119" s="151"/>
      <c r="P119" s="151"/>
      <c r="Q119" s="151"/>
      <c r="R119" s="151"/>
      <c r="S119" s="151"/>
      <c r="T119" s="151"/>
      <c r="U119" s="151"/>
      <c r="V119" s="151"/>
      <c r="W119" s="151"/>
      <c r="X119" s="151"/>
      <c r="Y119" s="151"/>
      <c r="Z119" s="151"/>
      <c r="AA119" s="151"/>
      <c r="AB119" s="151"/>
      <c r="AC119" s="151"/>
      <c r="AD119" s="151"/>
      <c r="AE119" s="151"/>
      <c r="AF119" s="151"/>
      <c r="AG119" s="151"/>
      <c r="AH119" s="151"/>
      <c r="AI119" s="151"/>
      <c r="AJ119" s="151"/>
      <c r="AK119" s="151"/>
      <c r="AL119" s="151"/>
      <c r="AM119" s="151"/>
      <c r="AN119" s="151"/>
      <c r="AO119" s="151"/>
      <c r="AP119" s="151"/>
      <c r="AQ119" s="151"/>
      <c r="AR119" s="151"/>
      <c r="AS119" s="151"/>
      <c r="AT119" s="151"/>
      <c r="AU119" s="151"/>
      <c r="AV119" s="151"/>
      <c r="AW119" s="151"/>
      <c r="AX119" s="151"/>
      <c r="AY119" s="151"/>
      <c r="AZ119" s="151"/>
      <c r="BA119" s="151"/>
      <c r="BB119" s="151"/>
      <c r="BC119" s="151"/>
      <c r="BD119" s="151"/>
      <c r="BE119" s="151"/>
      <c r="BF119" s="151"/>
      <c r="BG119" s="151"/>
      <c r="BH119" s="151"/>
      <c r="BI119" s="151"/>
      <c r="BJ119" s="151"/>
      <c r="BK119" s="151"/>
      <c r="BL119" s="151"/>
      <c r="BM119" s="151"/>
      <c r="BN119" s="151"/>
      <c r="BO119" s="151"/>
      <c r="BP119" s="151"/>
      <c r="BQ119" s="151"/>
      <c r="BR119" s="151"/>
      <c r="BS119" s="151"/>
      <c r="BT119" s="151"/>
      <c r="BU119" s="151"/>
      <c r="BV119" s="151"/>
      <c r="BW119" s="151"/>
      <c r="BX119" s="151"/>
      <c r="BY119" s="151"/>
      <c r="BZ119" s="151"/>
      <c r="CA119" s="151"/>
      <c r="CB119" s="151"/>
      <c r="CC119" s="151"/>
      <c r="CD119" s="151"/>
      <c r="CE119" s="151"/>
      <c r="CF119" s="151"/>
      <c r="CG119" s="152"/>
      <c r="CH119" s="152"/>
      <c r="CI119" s="152"/>
      <c r="CJ119" s="152"/>
      <c r="CK119" s="152"/>
      <c r="CL119" s="152"/>
      <c r="CM119" s="152"/>
      <c r="CN119" s="152"/>
      <c r="CO119" s="152"/>
      <c r="CP119" s="152"/>
      <c r="CQ119" s="152"/>
      <c r="CR119" s="152"/>
      <c r="CS119" s="152"/>
      <c r="CT119" s="152"/>
      <c r="CU119" s="152"/>
      <c r="CV119" s="152"/>
      <c r="CW119" s="152"/>
      <c r="CX119" s="152"/>
      <c r="CY119" s="152"/>
      <c r="CZ119" s="152"/>
      <c r="DA119" s="152"/>
      <c r="DB119" s="152"/>
      <c r="DC119" s="152"/>
      <c r="DD119" s="152"/>
      <c r="DE119" s="152"/>
      <c r="DF119" s="152"/>
      <c r="DG119" s="152"/>
      <c r="DH119" s="152"/>
      <c r="DI119" s="152"/>
      <c r="DJ119" s="152"/>
      <c r="DK119" s="152"/>
      <c r="DL119" s="152"/>
      <c r="DM119" s="152"/>
      <c r="DN119" s="152"/>
      <c r="DO119" s="152"/>
      <c r="DP119" s="152"/>
      <c r="DQ119" s="152"/>
      <c r="DR119" s="152"/>
      <c r="DS119" s="152"/>
      <c r="DT119" s="152"/>
      <c r="DU119" s="152"/>
      <c r="DV119" s="152"/>
      <c r="DW119" s="152"/>
      <c r="DX119" s="152"/>
      <c r="DY119" s="152"/>
      <c r="DZ119" s="152"/>
      <c r="EA119" s="152"/>
      <c r="EB119" s="152"/>
      <c r="EC119" s="152"/>
      <c r="ED119" s="152"/>
      <c r="EE119" s="152"/>
      <c r="EF119" s="152"/>
      <c r="EG119" s="152"/>
      <c r="EH119" s="152"/>
      <c r="EI119" s="152"/>
      <c r="EJ119" s="152"/>
      <c r="EK119" s="152"/>
      <c r="EL119" s="152"/>
      <c r="EM119" s="152"/>
      <c r="EN119" s="152"/>
      <c r="EO119" s="152"/>
      <c r="EP119" s="152"/>
      <c r="EQ119" s="152"/>
      <c r="ER119" s="152"/>
      <c r="ES119" s="152"/>
      <c r="ET119" s="152"/>
      <c r="EU119" s="152"/>
      <c r="EV119" s="152"/>
      <c r="EW119" s="152"/>
      <c r="EX119" s="152"/>
      <c r="EY119" s="152"/>
      <c r="EZ119" s="152"/>
      <c r="FA119" s="152"/>
      <c r="FB119" s="152"/>
      <c r="FC119" s="152"/>
      <c r="FD119" s="152"/>
      <c r="FE119" s="152"/>
      <c r="FF119" s="152"/>
      <c r="FG119" s="152"/>
      <c r="FH119" s="152"/>
      <c r="FI119" s="152"/>
      <c r="FJ119" s="152"/>
      <c r="FK119" s="152"/>
      <c r="FL119" s="152"/>
      <c r="FM119" s="152"/>
      <c r="FN119" s="152"/>
      <c r="FO119" s="152"/>
      <c r="FP119" s="152"/>
      <c r="FQ119" s="152"/>
      <c r="FR119" s="152"/>
      <c r="FS119" s="152"/>
      <c r="FT119" s="152"/>
      <c r="FU119" s="152"/>
      <c r="FV119" s="152"/>
      <c r="FW119" s="152"/>
      <c r="FX119" s="152"/>
      <c r="FY119" s="152"/>
      <c r="FZ119" s="152"/>
      <c r="GA119" s="152"/>
      <c r="GB119" s="152"/>
      <c r="GC119" s="152"/>
      <c r="GD119" s="152"/>
      <c r="GE119" s="152"/>
      <c r="GF119" s="152"/>
      <c r="GG119" s="152"/>
      <c r="GH119" s="152"/>
      <c r="GI119" s="152"/>
      <c r="GJ119" s="152"/>
      <c r="GK119" s="152"/>
      <c r="GL119" s="152"/>
      <c r="GM119" s="152"/>
      <c r="GN119" s="152"/>
      <c r="GO119" s="152"/>
      <c r="GP119" s="152"/>
      <c r="GQ119" s="152"/>
      <c r="GR119" s="152"/>
      <c r="GS119" s="152"/>
      <c r="GT119" s="152"/>
      <c r="GU119" s="152"/>
      <c r="GV119" s="152"/>
      <c r="GW119" s="152"/>
      <c r="GX119" s="152"/>
      <c r="GY119" s="152"/>
      <c r="GZ119" s="152"/>
      <c r="HA119" s="152"/>
      <c r="HB119" s="152"/>
      <c r="HC119" s="152"/>
      <c r="HD119" s="152"/>
      <c r="HE119" s="152"/>
      <c r="HF119" s="152"/>
      <c r="HG119" s="152"/>
      <c r="HH119" s="152"/>
      <c r="HI119" s="152"/>
      <c r="HJ119" s="152"/>
      <c r="HK119" s="152"/>
      <c r="HL119" s="152"/>
      <c r="HM119" s="152"/>
      <c r="HN119" s="152"/>
      <c r="HO119" s="152"/>
      <c r="HP119" s="152"/>
      <c r="HQ119" s="152"/>
      <c r="HR119" s="152"/>
      <c r="HS119" s="152"/>
      <c r="HT119" s="152"/>
      <c r="HU119" s="152"/>
      <c r="HV119" s="152"/>
      <c r="HW119" s="152"/>
      <c r="HX119" s="152"/>
      <c r="HY119" s="152"/>
      <c r="HZ119" s="152"/>
    </row>
    <row r="120" spans="1:234" ht="15" customHeight="1">
      <c r="A120" s="190" t="s">
        <v>115</v>
      </c>
      <c r="B120" s="179"/>
      <c r="C120" s="179"/>
      <c r="D120" s="179"/>
      <c r="E120" s="179"/>
      <c r="F120" s="179"/>
      <c r="G120" s="179"/>
      <c r="H120" s="179"/>
      <c r="I120" s="179"/>
      <c r="J120" s="210"/>
      <c r="K120" s="184" t="e">
        <f>K54</f>
        <v>#REF!</v>
      </c>
      <c r="L120" s="184" t="e">
        <f>L54</f>
        <v>#REF!</v>
      </c>
      <c r="M120" s="184" t="e">
        <f>M54</f>
        <v>#REF!</v>
      </c>
      <c r="N120" s="184" t="e">
        <f>N54</f>
        <v>#REF!</v>
      </c>
      <c r="O120" s="151"/>
      <c r="P120" s="151"/>
      <c r="Q120" s="151"/>
      <c r="R120" s="151"/>
      <c r="S120" s="151"/>
      <c r="T120" s="151"/>
      <c r="U120" s="151"/>
      <c r="V120" s="151"/>
      <c r="W120" s="151"/>
      <c r="X120" s="151"/>
      <c r="Y120" s="151"/>
      <c r="Z120" s="151"/>
      <c r="AA120" s="151"/>
      <c r="AB120" s="151"/>
      <c r="AC120" s="151"/>
      <c r="AD120" s="151"/>
      <c r="AE120" s="151"/>
      <c r="AF120" s="151"/>
      <c r="AG120" s="151"/>
      <c r="AH120" s="151"/>
      <c r="AI120" s="151"/>
      <c r="AJ120" s="151"/>
      <c r="AK120" s="151"/>
      <c r="AL120" s="151"/>
      <c r="AM120" s="151"/>
      <c r="AN120" s="151"/>
      <c r="AO120" s="151"/>
      <c r="AP120" s="151"/>
      <c r="AQ120" s="151"/>
      <c r="AR120" s="151"/>
      <c r="AS120" s="151"/>
      <c r="AT120" s="151"/>
      <c r="AU120" s="151"/>
      <c r="AV120" s="151"/>
      <c r="AW120" s="151"/>
      <c r="AX120" s="151"/>
      <c r="AY120" s="151"/>
      <c r="AZ120" s="151"/>
      <c r="BA120" s="151"/>
      <c r="BB120" s="151"/>
      <c r="BC120" s="151"/>
      <c r="BD120" s="151"/>
      <c r="BE120" s="151"/>
      <c r="BF120" s="151"/>
      <c r="BG120" s="151"/>
      <c r="BH120" s="151"/>
      <c r="BI120" s="151"/>
      <c r="BJ120" s="151"/>
      <c r="BK120" s="151"/>
      <c r="BL120" s="151"/>
      <c r="BM120" s="151"/>
      <c r="BN120" s="151"/>
      <c r="BO120" s="151"/>
      <c r="BP120" s="151"/>
      <c r="BQ120" s="151"/>
      <c r="BR120" s="151"/>
      <c r="BS120" s="151"/>
      <c r="BT120" s="151"/>
      <c r="BU120" s="151"/>
      <c r="BV120" s="151"/>
      <c r="BW120" s="151"/>
      <c r="BX120" s="151"/>
      <c r="BY120" s="151"/>
      <c r="BZ120" s="151"/>
      <c r="CA120" s="151"/>
      <c r="CB120" s="151"/>
      <c r="CC120" s="151"/>
      <c r="CD120" s="151"/>
      <c r="CE120" s="151"/>
      <c r="CF120" s="151"/>
      <c r="CG120" s="152"/>
      <c r="CH120" s="152"/>
      <c r="CI120" s="152"/>
      <c r="CJ120" s="152"/>
      <c r="CK120" s="152"/>
      <c r="CL120" s="152"/>
      <c r="CM120" s="152"/>
      <c r="CN120" s="152"/>
      <c r="CO120" s="152"/>
      <c r="CP120" s="152"/>
      <c r="CQ120" s="152"/>
      <c r="CR120" s="152"/>
      <c r="CS120" s="152"/>
      <c r="CT120" s="152"/>
      <c r="CU120" s="152"/>
      <c r="CV120" s="152"/>
      <c r="CW120" s="152"/>
      <c r="CX120" s="152"/>
      <c r="CY120" s="152"/>
      <c r="CZ120" s="152"/>
      <c r="DA120" s="152"/>
      <c r="DB120" s="152"/>
      <c r="DC120" s="152"/>
      <c r="DD120" s="152"/>
      <c r="DE120" s="152"/>
      <c r="DF120" s="152"/>
      <c r="DG120" s="152"/>
      <c r="DH120" s="152"/>
      <c r="DI120" s="152"/>
      <c r="DJ120" s="152"/>
      <c r="DK120" s="152"/>
      <c r="DL120" s="152"/>
      <c r="DM120" s="152"/>
      <c r="DN120" s="152"/>
      <c r="DO120" s="152"/>
      <c r="DP120" s="152"/>
      <c r="DQ120" s="152"/>
      <c r="DR120" s="152"/>
      <c r="DS120" s="152"/>
      <c r="DT120" s="152"/>
      <c r="DU120" s="152"/>
      <c r="DV120" s="152"/>
      <c r="DW120" s="152"/>
      <c r="DX120" s="152"/>
      <c r="DY120" s="152"/>
      <c r="DZ120" s="152"/>
      <c r="EA120" s="152"/>
      <c r="EB120" s="152"/>
      <c r="EC120" s="152"/>
      <c r="ED120" s="152"/>
      <c r="EE120" s="152"/>
      <c r="EF120" s="152"/>
      <c r="EG120" s="152"/>
      <c r="EH120" s="152"/>
      <c r="EI120" s="152"/>
      <c r="EJ120" s="152"/>
      <c r="EK120" s="152"/>
      <c r="EL120" s="152"/>
      <c r="EM120" s="152"/>
      <c r="EN120" s="152"/>
      <c r="EO120" s="152"/>
      <c r="EP120" s="152"/>
      <c r="EQ120" s="152"/>
      <c r="ER120" s="152"/>
      <c r="ES120" s="152"/>
      <c r="ET120" s="152"/>
      <c r="EU120" s="152"/>
      <c r="EV120" s="152"/>
      <c r="EW120" s="152"/>
      <c r="EX120" s="152"/>
      <c r="EY120" s="152"/>
      <c r="EZ120" s="152"/>
      <c r="FA120" s="152"/>
      <c r="FB120" s="152"/>
      <c r="FC120" s="152"/>
      <c r="FD120" s="152"/>
      <c r="FE120" s="152"/>
      <c r="FF120" s="152"/>
      <c r="FG120" s="152"/>
      <c r="FH120" s="152"/>
      <c r="FI120" s="152"/>
      <c r="FJ120" s="152"/>
      <c r="FK120" s="152"/>
      <c r="FL120" s="152"/>
      <c r="FM120" s="152"/>
      <c r="FN120" s="152"/>
      <c r="FO120" s="152"/>
      <c r="FP120" s="152"/>
      <c r="FQ120" s="152"/>
      <c r="FR120" s="152"/>
      <c r="FS120" s="152"/>
      <c r="FT120" s="152"/>
      <c r="FU120" s="152"/>
      <c r="FV120" s="152"/>
      <c r="FW120" s="152"/>
      <c r="FX120" s="152"/>
      <c r="FY120" s="152"/>
      <c r="FZ120" s="152"/>
      <c r="GA120" s="152"/>
      <c r="GB120" s="152"/>
      <c r="GC120" s="152"/>
      <c r="GD120" s="152"/>
      <c r="GE120" s="152"/>
      <c r="GF120" s="152"/>
      <c r="GG120" s="152"/>
      <c r="GH120" s="152"/>
      <c r="GI120" s="152"/>
      <c r="GJ120" s="152"/>
      <c r="GK120" s="152"/>
      <c r="GL120" s="152"/>
      <c r="GM120" s="152"/>
      <c r="GN120" s="152"/>
      <c r="GO120" s="152"/>
      <c r="GP120" s="152"/>
      <c r="GQ120" s="152"/>
      <c r="GR120" s="152"/>
      <c r="GS120" s="152"/>
      <c r="GT120" s="152"/>
      <c r="GU120" s="152"/>
      <c r="GV120" s="152"/>
      <c r="GW120" s="152"/>
      <c r="GX120" s="152"/>
      <c r="GY120" s="152"/>
      <c r="GZ120" s="152"/>
      <c r="HA120" s="152"/>
      <c r="HB120" s="152"/>
      <c r="HC120" s="152"/>
      <c r="HD120" s="152"/>
      <c r="HE120" s="152"/>
      <c r="HF120" s="152"/>
      <c r="HG120" s="152"/>
      <c r="HH120" s="152"/>
      <c r="HI120" s="152"/>
      <c r="HJ120" s="152"/>
      <c r="HK120" s="152"/>
      <c r="HL120" s="152"/>
      <c r="HM120" s="152"/>
      <c r="HN120" s="152"/>
      <c r="HO120" s="152"/>
      <c r="HP120" s="152"/>
      <c r="HQ120" s="152"/>
      <c r="HR120" s="152"/>
      <c r="HS120" s="152"/>
      <c r="HT120" s="152"/>
      <c r="HU120" s="152"/>
      <c r="HV120" s="152"/>
      <c r="HW120" s="152"/>
      <c r="HX120" s="152"/>
      <c r="HY120" s="152"/>
      <c r="HZ120" s="152"/>
    </row>
    <row r="121" spans="1:234" ht="15" customHeight="1">
      <c r="A121" s="190" t="s">
        <v>116</v>
      </c>
      <c r="B121" s="179"/>
      <c r="C121" s="179"/>
      <c r="D121" s="179"/>
      <c r="E121" s="179"/>
      <c r="F121" s="179"/>
      <c r="G121" s="179"/>
      <c r="H121" s="179"/>
      <c r="I121" s="179"/>
      <c r="J121" s="210"/>
      <c r="K121" s="184" t="e">
        <f>K61</f>
        <v>#REF!</v>
      </c>
      <c r="L121" s="184" t="e">
        <f>L61</f>
        <v>#REF!</v>
      </c>
      <c r="M121" s="184" t="e">
        <f>M61</f>
        <v>#REF!</v>
      </c>
      <c r="N121" s="184" t="e">
        <f>N61</f>
        <v>#REF!</v>
      </c>
      <c r="O121" s="151"/>
      <c r="P121" s="151"/>
      <c r="Q121" s="151"/>
      <c r="R121" s="151"/>
      <c r="S121" s="151"/>
      <c r="T121" s="151"/>
      <c r="U121" s="151"/>
      <c r="V121" s="151"/>
      <c r="W121" s="151"/>
      <c r="X121" s="151"/>
      <c r="Y121" s="151"/>
      <c r="Z121" s="151"/>
      <c r="AA121" s="151"/>
      <c r="AB121" s="151"/>
      <c r="AC121" s="151"/>
      <c r="AD121" s="151"/>
      <c r="AE121" s="151"/>
      <c r="AF121" s="151"/>
      <c r="AG121" s="151"/>
      <c r="AH121" s="151"/>
      <c r="AI121" s="151"/>
      <c r="AJ121" s="151"/>
      <c r="AK121" s="151"/>
      <c r="AL121" s="151"/>
      <c r="AM121" s="151"/>
      <c r="AN121" s="151"/>
      <c r="AO121" s="151"/>
      <c r="AP121" s="151"/>
      <c r="AQ121" s="151"/>
      <c r="AR121" s="151"/>
      <c r="AS121" s="151"/>
      <c r="AT121" s="151"/>
      <c r="AU121" s="151"/>
      <c r="AV121" s="151"/>
      <c r="AW121" s="151"/>
      <c r="AX121" s="151"/>
      <c r="AY121" s="151"/>
      <c r="AZ121" s="151"/>
      <c r="BA121" s="151"/>
      <c r="BB121" s="151"/>
      <c r="BC121" s="151"/>
      <c r="BD121" s="151"/>
      <c r="BE121" s="151"/>
      <c r="BF121" s="151"/>
      <c r="BG121" s="151"/>
      <c r="BH121" s="151"/>
      <c r="BI121" s="151"/>
      <c r="BJ121" s="151"/>
      <c r="BK121" s="151"/>
      <c r="BL121" s="151"/>
      <c r="BM121" s="151"/>
      <c r="BN121" s="151"/>
      <c r="BO121" s="151"/>
      <c r="BP121" s="151"/>
      <c r="BQ121" s="151"/>
      <c r="BR121" s="151"/>
      <c r="BS121" s="151"/>
      <c r="BT121" s="151"/>
      <c r="BU121" s="151"/>
      <c r="BV121" s="151"/>
      <c r="BW121" s="151"/>
      <c r="BX121" s="151"/>
      <c r="BY121" s="151"/>
      <c r="BZ121" s="151"/>
      <c r="CA121" s="151"/>
      <c r="CB121" s="151"/>
      <c r="CC121" s="151"/>
      <c r="CD121" s="151"/>
      <c r="CE121" s="151"/>
      <c r="CF121" s="151"/>
      <c r="CG121" s="152"/>
      <c r="CH121" s="152"/>
      <c r="CI121" s="152"/>
      <c r="CJ121" s="152"/>
      <c r="CK121" s="152"/>
      <c r="CL121" s="152"/>
      <c r="CM121" s="152"/>
      <c r="CN121" s="152"/>
      <c r="CO121" s="152"/>
      <c r="CP121" s="152"/>
      <c r="CQ121" s="152"/>
      <c r="CR121" s="152"/>
      <c r="CS121" s="152"/>
      <c r="CT121" s="152"/>
      <c r="CU121" s="152"/>
      <c r="CV121" s="152"/>
      <c r="CW121" s="152"/>
      <c r="CX121" s="152"/>
      <c r="CY121" s="152"/>
      <c r="CZ121" s="152"/>
      <c r="DA121" s="152"/>
      <c r="DB121" s="152"/>
      <c r="DC121" s="152"/>
      <c r="DD121" s="152"/>
      <c r="DE121" s="152"/>
      <c r="DF121" s="152"/>
      <c r="DG121" s="152"/>
      <c r="DH121" s="152"/>
      <c r="DI121" s="152"/>
      <c r="DJ121" s="152"/>
      <c r="DK121" s="152"/>
      <c r="DL121" s="152"/>
      <c r="DM121" s="152"/>
      <c r="DN121" s="152"/>
      <c r="DO121" s="152"/>
      <c r="DP121" s="152"/>
      <c r="DQ121" s="152"/>
      <c r="DR121" s="152"/>
      <c r="DS121" s="152"/>
      <c r="DT121" s="152"/>
      <c r="DU121" s="152"/>
      <c r="DV121" s="152"/>
      <c r="DW121" s="152"/>
      <c r="DX121" s="152"/>
      <c r="DY121" s="152"/>
      <c r="DZ121" s="152"/>
      <c r="EA121" s="152"/>
      <c r="EB121" s="152"/>
      <c r="EC121" s="152"/>
      <c r="ED121" s="152"/>
      <c r="EE121" s="152"/>
      <c r="EF121" s="152"/>
      <c r="EG121" s="152"/>
      <c r="EH121" s="152"/>
      <c r="EI121" s="152"/>
      <c r="EJ121" s="152"/>
      <c r="EK121" s="152"/>
      <c r="EL121" s="152"/>
      <c r="EM121" s="152"/>
      <c r="EN121" s="152"/>
      <c r="EO121" s="152"/>
      <c r="EP121" s="152"/>
      <c r="EQ121" s="152"/>
      <c r="ER121" s="152"/>
      <c r="ES121" s="152"/>
      <c r="ET121" s="152"/>
      <c r="EU121" s="152"/>
      <c r="EV121" s="152"/>
      <c r="EW121" s="152"/>
      <c r="EX121" s="152"/>
      <c r="EY121" s="152"/>
      <c r="EZ121" s="152"/>
      <c r="FA121" s="152"/>
      <c r="FB121" s="152"/>
      <c r="FC121" s="152"/>
      <c r="FD121" s="152"/>
      <c r="FE121" s="152"/>
      <c r="FF121" s="152"/>
      <c r="FG121" s="152"/>
      <c r="FH121" s="152"/>
      <c r="FI121" s="152"/>
      <c r="FJ121" s="152"/>
      <c r="FK121" s="152"/>
      <c r="FL121" s="152"/>
      <c r="FM121" s="152"/>
      <c r="FN121" s="152"/>
      <c r="FO121" s="152"/>
      <c r="FP121" s="152"/>
      <c r="FQ121" s="152"/>
      <c r="FR121" s="152"/>
      <c r="FS121" s="152"/>
      <c r="FT121" s="152"/>
      <c r="FU121" s="152"/>
      <c r="FV121" s="152"/>
      <c r="FW121" s="152"/>
      <c r="FX121" s="152"/>
      <c r="FY121" s="152"/>
      <c r="FZ121" s="152"/>
      <c r="GA121" s="152"/>
      <c r="GB121" s="152"/>
      <c r="GC121" s="152"/>
      <c r="GD121" s="152"/>
      <c r="GE121" s="152"/>
      <c r="GF121" s="152"/>
      <c r="GG121" s="152"/>
      <c r="GH121" s="152"/>
      <c r="GI121" s="152"/>
      <c r="GJ121" s="152"/>
      <c r="GK121" s="152"/>
      <c r="GL121" s="152"/>
      <c r="GM121" s="152"/>
      <c r="GN121" s="152"/>
      <c r="GO121" s="152"/>
      <c r="GP121" s="152"/>
      <c r="GQ121" s="152"/>
      <c r="GR121" s="152"/>
      <c r="GS121" s="152"/>
      <c r="GT121" s="152"/>
      <c r="GU121" s="152"/>
      <c r="GV121" s="152"/>
      <c r="GW121" s="152"/>
      <c r="GX121" s="152"/>
      <c r="GY121" s="152"/>
      <c r="GZ121" s="152"/>
      <c r="HA121" s="152"/>
      <c r="HB121" s="152"/>
      <c r="HC121" s="152"/>
      <c r="HD121" s="152"/>
      <c r="HE121" s="152"/>
      <c r="HF121" s="152"/>
      <c r="HG121" s="152"/>
      <c r="HH121" s="152"/>
      <c r="HI121" s="152"/>
      <c r="HJ121" s="152"/>
      <c r="HK121" s="152"/>
      <c r="HL121" s="152"/>
      <c r="HM121" s="152"/>
      <c r="HN121" s="152"/>
      <c r="HO121" s="152"/>
      <c r="HP121" s="152"/>
      <c r="HQ121" s="152"/>
      <c r="HR121" s="152"/>
      <c r="HS121" s="152"/>
      <c r="HT121" s="152"/>
      <c r="HU121" s="152"/>
      <c r="HV121" s="152"/>
      <c r="HW121" s="152"/>
      <c r="HX121" s="152"/>
      <c r="HY121" s="152"/>
      <c r="HZ121" s="152"/>
    </row>
    <row r="122" spans="1:234" ht="15" customHeight="1">
      <c r="A122" s="190" t="s">
        <v>117</v>
      </c>
      <c r="B122" s="179"/>
      <c r="C122" s="179"/>
      <c r="D122" s="179"/>
      <c r="E122" s="179"/>
      <c r="F122" s="179"/>
      <c r="G122" s="179"/>
      <c r="H122" s="179"/>
      <c r="I122" s="179"/>
      <c r="J122" s="210"/>
      <c r="K122" s="184" t="e">
        <f>K90</f>
        <v>#REF!</v>
      </c>
      <c r="L122" s="184" t="e">
        <f>L90</f>
        <v>#REF!</v>
      </c>
      <c r="M122" s="184" t="e">
        <f>M90</f>
        <v>#REF!</v>
      </c>
      <c r="N122" s="184" t="e">
        <f>N90</f>
        <v>#REF!</v>
      </c>
      <c r="O122" s="151"/>
      <c r="P122" s="151"/>
      <c r="Q122" s="151"/>
      <c r="R122" s="151"/>
      <c r="S122" s="151"/>
      <c r="T122" s="151"/>
      <c r="U122" s="151"/>
      <c r="V122" s="151"/>
      <c r="W122" s="151"/>
      <c r="X122" s="151"/>
      <c r="Y122" s="151"/>
      <c r="Z122" s="151"/>
      <c r="AA122" s="151"/>
      <c r="AB122" s="151"/>
      <c r="AC122" s="151"/>
      <c r="AD122" s="151"/>
      <c r="AE122" s="151"/>
      <c r="AF122" s="151"/>
      <c r="AG122" s="151"/>
      <c r="AH122" s="151"/>
      <c r="AI122" s="151"/>
      <c r="AJ122" s="151"/>
      <c r="AK122" s="151"/>
      <c r="AL122" s="151"/>
      <c r="AM122" s="151"/>
      <c r="AN122" s="151"/>
      <c r="AO122" s="151"/>
      <c r="AP122" s="151"/>
      <c r="AQ122" s="151"/>
      <c r="AR122" s="151"/>
      <c r="AS122" s="151"/>
      <c r="AT122" s="151"/>
      <c r="AU122" s="151"/>
      <c r="AV122" s="151"/>
      <c r="AW122" s="151"/>
      <c r="AX122" s="151"/>
      <c r="AY122" s="151"/>
      <c r="AZ122" s="151"/>
      <c r="BA122" s="151"/>
      <c r="BB122" s="151"/>
      <c r="BC122" s="151"/>
      <c r="BD122" s="151"/>
      <c r="BE122" s="151"/>
      <c r="BF122" s="151"/>
      <c r="BG122" s="151"/>
      <c r="BH122" s="151"/>
      <c r="BI122" s="151"/>
      <c r="BJ122" s="151"/>
      <c r="BK122" s="151"/>
      <c r="BL122" s="151"/>
      <c r="BM122" s="151"/>
      <c r="BN122" s="151"/>
      <c r="BO122" s="151"/>
      <c r="BP122" s="151"/>
      <c r="BQ122" s="151"/>
      <c r="BR122" s="151"/>
      <c r="BS122" s="151"/>
      <c r="BT122" s="151"/>
      <c r="BU122" s="151"/>
      <c r="BV122" s="151"/>
      <c r="BW122" s="151"/>
      <c r="BX122" s="151"/>
      <c r="BY122" s="151"/>
      <c r="BZ122" s="151"/>
      <c r="CA122" s="151"/>
      <c r="CB122" s="151"/>
      <c r="CC122" s="151"/>
      <c r="CD122" s="151"/>
      <c r="CE122" s="151"/>
      <c r="CF122" s="151"/>
      <c r="CG122" s="152"/>
      <c r="CH122" s="152"/>
      <c r="CI122" s="152"/>
      <c r="CJ122" s="152"/>
      <c r="CK122" s="152"/>
      <c r="CL122" s="152"/>
      <c r="CM122" s="152"/>
      <c r="CN122" s="152"/>
      <c r="CO122" s="152"/>
      <c r="CP122" s="152"/>
      <c r="CQ122" s="152"/>
      <c r="CR122" s="152"/>
      <c r="CS122" s="152"/>
      <c r="CT122" s="152"/>
      <c r="CU122" s="152"/>
      <c r="CV122" s="152"/>
      <c r="CW122" s="152"/>
      <c r="CX122" s="152"/>
      <c r="CY122" s="152"/>
      <c r="CZ122" s="152"/>
      <c r="DA122" s="152"/>
      <c r="DB122" s="152"/>
      <c r="DC122" s="152"/>
      <c r="DD122" s="152"/>
      <c r="DE122" s="152"/>
      <c r="DF122" s="152"/>
      <c r="DG122" s="152"/>
      <c r="DH122" s="152"/>
      <c r="DI122" s="152"/>
      <c r="DJ122" s="152"/>
      <c r="DK122" s="152"/>
      <c r="DL122" s="152"/>
      <c r="DM122" s="152"/>
      <c r="DN122" s="152"/>
      <c r="DO122" s="152"/>
      <c r="DP122" s="152"/>
      <c r="DQ122" s="152"/>
      <c r="DR122" s="152"/>
      <c r="DS122" s="152"/>
      <c r="DT122" s="152"/>
      <c r="DU122" s="152"/>
      <c r="DV122" s="152"/>
      <c r="DW122" s="152"/>
      <c r="DX122" s="152"/>
      <c r="DY122" s="152"/>
      <c r="DZ122" s="152"/>
      <c r="EA122" s="152"/>
      <c r="EB122" s="152"/>
      <c r="EC122" s="152"/>
      <c r="ED122" s="152"/>
      <c r="EE122" s="152"/>
      <c r="EF122" s="152"/>
      <c r="EG122" s="152"/>
      <c r="EH122" s="152"/>
      <c r="EI122" s="152"/>
      <c r="EJ122" s="152"/>
      <c r="EK122" s="152"/>
      <c r="EL122" s="152"/>
      <c r="EM122" s="152"/>
      <c r="EN122" s="152"/>
      <c r="EO122" s="152"/>
      <c r="EP122" s="152"/>
      <c r="EQ122" s="152"/>
      <c r="ER122" s="152"/>
      <c r="ES122" s="152"/>
      <c r="ET122" s="152"/>
      <c r="EU122" s="152"/>
      <c r="EV122" s="152"/>
      <c r="EW122" s="152"/>
      <c r="EX122" s="152"/>
      <c r="EY122" s="152"/>
      <c r="EZ122" s="152"/>
      <c r="FA122" s="152"/>
      <c r="FB122" s="152"/>
      <c r="FC122" s="152"/>
      <c r="FD122" s="152"/>
      <c r="FE122" s="152"/>
      <c r="FF122" s="152"/>
      <c r="FG122" s="152"/>
      <c r="FH122" s="152"/>
      <c r="FI122" s="152"/>
      <c r="FJ122" s="152"/>
      <c r="FK122" s="152"/>
      <c r="FL122" s="152"/>
      <c r="FM122" s="152"/>
      <c r="FN122" s="152"/>
      <c r="FO122" s="152"/>
      <c r="FP122" s="152"/>
      <c r="FQ122" s="152"/>
      <c r="FR122" s="152"/>
      <c r="FS122" s="152"/>
      <c r="FT122" s="152"/>
      <c r="FU122" s="152"/>
      <c r="FV122" s="152"/>
      <c r="FW122" s="152"/>
      <c r="FX122" s="152"/>
      <c r="FY122" s="152"/>
      <c r="FZ122" s="152"/>
      <c r="GA122" s="152"/>
      <c r="GB122" s="152"/>
      <c r="GC122" s="152"/>
      <c r="GD122" s="152"/>
      <c r="GE122" s="152"/>
      <c r="GF122" s="152"/>
      <c r="GG122" s="152"/>
      <c r="GH122" s="152"/>
      <c r="GI122" s="152"/>
      <c r="GJ122" s="152"/>
      <c r="GK122" s="152"/>
      <c r="GL122" s="152"/>
      <c r="GM122" s="152"/>
      <c r="GN122" s="152"/>
      <c r="GO122" s="152"/>
      <c r="GP122" s="152"/>
      <c r="GQ122" s="152"/>
      <c r="GR122" s="152"/>
      <c r="GS122" s="152"/>
      <c r="GT122" s="152"/>
      <c r="GU122" s="152"/>
      <c r="GV122" s="152"/>
      <c r="GW122" s="152"/>
      <c r="GX122" s="152"/>
      <c r="GY122" s="152"/>
      <c r="GZ122" s="152"/>
      <c r="HA122" s="152"/>
      <c r="HB122" s="152"/>
      <c r="HC122" s="152"/>
      <c r="HD122" s="152"/>
      <c r="HE122" s="152"/>
      <c r="HF122" s="152"/>
      <c r="HG122" s="152"/>
      <c r="HH122" s="152"/>
      <c r="HI122" s="152"/>
      <c r="HJ122" s="152"/>
      <c r="HK122" s="152"/>
      <c r="HL122" s="152"/>
      <c r="HM122" s="152"/>
      <c r="HN122" s="152"/>
      <c r="HO122" s="152"/>
      <c r="HP122" s="152"/>
      <c r="HQ122" s="152"/>
      <c r="HR122" s="152"/>
      <c r="HS122" s="152"/>
      <c r="HT122" s="152"/>
      <c r="HU122" s="152"/>
      <c r="HV122" s="152"/>
      <c r="HW122" s="152"/>
      <c r="HX122" s="152"/>
      <c r="HY122" s="152"/>
      <c r="HZ122" s="152"/>
    </row>
    <row r="123" spans="1:234" ht="15" customHeight="1">
      <c r="A123" s="190" t="s">
        <v>118</v>
      </c>
      <c r="B123" s="179"/>
      <c r="C123" s="179"/>
      <c r="D123" s="179"/>
      <c r="E123" s="179"/>
      <c r="F123" s="179"/>
      <c r="G123" s="179"/>
      <c r="H123" s="179"/>
      <c r="I123" s="179"/>
      <c r="J123" s="210"/>
      <c r="K123" s="184" t="e">
        <f>K98</f>
        <v>#REF!</v>
      </c>
      <c r="L123" s="184" t="e">
        <f>L98</f>
        <v>#REF!</v>
      </c>
      <c r="M123" s="184" t="e">
        <f>M98</f>
        <v>#REF!</v>
      </c>
      <c r="N123" s="184" t="e">
        <f>N98</f>
        <v>#REF!</v>
      </c>
      <c r="O123" s="151"/>
      <c r="P123" s="151"/>
      <c r="Q123" s="151"/>
      <c r="R123" s="151"/>
      <c r="S123" s="151"/>
      <c r="T123" s="151"/>
      <c r="U123" s="151"/>
      <c r="V123" s="151"/>
      <c r="W123" s="151"/>
      <c r="X123" s="151"/>
      <c r="Y123" s="151"/>
      <c r="Z123" s="151"/>
      <c r="AA123" s="151"/>
      <c r="AB123" s="151"/>
      <c r="AC123" s="151"/>
      <c r="AD123" s="151"/>
      <c r="AE123" s="151"/>
      <c r="AF123" s="151"/>
      <c r="AG123" s="151"/>
      <c r="AH123" s="151"/>
      <c r="AI123" s="151"/>
      <c r="AJ123" s="151"/>
      <c r="AK123" s="151"/>
      <c r="AL123" s="151"/>
      <c r="AM123" s="151"/>
      <c r="AN123" s="151"/>
      <c r="AO123" s="151"/>
      <c r="AP123" s="151"/>
      <c r="AQ123" s="151"/>
      <c r="AR123" s="151"/>
      <c r="AS123" s="151"/>
      <c r="AT123" s="151"/>
      <c r="AU123" s="151"/>
      <c r="AV123" s="151"/>
      <c r="AW123" s="151"/>
      <c r="AX123" s="151"/>
      <c r="AY123" s="151"/>
      <c r="AZ123" s="151"/>
      <c r="BA123" s="151"/>
      <c r="BB123" s="151"/>
      <c r="BC123" s="151"/>
      <c r="BD123" s="151"/>
      <c r="BE123" s="151"/>
      <c r="BF123" s="151"/>
      <c r="BG123" s="151"/>
      <c r="BH123" s="151"/>
      <c r="BI123" s="151"/>
      <c r="BJ123" s="151"/>
      <c r="BK123" s="151"/>
      <c r="BL123" s="151"/>
      <c r="BM123" s="151"/>
      <c r="BN123" s="151"/>
      <c r="BO123" s="151"/>
      <c r="BP123" s="151"/>
      <c r="BQ123" s="151"/>
      <c r="BR123" s="151"/>
      <c r="BS123" s="151"/>
      <c r="BT123" s="151"/>
      <c r="BU123" s="151"/>
      <c r="BV123" s="151"/>
      <c r="BW123" s="151"/>
      <c r="BX123" s="151"/>
      <c r="BY123" s="151"/>
      <c r="BZ123" s="151"/>
      <c r="CA123" s="151"/>
      <c r="CB123" s="151"/>
      <c r="CC123" s="151"/>
      <c r="CD123" s="151"/>
      <c r="CE123" s="151"/>
      <c r="CF123" s="151"/>
      <c r="CG123" s="152"/>
      <c r="CH123" s="152"/>
      <c r="CI123" s="152"/>
      <c r="CJ123" s="152"/>
      <c r="CK123" s="152"/>
      <c r="CL123" s="152"/>
      <c r="CM123" s="152"/>
      <c r="CN123" s="152"/>
      <c r="CO123" s="152"/>
      <c r="CP123" s="152"/>
      <c r="CQ123" s="152"/>
      <c r="CR123" s="152"/>
      <c r="CS123" s="152"/>
      <c r="CT123" s="152"/>
      <c r="CU123" s="152"/>
      <c r="CV123" s="152"/>
      <c r="CW123" s="152"/>
      <c r="CX123" s="152"/>
      <c r="CY123" s="152"/>
      <c r="CZ123" s="152"/>
      <c r="DA123" s="152"/>
      <c r="DB123" s="152"/>
      <c r="DC123" s="152"/>
      <c r="DD123" s="152"/>
      <c r="DE123" s="152"/>
      <c r="DF123" s="152"/>
      <c r="DG123" s="152"/>
      <c r="DH123" s="152"/>
      <c r="DI123" s="152"/>
      <c r="DJ123" s="152"/>
      <c r="DK123" s="152"/>
      <c r="DL123" s="152"/>
      <c r="DM123" s="152"/>
      <c r="DN123" s="152"/>
      <c r="DO123" s="152"/>
      <c r="DP123" s="152"/>
      <c r="DQ123" s="152"/>
      <c r="DR123" s="152"/>
      <c r="DS123" s="152"/>
      <c r="DT123" s="152"/>
      <c r="DU123" s="152"/>
      <c r="DV123" s="152"/>
      <c r="DW123" s="152"/>
      <c r="DX123" s="152"/>
      <c r="DY123" s="152"/>
      <c r="DZ123" s="152"/>
      <c r="EA123" s="152"/>
      <c r="EB123" s="152"/>
      <c r="EC123" s="152"/>
      <c r="ED123" s="152"/>
      <c r="EE123" s="152"/>
      <c r="EF123" s="152"/>
      <c r="EG123" s="152"/>
      <c r="EH123" s="152"/>
      <c r="EI123" s="152"/>
      <c r="EJ123" s="152"/>
      <c r="EK123" s="152"/>
      <c r="EL123" s="152"/>
      <c r="EM123" s="152"/>
      <c r="EN123" s="152"/>
      <c r="EO123" s="152"/>
      <c r="EP123" s="152"/>
      <c r="EQ123" s="152"/>
      <c r="ER123" s="152"/>
      <c r="ES123" s="152"/>
      <c r="ET123" s="152"/>
      <c r="EU123" s="152"/>
      <c r="EV123" s="152"/>
      <c r="EW123" s="152"/>
      <c r="EX123" s="152"/>
      <c r="EY123" s="152"/>
      <c r="EZ123" s="152"/>
      <c r="FA123" s="152"/>
      <c r="FB123" s="152"/>
      <c r="FC123" s="152"/>
      <c r="FD123" s="152"/>
      <c r="FE123" s="152"/>
      <c r="FF123" s="152"/>
      <c r="FG123" s="152"/>
      <c r="FH123" s="152"/>
      <c r="FI123" s="152"/>
      <c r="FJ123" s="152"/>
      <c r="FK123" s="152"/>
      <c r="FL123" s="152"/>
      <c r="FM123" s="152"/>
      <c r="FN123" s="152"/>
      <c r="FO123" s="152"/>
      <c r="FP123" s="152"/>
      <c r="FQ123" s="152"/>
      <c r="FR123" s="152"/>
      <c r="FS123" s="152"/>
      <c r="FT123" s="152"/>
      <c r="FU123" s="152"/>
      <c r="FV123" s="152"/>
      <c r="FW123" s="152"/>
      <c r="FX123" s="152"/>
      <c r="FY123" s="152"/>
      <c r="FZ123" s="152"/>
      <c r="GA123" s="152"/>
      <c r="GB123" s="152"/>
      <c r="GC123" s="152"/>
      <c r="GD123" s="152"/>
      <c r="GE123" s="152"/>
      <c r="GF123" s="152"/>
      <c r="GG123" s="152"/>
      <c r="GH123" s="152"/>
      <c r="GI123" s="152"/>
      <c r="GJ123" s="152"/>
      <c r="GK123" s="152"/>
      <c r="GL123" s="152"/>
      <c r="GM123" s="152"/>
      <c r="GN123" s="152"/>
      <c r="GO123" s="152"/>
      <c r="GP123" s="152"/>
      <c r="GQ123" s="152"/>
      <c r="GR123" s="152"/>
      <c r="GS123" s="152"/>
      <c r="GT123" s="152"/>
      <c r="GU123" s="152"/>
      <c r="GV123" s="152"/>
      <c r="GW123" s="152"/>
      <c r="GX123" s="152"/>
      <c r="GY123" s="152"/>
      <c r="GZ123" s="152"/>
      <c r="HA123" s="152"/>
      <c r="HB123" s="152"/>
      <c r="HC123" s="152"/>
      <c r="HD123" s="152"/>
      <c r="HE123" s="152"/>
      <c r="HF123" s="152"/>
      <c r="HG123" s="152"/>
      <c r="HH123" s="152"/>
      <c r="HI123" s="152"/>
      <c r="HJ123" s="152"/>
      <c r="HK123" s="152"/>
      <c r="HL123" s="152"/>
      <c r="HM123" s="152"/>
      <c r="HN123" s="152"/>
      <c r="HO123" s="152"/>
      <c r="HP123" s="152"/>
      <c r="HQ123" s="152"/>
      <c r="HR123" s="152"/>
      <c r="HS123" s="152"/>
      <c r="HT123" s="152"/>
      <c r="HU123" s="152"/>
      <c r="HV123" s="152"/>
      <c r="HW123" s="152"/>
      <c r="HX123" s="152"/>
      <c r="HY123" s="152"/>
      <c r="HZ123" s="152"/>
    </row>
    <row r="124" spans="1:234" ht="14.1" customHeight="1">
      <c r="A124" s="211" t="s">
        <v>24</v>
      </c>
      <c r="B124" s="212"/>
      <c r="C124" s="212"/>
      <c r="D124" s="212"/>
      <c r="E124" s="212"/>
      <c r="F124" s="212"/>
      <c r="G124" s="212"/>
      <c r="H124" s="212"/>
      <c r="I124" s="213"/>
      <c r="J124" s="210"/>
      <c r="K124" s="184" t="e">
        <f>SUM(K119:K123)</f>
        <v>#REF!</v>
      </c>
      <c r="L124" s="184" t="e">
        <f>SUM(L119:L123)</f>
        <v>#REF!</v>
      </c>
      <c r="M124" s="184" t="e">
        <f>SUM(M119:M123)</f>
        <v>#REF!</v>
      </c>
      <c r="N124" s="184" t="e">
        <f>SUM(N119:N123)</f>
        <v>#REF!</v>
      </c>
    </row>
    <row r="125" spans="1:234" ht="15" customHeight="1">
      <c r="A125" s="190" t="s">
        <v>130</v>
      </c>
      <c r="B125" s="179"/>
      <c r="C125" s="179"/>
      <c r="D125" s="179"/>
      <c r="E125" s="179"/>
      <c r="F125" s="179"/>
      <c r="G125" s="179"/>
      <c r="H125" s="179"/>
      <c r="I125" s="179"/>
      <c r="J125" s="210"/>
      <c r="K125" s="184" t="e">
        <f>K117</f>
        <v>#REF!</v>
      </c>
      <c r="L125" s="184" t="e">
        <f>L117</f>
        <v>#REF!</v>
      </c>
      <c r="M125" s="184" t="e">
        <f>M117</f>
        <v>#REF!</v>
      </c>
      <c r="N125" s="184" t="e">
        <f>N117</f>
        <v>#REF!</v>
      </c>
      <c r="O125" s="151"/>
      <c r="P125" s="151"/>
      <c r="Q125" s="151"/>
      <c r="R125" s="151"/>
      <c r="S125" s="151"/>
      <c r="T125" s="151"/>
      <c r="U125" s="151"/>
      <c r="V125" s="151"/>
      <c r="W125" s="151"/>
      <c r="X125" s="151"/>
      <c r="Y125" s="151"/>
      <c r="Z125" s="151"/>
      <c r="AA125" s="151"/>
      <c r="AB125" s="151"/>
      <c r="AC125" s="151"/>
      <c r="AD125" s="151"/>
      <c r="AE125" s="151"/>
      <c r="AF125" s="151"/>
      <c r="AG125" s="151"/>
      <c r="AH125" s="151"/>
      <c r="AI125" s="151"/>
      <c r="AJ125" s="151"/>
      <c r="AK125" s="151"/>
      <c r="AL125" s="151"/>
      <c r="AM125" s="151"/>
      <c r="AN125" s="151"/>
      <c r="AO125" s="151"/>
      <c r="AP125" s="151"/>
      <c r="AQ125" s="151"/>
      <c r="AR125" s="151"/>
      <c r="AS125" s="151"/>
      <c r="AT125" s="151"/>
      <c r="AU125" s="151"/>
      <c r="AV125" s="151"/>
      <c r="AW125" s="151"/>
      <c r="AX125" s="151"/>
      <c r="AY125" s="151"/>
      <c r="AZ125" s="151"/>
      <c r="BA125" s="151"/>
      <c r="BB125" s="151"/>
      <c r="BC125" s="151"/>
      <c r="BD125" s="151"/>
      <c r="BE125" s="151"/>
      <c r="BF125" s="151"/>
      <c r="BG125" s="151"/>
      <c r="BH125" s="151"/>
      <c r="BI125" s="151"/>
      <c r="BJ125" s="151"/>
      <c r="BK125" s="151"/>
      <c r="BL125" s="151"/>
      <c r="BM125" s="151"/>
      <c r="BN125" s="151"/>
      <c r="BO125" s="151"/>
      <c r="BP125" s="151"/>
      <c r="BQ125" s="151"/>
      <c r="BR125" s="151"/>
      <c r="BS125" s="151"/>
      <c r="BT125" s="151"/>
      <c r="BU125" s="151"/>
      <c r="BV125" s="151"/>
      <c r="BW125" s="151"/>
      <c r="BX125" s="151"/>
      <c r="BY125" s="151"/>
      <c r="BZ125" s="151"/>
      <c r="CA125" s="151"/>
      <c r="CB125" s="151"/>
      <c r="CC125" s="151"/>
      <c r="CD125" s="151"/>
      <c r="CE125" s="151"/>
      <c r="CF125" s="151"/>
      <c r="CG125" s="152"/>
      <c r="CH125" s="152"/>
      <c r="CI125" s="152"/>
      <c r="CJ125" s="152"/>
      <c r="CK125" s="152"/>
      <c r="CL125" s="152"/>
      <c r="CM125" s="152"/>
      <c r="CN125" s="152"/>
      <c r="CO125" s="152"/>
      <c r="CP125" s="152"/>
      <c r="CQ125" s="152"/>
      <c r="CR125" s="152"/>
      <c r="CS125" s="152"/>
      <c r="CT125" s="152"/>
      <c r="CU125" s="152"/>
      <c r="CV125" s="152"/>
      <c r="CW125" s="152"/>
      <c r="CX125" s="152"/>
      <c r="CY125" s="152"/>
      <c r="CZ125" s="152"/>
      <c r="DA125" s="152"/>
      <c r="DB125" s="152"/>
      <c r="DC125" s="152"/>
      <c r="DD125" s="152"/>
      <c r="DE125" s="152"/>
      <c r="DF125" s="152"/>
      <c r="DG125" s="152"/>
      <c r="DH125" s="152"/>
      <c r="DI125" s="152"/>
      <c r="DJ125" s="152"/>
      <c r="DK125" s="152"/>
      <c r="DL125" s="152"/>
      <c r="DM125" s="152"/>
      <c r="DN125" s="152"/>
      <c r="DO125" s="152"/>
      <c r="DP125" s="152"/>
      <c r="DQ125" s="152"/>
      <c r="DR125" s="152"/>
      <c r="DS125" s="152"/>
      <c r="DT125" s="152"/>
      <c r="DU125" s="152"/>
      <c r="DV125" s="152"/>
      <c r="DW125" s="152"/>
      <c r="DX125" s="152"/>
      <c r="DY125" s="152"/>
      <c r="DZ125" s="152"/>
      <c r="EA125" s="152"/>
      <c r="EB125" s="152"/>
      <c r="EC125" s="152"/>
      <c r="ED125" s="152"/>
      <c r="EE125" s="152"/>
      <c r="EF125" s="152"/>
      <c r="EG125" s="152"/>
      <c r="EH125" s="152"/>
      <c r="EI125" s="152"/>
      <c r="EJ125" s="152"/>
      <c r="EK125" s="152"/>
      <c r="EL125" s="152"/>
      <c r="EM125" s="152"/>
      <c r="EN125" s="152"/>
      <c r="EO125" s="152"/>
      <c r="EP125" s="152"/>
      <c r="EQ125" s="152"/>
      <c r="ER125" s="152"/>
      <c r="ES125" s="152"/>
      <c r="ET125" s="152"/>
      <c r="EU125" s="152"/>
      <c r="EV125" s="152"/>
      <c r="EW125" s="152"/>
      <c r="EX125" s="152"/>
      <c r="EY125" s="152"/>
      <c r="EZ125" s="152"/>
      <c r="FA125" s="152"/>
      <c r="FB125" s="152"/>
      <c r="FC125" s="152"/>
      <c r="FD125" s="152"/>
      <c r="FE125" s="152"/>
      <c r="FF125" s="152"/>
      <c r="FG125" s="152"/>
      <c r="FH125" s="152"/>
      <c r="FI125" s="152"/>
      <c r="FJ125" s="152"/>
      <c r="FK125" s="152"/>
      <c r="FL125" s="152"/>
      <c r="FM125" s="152"/>
      <c r="FN125" s="152"/>
      <c r="FO125" s="152"/>
      <c r="FP125" s="152"/>
      <c r="FQ125" s="152"/>
      <c r="FR125" s="152"/>
      <c r="FS125" s="152"/>
      <c r="FT125" s="152"/>
      <c r="FU125" s="152"/>
      <c r="FV125" s="152"/>
      <c r="FW125" s="152"/>
      <c r="FX125" s="152"/>
      <c r="FY125" s="152"/>
      <c r="FZ125" s="152"/>
      <c r="GA125" s="152"/>
      <c r="GB125" s="152"/>
      <c r="GC125" s="152"/>
      <c r="GD125" s="152"/>
      <c r="GE125" s="152"/>
      <c r="GF125" s="152"/>
      <c r="GG125" s="152"/>
      <c r="GH125" s="152"/>
      <c r="GI125" s="152"/>
      <c r="GJ125" s="152"/>
      <c r="GK125" s="152"/>
      <c r="GL125" s="152"/>
      <c r="GM125" s="152"/>
      <c r="GN125" s="152"/>
      <c r="GO125" s="152"/>
      <c r="GP125" s="152"/>
      <c r="GQ125" s="152"/>
      <c r="GR125" s="152"/>
      <c r="GS125" s="152"/>
      <c r="GT125" s="152"/>
      <c r="GU125" s="152"/>
      <c r="GV125" s="152"/>
      <c r="GW125" s="152"/>
      <c r="GX125" s="152"/>
      <c r="GY125" s="152"/>
      <c r="GZ125" s="152"/>
      <c r="HA125" s="152"/>
      <c r="HB125" s="152"/>
      <c r="HC125" s="152"/>
      <c r="HD125" s="152"/>
      <c r="HE125" s="152"/>
      <c r="HF125" s="152"/>
      <c r="HG125" s="152"/>
      <c r="HH125" s="152"/>
      <c r="HI125" s="152"/>
      <c r="HJ125" s="152"/>
      <c r="HK125" s="152"/>
      <c r="HL125" s="152"/>
      <c r="HM125" s="152"/>
      <c r="HN125" s="152"/>
      <c r="HO125" s="152"/>
      <c r="HP125" s="152"/>
      <c r="HQ125" s="152"/>
      <c r="HR125" s="152"/>
      <c r="HS125" s="152"/>
      <c r="HT125" s="152"/>
      <c r="HU125" s="152"/>
      <c r="HV125" s="152"/>
      <c r="HW125" s="152"/>
      <c r="HX125" s="152"/>
      <c r="HY125" s="152"/>
      <c r="HZ125" s="152"/>
    </row>
    <row r="126" spans="1:234" ht="14.1" customHeight="1">
      <c r="A126" s="211" t="s">
        <v>24</v>
      </c>
      <c r="B126" s="212"/>
      <c r="C126" s="212"/>
      <c r="D126" s="212"/>
      <c r="E126" s="212"/>
      <c r="F126" s="212"/>
      <c r="G126" s="212"/>
      <c r="H126" s="212"/>
      <c r="I126" s="213"/>
      <c r="J126" s="210"/>
      <c r="K126" s="184" t="e">
        <f>K124+K125</f>
        <v>#REF!</v>
      </c>
      <c r="L126" s="184" t="e">
        <f>L124+L125</f>
        <v>#REF!</v>
      </c>
      <c r="M126" s="184" t="e">
        <f>M124+M125</f>
        <v>#REF!</v>
      </c>
      <c r="N126" s="184" t="e">
        <f>N124+N125</f>
        <v>#REF!</v>
      </c>
    </row>
    <row r="127" spans="1:234" ht="21.75" customHeight="1">
      <c r="A127" s="1241" t="s">
        <v>168</v>
      </c>
      <c r="B127" s="1242"/>
      <c r="C127" s="1242"/>
      <c r="D127" s="1242"/>
      <c r="E127" s="1242"/>
      <c r="F127" s="1242"/>
      <c r="G127" s="1242"/>
      <c r="H127" s="1242"/>
      <c r="I127" s="1242"/>
      <c r="J127" s="214"/>
      <c r="K127" s="189" t="e">
        <f>K126</f>
        <v>#REF!</v>
      </c>
      <c r="L127" s="189" t="e">
        <f>L126</f>
        <v>#REF!</v>
      </c>
      <c r="M127" s="189" t="e">
        <f>M126</f>
        <v>#REF!</v>
      </c>
      <c r="N127" s="189" t="e">
        <f>N126</f>
        <v>#REF!</v>
      </c>
    </row>
    <row r="128" spans="1:234">
      <c r="A128" s="128"/>
      <c r="B128" s="128"/>
      <c r="C128" s="128"/>
      <c r="D128" s="128"/>
      <c r="E128" s="128"/>
      <c r="F128" s="128"/>
      <c r="G128" s="128"/>
      <c r="H128" s="128"/>
      <c r="I128" s="169"/>
      <c r="J128" s="128"/>
      <c r="K128" s="169"/>
      <c r="L128" s="169"/>
      <c r="M128" s="169"/>
      <c r="N128" s="169"/>
    </row>
    <row r="129" spans="1:84" s="171" customFormat="1" ht="69" customHeight="1">
      <c r="A129" s="1276" t="s">
        <v>169</v>
      </c>
      <c r="B129" s="1276"/>
      <c r="C129" s="1276"/>
      <c r="D129" s="1276"/>
      <c r="E129" s="1276"/>
      <c r="F129" s="1276"/>
      <c r="G129" s="1276"/>
      <c r="H129" s="1276"/>
      <c r="I129" s="1276"/>
      <c r="J129" s="1276"/>
      <c r="K129" s="1276"/>
      <c r="L129" s="1276"/>
      <c r="M129" s="170"/>
      <c r="N129" s="170"/>
      <c r="O129" s="170"/>
      <c r="P129" s="170"/>
      <c r="Q129" s="170"/>
      <c r="R129" s="170"/>
      <c r="S129" s="170"/>
      <c r="T129" s="170"/>
      <c r="U129" s="170"/>
      <c r="V129" s="170"/>
      <c r="W129" s="170"/>
      <c r="X129" s="170"/>
      <c r="Y129" s="170"/>
      <c r="Z129" s="170"/>
      <c r="AA129" s="170"/>
      <c r="AB129" s="170"/>
      <c r="AC129" s="170"/>
      <c r="AD129" s="170"/>
      <c r="AE129" s="170"/>
      <c r="AF129" s="170"/>
      <c r="AG129" s="170"/>
      <c r="AH129" s="170"/>
      <c r="AI129" s="170"/>
      <c r="AJ129" s="170"/>
      <c r="AK129" s="170"/>
      <c r="AL129" s="170"/>
      <c r="AM129" s="170"/>
      <c r="AN129" s="170"/>
      <c r="AO129" s="170"/>
      <c r="AP129" s="170"/>
      <c r="AQ129" s="170"/>
      <c r="AR129" s="170"/>
      <c r="AS129" s="170"/>
      <c r="AT129" s="170"/>
      <c r="AU129" s="170"/>
      <c r="AV129" s="170"/>
      <c r="AW129" s="170"/>
      <c r="AX129" s="170"/>
      <c r="AY129" s="170"/>
      <c r="AZ129" s="170"/>
      <c r="BA129" s="170"/>
      <c r="BB129" s="170"/>
      <c r="BC129" s="170"/>
      <c r="BD129" s="170"/>
      <c r="BE129" s="170"/>
      <c r="BF129" s="170"/>
      <c r="BG129" s="170"/>
      <c r="BH129" s="170"/>
      <c r="BI129" s="170"/>
      <c r="BJ129" s="170"/>
      <c r="BK129" s="170"/>
      <c r="BL129" s="170"/>
      <c r="BM129" s="170"/>
      <c r="BN129" s="170"/>
      <c r="BO129" s="170"/>
      <c r="BP129" s="170"/>
      <c r="BQ129" s="170"/>
      <c r="BR129" s="170"/>
      <c r="BS129" s="170"/>
      <c r="BT129" s="170"/>
      <c r="BU129" s="170"/>
      <c r="BV129" s="170"/>
      <c r="BW129" s="170"/>
      <c r="BX129" s="170"/>
      <c r="BY129" s="170"/>
      <c r="BZ129" s="170"/>
      <c r="CA129" s="170"/>
      <c r="CB129" s="170"/>
      <c r="CC129" s="170"/>
      <c r="CD129" s="170"/>
      <c r="CE129" s="170"/>
      <c r="CF129" s="170"/>
    </row>
    <row r="130" spans="1:84" s="136" customFormat="1">
      <c r="A130" s="138"/>
      <c r="B130" s="138"/>
      <c r="C130" s="138"/>
      <c r="D130" s="138"/>
      <c r="E130" s="138"/>
      <c r="F130" s="138"/>
      <c r="G130" s="138"/>
      <c r="H130" s="138"/>
      <c r="I130" s="140"/>
      <c r="J130" s="138"/>
      <c r="K130" s="140"/>
      <c r="L130" s="140"/>
      <c r="M130" s="140"/>
      <c r="N130" s="140"/>
    </row>
    <row r="131" spans="1:84" s="136" customFormat="1">
      <c r="I131" s="144"/>
      <c r="K131" s="144"/>
      <c r="L131" s="144"/>
      <c r="M131" s="144"/>
      <c r="N131" s="144"/>
    </row>
    <row r="132" spans="1:84" s="136" customFormat="1">
      <c r="A132" s="1277"/>
      <c r="B132" s="1277"/>
      <c r="C132" s="1277"/>
      <c r="D132" s="1277"/>
      <c r="E132" s="1277"/>
      <c r="F132" s="1277"/>
      <c r="G132" s="1277"/>
      <c r="H132" s="1277"/>
      <c r="I132" s="1277"/>
      <c r="J132" s="1277"/>
      <c r="K132" s="1277"/>
      <c r="L132" s="144"/>
      <c r="N132" s="144"/>
    </row>
    <row r="133" spans="1:84" s="136" customFormat="1">
      <c r="I133" s="144"/>
      <c r="K133" s="144"/>
      <c r="L133" s="144"/>
      <c r="M133" s="144"/>
      <c r="N133" s="144"/>
    </row>
    <row r="134" spans="1:84" s="136" customFormat="1">
      <c r="A134" s="138"/>
      <c r="B134" s="138"/>
      <c r="C134" s="138"/>
      <c r="D134" s="138"/>
      <c r="E134" s="138"/>
      <c r="F134" s="138"/>
      <c r="G134" s="138"/>
      <c r="H134" s="138"/>
      <c r="I134" s="138"/>
      <c r="J134" s="285"/>
      <c r="K134" s="172"/>
      <c r="L134" s="172"/>
      <c r="M134" s="172"/>
      <c r="N134" s="172"/>
    </row>
    <row r="135" spans="1:84" s="136" customFormat="1">
      <c r="A135" s="138"/>
      <c r="B135" s="138"/>
      <c r="C135" s="138"/>
      <c r="D135" s="138"/>
      <c r="E135" s="138"/>
      <c r="F135" s="138"/>
      <c r="G135" s="138"/>
      <c r="H135" s="138"/>
      <c r="I135" s="138"/>
      <c r="J135" s="285"/>
      <c r="K135" s="172"/>
      <c r="L135" s="172"/>
      <c r="M135" s="172"/>
      <c r="N135" s="172"/>
    </row>
    <row r="136" spans="1:84" s="136" customFormat="1">
      <c r="I136" s="144"/>
      <c r="K136" s="144"/>
      <c r="L136" s="144"/>
      <c r="M136" s="144"/>
      <c r="N136" s="144"/>
    </row>
    <row r="137" spans="1:84" s="136" customFormat="1">
      <c r="I137" s="144"/>
      <c r="K137" s="144"/>
      <c r="L137" s="144"/>
      <c r="M137" s="144"/>
      <c r="N137" s="144"/>
    </row>
    <row r="138" spans="1:84" s="136" customFormat="1">
      <c r="I138" s="144"/>
      <c r="K138" s="144"/>
      <c r="L138" s="144"/>
      <c r="M138" s="144"/>
      <c r="N138" s="144"/>
    </row>
    <row r="139" spans="1:84" s="136" customFormat="1"/>
    <row r="140" spans="1:84" s="136" customFormat="1"/>
    <row r="141" spans="1:84" s="136" customFormat="1"/>
    <row r="142" spans="1:84" s="136" customFormat="1"/>
    <row r="143" spans="1:84" s="136" customFormat="1"/>
    <row r="144" spans="1:84" s="136" customFormat="1"/>
    <row r="145" s="136" customFormat="1"/>
    <row r="146" s="136" customFormat="1"/>
    <row r="147" s="136" customFormat="1"/>
    <row r="148" s="136" customFormat="1"/>
    <row r="149" s="136" customFormat="1"/>
    <row r="150" s="136" customFormat="1"/>
    <row r="151" s="136" customFormat="1"/>
    <row r="152" s="136" customFormat="1"/>
    <row r="153" s="136" customFormat="1"/>
    <row r="154" s="136" customFormat="1"/>
    <row r="155" s="136" customFormat="1"/>
    <row r="156" s="136" customFormat="1"/>
    <row r="157" s="136" customFormat="1"/>
    <row r="158" s="136" customFormat="1"/>
    <row r="159" s="136" customFormat="1"/>
    <row r="160" s="136" customFormat="1"/>
    <row r="161" spans="9:14" s="136" customFormat="1"/>
    <row r="162" spans="9:14" s="136" customFormat="1"/>
    <row r="163" spans="9:14" s="136" customFormat="1"/>
    <row r="164" spans="9:14" s="136" customFormat="1"/>
    <row r="165" spans="9:14" s="136" customFormat="1"/>
    <row r="166" spans="9:14" s="136" customFormat="1"/>
    <row r="167" spans="9:14" s="136" customFormat="1"/>
    <row r="168" spans="9:14" s="136" customFormat="1"/>
    <row r="169" spans="9:14" s="136" customFormat="1"/>
    <row r="170" spans="9:14" s="136" customFormat="1" ht="26.1" customHeight="1">
      <c r="I170" s="144"/>
      <c r="K170" s="144"/>
      <c r="L170" s="144"/>
      <c r="M170" s="144"/>
      <c r="N170" s="144"/>
    </row>
    <row r="171" spans="9:14" s="136" customFormat="1" ht="26.1" customHeight="1">
      <c r="I171" s="144"/>
      <c r="K171" s="144"/>
      <c r="L171" s="144"/>
      <c r="M171" s="144"/>
      <c r="N171" s="144"/>
    </row>
    <row r="172" spans="9:14" s="136" customFormat="1" ht="26.1" customHeight="1">
      <c r="I172" s="144"/>
      <c r="K172" s="144"/>
      <c r="L172" s="144"/>
      <c r="M172" s="144"/>
      <c r="N172" s="144"/>
    </row>
    <row r="173" spans="9:14" s="136" customFormat="1" ht="26.1" customHeight="1">
      <c r="I173" s="144"/>
      <c r="K173" s="144"/>
      <c r="L173" s="144"/>
      <c r="M173" s="144"/>
      <c r="N173" s="144"/>
    </row>
    <row r="174" spans="9:14" s="136" customFormat="1" ht="26.1" customHeight="1">
      <c r="I174" s="144"/>
      <c r="K174" s="144"/>
      <c r="L174" s="144"/>
      <c r="M174" s="144"/>
      <c r="N174" s="144"/>
    </row>
    <row r="175" spans="9:14" s="136" customFormat="1" ht="26.1" customHeight="1">
      <c r="I175" s="144"/>
      <c r="K175" s="144"/>
      <c r="L175" s="144"/>
      <c r="M175" s="144"/>
      <c r="N175" s="144"/>
    </row>
    <row r="176" spans="9:14" s="136" customFormat="1" ht="26.1" customHeight="1">
      <c r="I176" s="144"/>
      <c r="K176" s="144"/>
      <c r="L176" s="144"/>
      <c r="M176" s="144"/>
      <c r="N176" s="144"/>
    </row>
    <row r="177" spans="9:14" s="136" customFormat="1" ht="26.1" customHeight="1">
      <c r="I177" s="144"/>
      <c r="K177" s="144"/>
      <c r="L177" s="144"/>
      <c r="M177" s="144"/>
      <c r="N177" s="144"/>
    </row>
    <row r="178" spans="9:14" s="136" customFormat="1" ht="26.1" customHeight="1">
      <c r="I178" s="144"/>
      <c r="K178" s="144"/>
      <c r="L178" s="144"/>
      <c r="M178" s="144"/>
      <c r="N178" s="144"/>
    </row>
    <row r="179" spans="9:14" s="136" customFormat="1" ht="26.1" customHeight="1">
      <c r="I179" s="144"/>
      <c r="K179" s="144"/>
      <c r="L179" s="144"/>
      <c r="M179" s="144"/>
      <c r="N179" s="144"/>
    </row>
    <row r="180" spans="9:14" s="136" customFormat="1" ht="26.1" customHeight="1">
      <c r="I180" s="144"/>
      <c r="K180" s="144"/>
      <c r="L180" s="144"/>
      <c r="M180" s="144"/>
      <c r="N180" s="144"/>
    </row>
    <row r="181" spans="9:14" s="136" customFormat="1" ht="26.1" customHeight="1">
      <c r="I181" s="144"/>
      <c r="K181" s="144"/>
      <c r="L181" s="144"/>
      <c r="M181" s="144"/>
      <c r="N181" s="144"/>
    </row>
    <row r="182" spans="9:14" s="136" customFormat="1">
      <c r="I182" s="144"/>
      <c r="K182" s="144"/>
      <c r="L182" s="144"/>
      <c r="M182" s="144"/>
      <c r="N182" s="144"/>
    </row>
    <row r="183" spans="9:14" s="136" customFormat="1">
      <c r="I183" s="144"/>
      <c r="K183" s="144"/>
      <c r="L183" s="144"/>
      <c r="M183" s="144"/>
      <c r="N183" s="144"/>
    </row>
    <row r="184" spans="9:14" s="136" customFormat="1">
      <c r="I184" s="144"/>
      <c r="K184" s="144"/>
      <c r="L184" s="144"/>
      <c r="M184" s="144"/>
      <c r="N184" s="144"/>
    </row>
    <row r="185" spans="9:14" s="136" customFormat="1">
      <c r="I185" s="144"/>
      <c r="K185" s="144"/>
      <c r="L185" s="144"/>
      <c r="M185" s="144"/>
      <c r="N185" s="144"/>
    </row>
    <row r="186" spans="9:14" s="136" customFormat="1">
      <c r="I186" s="144"/>
      <c r="K186" s="144"/>
      <c r="L186" s="144"/>
      <c r="M186" s="144"/>
      <c r="N186" s="144"/>
    </row>
    <row r="187" spans="9:14" s="136" customFormat="1">
      <c r="I187" s="144"/>
      <c r="K187" s="144"/>
      <c r="L187" s="144"/>
      <c r="M187" s="144"/>
      <c r="N187" s="144"/>
    </row>
    <row r="188" spans="9:14" s="136" customFormat="1">
      <c r="I188" s="144"/>
      <c r="K188" s="144"/>
      <c r="L188" s="144"/>
      <c r="M188" s="144"/>
      <c r="N188" s="144"/>
    </row>
    <row r="189" spans="9:14" s="136" customFormat="1">
      <c r="I189" s="144"/>
      <c r="K189" s="144"/>
      <c r="L189" s="144"/>
      <c r="M189" s="144"/>
      <c r="N189" s="144"/>
    </row>
    <row r="190" spans="9:14" s="136" customFormat="1">
      <c r="I190" s="144"/>
      <c r="K190" s="144"/>
      <c r="L190" s="144"/>
      <c r="M190" s="144"/>
      <c r="N190" s="144"/>
    </row>
    <row r="191" spans="9:14" s="136" customFormat="1">
      <c r="I191" s="144"/>
      <c r="K191" s="144"/>
      <c r="L191" s="144"/>
      <c r="M191" s="144"/>
      <c r="N191" s="144"/>
    </row>
    <row r="192" spans="9:14" s="136" customFormat="1">
      <c r="I192" s="144"/>
      <c r="K192" s="144"/>
      <c r="L192" s="144"/>
      <c r="M192" s="144"/>
      <c r="N192" s="144"/>
    </row>
    <row r="193" spans="9:14" s="136" customFormat="1">
      <c r="I193" s="144"/>
      <c r="K193" s="144"/>
      <c r="L193" s="144"/>
      <c r="M193" s="144"/>
      <c r="N193" s="144"/>
    </row>
    <row r="194" spans="9:14" s="136" customFormat="1">
      <c r="I194" s="144"/>
      <c r="K194" s="144"/>
      <c r="L194" s="144"/>
      <c r="M194" s="144"/>
      <c r="N194" s="144"/>
    </row>
    <row r="195" spans="9:14" s="136" customFormat="1">
      <c r="I195" s="144"/>
      <c r="K195" s="144"/>
      <c r="L195" s="144"/>
      <c r="M195" s="144"/>
      <c r="N195" s="144"/>
    </row>
    <row r="196" spans="9:14" s="136" customFormat="1">
      <c r="I196" s="144"/>
      <c r="K196" s="144"/>
      <c r="L196" s="144"/>
      <c r="M196" s="144"/>
      <c r="N196" s="144"/>
    </row>
    <row r="197" spans="9:14" s="136" customFormat="1">
      <c r="I197" s="144"/>
      <c r="K197" s="144"/>
      <c r="L197" s="144"/>
      <c r="M197" s="144"/>
      <c r="N197" s="144"/>
    </row>
    <row r="198" spans="9:14" s="136" customFormat="1">
      <c r="I198" s="144"/>
      <c r="K198" s="144"/>
      <c r="L198" s="144"/>
      <c r="M198" s="144"/>
      <c r="N198" s="144"/>
    </row>
    <row r="199" spans="9:14" s="136" customFormat="1">
      <c r="I199" s="144"/>
      <c r="K199" s="144"/>
      <c r="L199" s="144"/>
      <c r="M199" s="144"/>
      <c r="N199" s="144"/>
    </row>
    <row r="200" spans="9:14" s="136" customFormat="1">
      <c r="I200" s="144"/>
      <c r="K200" s="144"/>
      <c r="L200" s="144"/>
      <c r="M200" s="144"/>
      <c r="N200" s="144"/>
    </row>
    <row r="201" spans="9:14" s="136" customFormat="1">
      <c r="I201" s="144"/>
      <c r="K201" s="144"/>
      <c r="L201" s="144"/>
      <c r="M201" s="144"/>
      <c r="N201" s="144"/>
    </row>
    <row r="202" spans="9:14" s="136" customFormat="1">
      <c r="I202" s="144"/>
      <c r="K202" s="144"/>
      <c r="L202" s="144"/>
      <c r="M202" s="144"/>
      <c r="N202" s="144"/>
    </row>
    <row r="203" spans="9:14" s="136" customFormat="1">
      <c r="I203" s="144"/>
      <c r="K203" s="144"/>
      <c r="L203" s="144"/>
      <c r="M203" s="144"/>
      <c r="N203" s="144"/>
    </row>
    <row r="204" spans="9:14" s="136" customFormat="1">
      <c r="I204" s="144"/>
      <c r="K204" s="144"/>
      <c r="L204" s="144"/>
      <c r="M204" s="144"/>
      <c r="N204" s="144"/>
    </row>
    <row r="205" spans="9:14" s="136" customFormat="1">
      <c r="I205" s="144"/>
      <c r="K205" s="144"/>
      <c r="L205" s="144"/>
      <c r="M205" s="144"/>
      <c r="N205" s="144"/>
    </row>
    <row r="206" spans="9:14" s="136" customFormat="1">
      <c r="I206" s="144"/>
      <c r="K206" s="144"/>
      <c r="L206" s="144"/>
      <c r="M206" s="144"/>
      <c r="N206" s="144"/>
    </row>
    <row r="207" spans="9:14" s="136" customFormat="1">
      <c r="I207" s="144"/>
      <c r="K207" s="144"/>
      <c r="L207" s="144"/>
      <c r="M207" s="144"/>
      <c r="N207" s="144"/>
    </row>
    <row r="208" spans="9:14" s="136" customFormat="1">
      <c r="I208" s="144"/>
      <c r="K208" s="144"/>
      <c r="L208" s="144"/>
      <c r="M208" s="144"/>
      <c r="N208" s="144"/>
    </row>
    <row r="209" spans="9:14" s="136" customFormat="1">
      <c r="I209" s="144"/>
      <c r="K209" s="144"/>
      <c r="L209" s="144"/>
      <c r="M209" s="144"/>
      <c r="N209" s="144"/>
    </row>
    <row r="210" spans="9:14" s="136" customFormat="1">
      <c r="I210" s="144"/>
      <c r="K210" s="144"/>
      <c r="L210" s="144"/>
      <c r="M210" s="144"/>
      <c r="N210" s="144"/>
    </row>
    <row r="211" spans="9:14" s="136" customFormat="1">
      <c r="I211" s="144"/>
      <c r="K211" s="144"/>
      <c r="L211" s="144"/>
      <c r="M211" s="144"/>
      <c r="N211" s="144"/>
    </row>
    <row r="212" spans="9:14" s="136" customFormat="1">
      <c r="I212" s="144"/>
      <c r="K212" s="144"/>
      <c r="L212" s="144"/>
      <c r="M212" s="144"/>
      <c r="N212" s="144"/>
    </row>
    <row r="213" spans="9:14" s="136" customFormat="1">
      <c r="I213" s="144"/>
      <c r="K213" s="144"/>
      <c r="L213" s="144"/>
      <c r="M213" s="144"/>
      <c r="N213" s="144"/>
    </row>
    <row r="214" spans="9:14" s="136" customFormat="1">
      <c r="I214" s="144"/>
      <c r="K214" s="144"/>
      <c r="L214" s="144"/>
      <c r="M214" s="144"/>
      <c r="N214" s="144"/>
    </row>
    <row r="215" spans="9:14" s="136" customFormat="1">
      <c r="I215" s="144"/>
      <c r="K215" s="144"/>
      <c r="L215" s="144"/>
      <c r="M215" s="144"/>
      <c r="N215" s="144"/>
    </row>
    <row r="216" spans="9:14" s="136" customFormat="1">
      <c r="I216" s="144"/>
      <c r="K216" s="144"/>
      <c r="L216" s="144"/>
      <c r="M216" s="144"/>
      <c r="N216" s="144"/>
    </row>
    <row r="217" spans="9:14" s="136" customFormat="1">
      <c r="I217" s="144"/>
      <c r="K217" s="144"/>
      <c r="L217" s="144"/>
      <c r="M217" s="144"/>
      <c r="N217" s="144"/>
    </row>
    <row r="218" spans="9:14" s="136" customFormat="1">
      <c r="I218" s="144"/>
      <c r="K218" s="144"/>
      <c r="L218" s="144"/>
      <c r="M218" s="144"/>
      <c r="N218" s="144"/>
    </row>
    <row r="219" spans="9:14" s="136" customFormat="1">
      <c r="I219" s="144"/>
      <c r="K219" s="144"/>
      <c r="L219" s="144"/>
      <c r="M219" s="144"/>
      <c r="N219" s="144"/>
    </row>
    <row r="220" spans="9:14" s="136" customFormat="1">
      <c r="I220" s="144"/>
      <c r="K220" s="144"/>
      <c r="L220" s="144"/>
      <c r="M220" s="144"/>
      <c r="N220" s="144"/>
    </row>
    <row r="221" spans="9:14" s="136" customFormat="1">
      <c r="I221" s="144"/>
      <c r="K221" s="144"/>
      <c r="L221" s="144"/>
      <c r="M221" s="144"/>
      <c r="N221" s="144"/>
    </row>
    <row r="222" spans="9:14" s="136" customFormat="1">
      <c r="I222" s="144"/>
      <c r="K222" s="144"/>
      <c r="L222" s="144"/>
      <c r="M222" s="144"/>
      <c r="N222" s="144"/>
    </row>
    <row r="223" spans="9:14" s="136" customFormat="1">
      <c r="I223" s="144"/>
      <c r="K223" s="144"/>
      <c r="L223" s="144"/>
      <c r="M223" s="144"/>
      <c r="N223" s="144"/>
    </row>
    <row r="224" spans="9:14" s="136" customFormat="1">
      <c r="I224" s="144"/>
      <c r="K224" s="144"/>
      <c r="L224" s="144"/>
      <c r="M224" s="144"/>
      <c r="N224" s="144"/>
    </row>
    <row r="225" spans="9:14" s="136" customFormat="1">
      <c r="I225" s="144"/>
      <c r="K225" s="144"/>
      <c r="L225" s="144"/>
      <c r="M225" s="144"/>
      <c r="N225" s="144"/>
    </row>
    <row r="226" spans="9:14" s="136" customFormat="1">
      <c r="I226" s="144"/>
      <c r="K226" s="144"/>
      <c r="L226" s="144"/>
      <c r="M226" s="144"/>
      <c r="N226" s="144"/>
    </row>
    <row r="227" spans="9:14" s="136" customFormat="1">
      <c r="I227" s="144"/>
      <c r="K227" s="144"/>
      <c r="L227" s="144"/>
      <c r="M227" s="144"/>
      <c r="N227" s="144"/>
    </row>
    <row r="228" spans="9:14" s="136" customFormat="1">
      <c r="I228" s="144"/>
      <c r="K228" s="144"/>
      <c r="L228" s="144"/>
      <c r="M228" s="144"/>
      <c r="N228" s="144"/>
    </row>
    <row r="229" spans="9:14" s="136" customFormat="1">
      <c r="I229" s="144"/>
      <c r="K229" s="144"/>
      <c r="L229" s="144"/>
      <c r="M229" s="144"/>
      <c r="N229" s="144"/>
    </row>
    <row r="230" spans="9:14" s="136" customFormat="1">
      <c r="I230" s="144"/>
      <c r="K230" s="144"/>
      <c r="L230" s="144"/>
      <c r="M230" s="144"/>
      <c r="N230" s="144"/>
    </row>
    <row r="231" spans="9:14" s="136" customFormat="1">
      <c r="I231" s="144"/>
      <c r="K231" s="144"/>
      <c r="L231" s="144"/>
      <c r="M231" s="144"/>
      <c r="N231" s="144"/>
    </row>
    <row r="232" spans="9:14" s="136" customFormat="1">
      <c r="I232" s="144"/>
      <c r="K232" s="144"/>
      <c r="L232" s="144"/>
      <c r="M232" s="144"/>
      <c r="N232" s="144"/>
    </row>
    <row r="233" spans="9:14" s="136" customFormat="1">
      <c r="I233" s="144"/>
      <c r="K233" s="144"/>
      <c r="L233" s="144"/>
      <c r="M233" s="144"/>
      <c r="N233" s="144"/>
    </row>
    <row r="234" spans="9:14" s="136" customFormat="1">
      <c r="I234" s="144"/>
      <c r="K234" s="144"/>
      <c r="L234" s="144"/>
      <c r="M234" s="144"/>
      <c r="N234" s="144"/>
    </row>
    <row r="235" spans="9:14" s="136" customFormat="1">
      <c r="I235" s="144"/>
      <c r="K235" s="144"/>
      <c r="L235" s="144"/>
      <c r="M235" s="144"/>
      <c r="N235" s="144"/>
    </row>
    <row r="236" spans="9:14" s="136" customFormat="1">
      <c r="I236" s="144"/>
      <c r="K236" s="144"/>
      <c r="L236" s="144"/>
      <c r="M236" s="144"/>
      <c r="N236" s="144"/>
    </row>
    <row r="237" spans="9:14" s="136" customFormat="1">
      <c r="I237" s="144"/>
      <c r="K237" s="144"/>
      <c r="L237" s="144"/>
      <c r="M237" s="144"/>
      <c r="N237" s="144"/>
    </row>
    <row r="238" spans="9:14" s="136" customFormat="1">
      <c r="I238" s="144"/>
      <c r="K238" s="144"/>
      <c r="L238" s="144"/>
      <c r="M238" s="144"/>
      <c r="N238" s="144"/>
    </row>
    <row r="239" spans="9:14" s="136" customFormat="1">
      <c r="I239" s="144"/>
      <c r="K239" s="144"/>
      <c r="L239" s="144"/>
      <c r="M239" s="144"/>
      <c r="N239" s="144"/>
    </row>
    <row r="240" spans="9:14" s="136" customFormat="1">
      <c r="I240" s="144"/>
      <c r="K240" s="144"/>
      <c r="L240" s="144"/>
      <c r="M240" s="144"/>
      <c r="N240" s="144"/>
    </row>
    <row r="241" spans="9:14" s="136" customFormat="1">
      <c r="I241" s="144"/>
      <c r="K241" s="144"/>
      <c r="L241" s="144"/>
      <c r="M241" s="144"/>
      <c r="N241" s="144"/>
    </row>
    <row r="242" spans="9:14" s="136" customFormat="1">
      <c r="I242" s="144"/>
      <c r="K242" s="144"/>
      <c r="L242" s="144"/>
      <c r="M242" s="144"/>
      <c r="N242" s="144"/>
    </row>
    <row r="243" spans="9:14" s="136" customFormat="1">
      <c r="I243" s="144"/>
      <c r="K243" s="144"/>
      <c r="L243" s="144"/>
      <c r="M243" s="144"/>
      <c r="N243" s="144"/>
    </row>
    <row r="244" spans="9:14" s="136" customFormat="1">
      <c r="I244" s="144"/>
      <c r="K244" s="144"/>
      <c r="L244" s="144"/>
      <c r="M244" s="144"/>
      <c r="N244" s="144"/>
    </row>
    <row r="245" spans="9:14" s="136" customFormat="1">
      <c r="I245" s="144"/>
      <c r="K245" s="144"/>
      <c r="L245" s="144"/>
      <c r="M245" s="144"/>
      <c r="N245" s="144"/>
    </row>
    <row r="246" spans="9:14" s="136" customFormat="1">
      <c r="I246" s="144"/>
      <c r="K246" s="144"/>
      <c r="L246" s="144"/>
      <c r="M246" s="144"/>
      <c r="N246" s="144"/>
    </row>
    <row r="247" spans="9:14" s="136" customFormat="1">
      <c r="I247" s="144"/>
      <c r="K247" s="144"/>
      <c r="L247" s="144"/>
      <c r="M247" s="144"/>
      <c r="N247" s="144"/>
    </row>
    <row r="248" spans="9:14" s="136" customFormat="1">
      <c r="I248" s="144"/>
      <c r="K248" s="144"/>
      <c r="L248" s="144"/>
      <c r="M248" s="144"/>
      <c r="N248" s="144"/>
    </row>
    <row r="249" spans="9:14" s="136" customFormat="1">
      <c r="I249" s="144"/>
      <c r="K249" s="144"/>
      <c r="L249" s="144"/>
      <c r="M249" s="144"/>
      <c r="N249" s="144"/>
    </row>
    <row r="250" spans="9:14" s="136" customFormat="1">
      <c r="I250" s="144"/>
      <c r="K250" s="144"/>
      <c r="L250" s="144"/>
      <c r="M250" s="144"/>
      <c r="N250" s="144"/>
    </row>
    <row r="251" spans="9:14" s="136" customFormat="1">
      <c r="I251" s="144"/>
      <c r="K251" s="144"/>
      <c r="L251" s="144"/>
      <c r="M251" s="144"/>
      <c r="N251" s="144"/>
    </row>
    <row r="252" spans="9:14" s="136" customFormat="1">
      <c r="I252" s="144"/>
      <c r="K252" s="144"/>
      <c r="L252" s="144"/>
      <c r="M252" s="144"/>
      <c r="N252" s="144"/>
    </row>
    <row r="253" spans="9:14" s="136" customFormat="1">
      <c r="I253" s="144"/>
      <c r="K253" s="144"/>
      <c r="L253" s="144"/>
      <c r="M253" s="144"/>
      <c r="N253" s="144"/>
    </row>
    <row r="254" spans="9:14" s="136" customFormat="1">
      <c r="I254" s="144"/>
      <c r="K254" s="144"/>
      <c r="L254" s="144"/>
      <c r="M254" s="144"/>
      <c r="N254" s="144"/>
    </row>
    <row r="255" spans="9:14" s="136" customFormat="1">
      <c r="I255" s="144"/>
      <c r="K255" s="144"/>
      <c r="L255" s="144"/>
      <c r="M255" s="144"/>
      <c r="N255" s="144"/>
    </row>
    <row r="256" spans="9:14" s="136" customFormat="1">
      <c r="I256" s="144"/>
      <c r="K256" s="144"/>
      <c r="L256" s="144"/>
      <c r="M256" s="144"/>
      <c r="N256" s="144"/>
    </row>
    <row r="257" spans="9:14" s="136" customFormat="1">
      <c r="I257" s="144"/>
      <c r="K257" s="144"/>
      <c r="L257" s="144"/>
      <c r="M257" s="144"/>
      <c r="N257" s="144"/>
    </row>
    <row r="258" spans="9:14" s="136" customFormat="1">
      <c r="I258" s="144"/>
      <c r="K258" s="144"/>
      <c r="L258" s="144"/>
      <c r="M258" s="144"/>
      <c r="N258" s="144"/>
    </row>
    <row r="259" spans="9:14" s="136" customFormat="1">
      <c r="I259" s="144"/>
      <c r="K259" s="144"/>
      <c r="L259" s="144"/>
      <c r="M259" s="144"/>
      <c r="N259" s="144"/>
    </row>
    <row r="260" spans="9:14" s="136" customFormat="1">
      <c r="I260" s="144"/>
      <c r="K260" s="144"/>
      <c r="L260" s="144"/>
      <c r="M260" s="144"/>
      <c r="N260" s="144"/>
    </row>
    <row r="261" spans="9:14" s="136" customFormat="1">
      <c r="I261" s="144"/>
      <c r="K261" s="144"/>
      <c r="L261" s="144"/>
      <c r="M261" s="144"/>
      <c r="N261" s="144"/>
    </row>
    <row r="262" spans="9:14" s="136" customFormat="1">
      <c r="I262" s="144"/>
      <c r="K262" s="144"/>
      <c r="L262" s="144"/>
      <c r="M262" s="144"/>
      <c r="N262" s="144"/>
    </row>
    <row r="263" spans="9:14" s="136" customFormat="1">
      <c r="I263" s="144"/>
      <c r="K263" s="144"/>
      <c r="L263" s="144"/>
      <c r="M263" s="144"/>
      <c r="N263" s="144"/>
    </row>
    <row r="264" spans="9:14" s="136" customFormat="1">
      <c r="I264" s="144"/>
      <c r="K264" s="144"/>
      <c r="L264" s="144"/>
      <c r="M264" s="144"/>
      <c r="N264" s="144"/>
    </row>
    <row r="265" spans="9:14" s="136" customFormat="1">
      <c r="I265" s="144"/>
      <c r="K265" s="144"/>
      <c r="L265" s="144"/>
      <c r="M265" s="144"/>
      <c r="N265" s="144"/>
    </row>
    <row r="266" spans="9:14" s="136" customFormat="1">
      <c r="I266" s="144"/>
      <c r="K266" s="144"/>
      <c r="L266" s="144"/>
      <c r="M266" s="144"/>
      <c r="N266" s="144"/>
    </row>
    <row r="267" spans="9:14" s="136" customFormat="1">
      <c r="I267" s="144"/>
      <c r="K267" s="144"/>
      <c r="L267" s="144"/>
      <c r="M267" s="144"/>
      <c r="N267" s="144"/>
    </row>
    <row r="268" spans="9:14" s="136" customFormat="1">
      <c r="I268" s="144"/>
      <c r="K268" s="144"/>
      <c r="L268" s="144"/>
      <c r="M268" s="144"/>
      <c r="N268" s="144"/>
    </row>
    <row r="269" spans="9:14" s="136" customFormat="1">
      <c r="I269" s="144"/>
      <c r="K269" s="144"/>
      <c r="L269" s="144"/>
      <c r="M269" s="144"/>
      <c r="N269" s="144"/>
    </row>
    <row r="270" spans="9:14" s="136" customFormat="1">
      <c r="I270" s="144"/>
      <c r="K270" s="144"/>
      <c r="L270" s="144"/>
      <c r="M270" s="144"/>
      <c r="N270" s="144"/>
    </row>
    <row r="271" spans="9:14" s="136" customFormat="1">
      <c r="I271" s="144"/>
      <c r="K271" s="144"/>
      <c r="L271" s="144"/>
      <c r="M271" s="144"/>
      <c r="N271" s="144"/>
    </row>
    <row r="272" spans="9:14" s="136" customFormat="1">
      <c r="I272" s="144"/>
      <c r="K272" s="144"/>
      <c r="L272" s="144"/>
      <c r="M272" s="144"/>
      <c r="N272" s="144"/>
    </row>
    <row r="273" spans="9:14" s="136" customFormat="1">
      <c r="I273" s="144"/>
      <c r="K273" s="144"/>
      <c r="L273" s="144"/>
      <c r="M273" s="144"/>
      <c r="N273" s="144"/>
    </row>
    <row r="274" spans="9:14" s="136" customFormat="1">
      <c r="I274" s="144"/>
      <c r="K274" s="144"/>
      <c r="L274" s="144"/>
      <c r="M274" s="144"/>
      <c r="N274" s="144"/>
    </row>
    <row r="275" spans="9:14" s="136" customFormat="1">
      <c r="I275" s="144"/>
      <c r="K275" s="144"/>
      <c r="L275" s="144"/>
      <c r="M275" s="144"/>
      <c r="N275" s="144"/>
    </row>
    <row r="276" spans="9:14" s="136" customFormat="1">
      <c r="I276" s="144"/>
      <c r="K276" s="144"/>
      <c r="L276" s="144"/>
      <c r="M276" s="144"/>
      <c r="N276" s="144"/>
    </row>
    <row r="277" spans="9:14" s="136" customFormat="1">
      <c r="I277" s="144"/>
      <c r="K277" s="144"/>
      <c r="L277" s="144"/>
      <c r="M277" s="144"/>
      <c r="N277" s="144"/>
    </row>
    <row r="278" spans="9:14" s="136" customFormat="1">
      <c r="I278" s="144"/>
      <c r="K278" s="144"/>
      <c r="L278" s="144"/>
      <c r="M278" s="144"/>
      <c r="N278" s="144"/>
    </row>
    <row r="279" spans="9:14" s="136" customFormat="1">
      <c r="I279" s="144"/>
      <c r="K279" s="144"/>
      <c r="L279" s="144"/>
      <c r="M279" s="144"/>
      <c r="N279" s="144"/>
    </row>
    <row r="280" spans="9:14" s="136" customFormat="1">
      <c r="I280" s="144"/>
      <c r="K280" s="144"/>
      <c r="L280" s="144"/>
      <c r="M280" s="144"/>
      <c r="N280" s="144"/>
    </row>
    <row r="281" spans="9:14" s="136" customFormat="1">
      <c r="I281" s="144"/>
      <c r="K281" s="144"/>
      <c r="L281" s="144"/>
      <c r="M281" s="144"/>
      <c r="N281" s="144"/>
    </row>
    <row r="282" spans="9:14" s="136" customFormat="1">
      <c r="I282" s="144"/>
      <c r="K282" s="144"/>
      <c r="L282" s="144"/>
      <c r="M282" s="144"/>
      <c r="N282" s="144"/>
    </row>
    <row r="283" spans="9:14" s="136" customFormat="1">
      <c r="I283" s="144"/>
      <c r="K283" s="144"/>
      <c r="L283" s="144"/>
      <c r="M283" s="144"/>
      <c r="N283" s="144"/>
    </row>
    <row r="284" spans="9:14" s="136" customFormat="1">
      <c r="I284" s="144"/>
      <c r="K284" s="144"/>
      <c r="L284" s="144"/>
      <c r="M284" s="144"/>
      <c r="N284" s="144"/>
    </row>
    <row r="285" spans="9:14" s="136" customFormat="1">
      <c r="I285" s="144"/>
      <c r="K285" s="144"/>
      <c r="L285" s="144"/>
      <c r="M285" s="144"/>
      <c r="N285" s="144"/>
    </row>
    <row r="286" spans="9:14" s="136" customFormat="1">
      <c r="I286" s="144"/>
      <c r="K286" s="144"/>
      <c r="L286" s="144"/>
      <c r="M286" s="144"/>
      <c r="N286" s="144"/>
    </row>
    <row r="287" spans="9:14" s="136" customFormat="1">
      <c r="I287" s="144"/>
      <c r="K287" s="144"/>
      <c r="L287" s="144"/>
      <c r="M287" s="144"/>
      <c r="N287" s="144"/>
    </row>
    <row r="288" spans="9:14" s="136" customFormat="1">
      <c r="I288" s="144"/>
      <c r="K288" s="144"/>
      <c r="L288" s="144"/>
      <c r="M288" s="144"/>
      <c r="N288" s="144"/>
    </row>
    <row r="289" spans="9:14" s="136" customFormat="1">
      <c r="I289" s="144"/>
      <c r="K289" s="144"/>
      <c r="L289" s="144"/>
      <c r="M289" s="144"/>
      <c r="N289" s="144"/>
    </row>
    <row r="290" spans="9:14" s="136" customFormat="1">
      <c r="I290" s="144"/>
      <c r="K290" s="144"/>
      <c r="L290" s="144"/>
      <c r="M290" s="144"/>
      <c r="N290" s="144"/>
    </row>
    <row r="291" spans="9:14" s="136" customFormat="1">
      <c r="I291" s="144"/>
      <c r="K291" s="144"/>
      <c r="L291" s="144"/>
      <c r="M291" s="144"/>
      <c r="N291" s="144"/>
    </row>
    <row r="292" spans="9:14" s="136" customFormat="1">
      <c r="I292" s="144"/>
      <c r="K292" s="144"/>
      <c r="L292" s="144"/>
      <c r="M292" s="144"/>
      <c r="N292" s="144"/>
    </row>
    <row r="293" spans="9:14" s="136" customFormat="1">
      <c r="I293" s="144"/>
      <c r="K293" s="144"/>
      <c r="L293" s="144"/>
      <c r="M293" s="144"/>
      <c r="N293" s="144"/>
    </row>
    <row r="294" spans="9:14" s="136" customFormat="1">
      <c r="I294" s="144"/>
      <c r="K294" s="144"/>
      <c r="L294" s="144"/>
      <c r="M294" s="144"/>
      <c r="N294" s="144"/>
    </row>
    <row r="295" spans="9:14" s="136" customFormat="1">
      <c r="I295" s="144"/>
      <c r="K295" s="144"/>
      <c r="L295" s="144"/>
      <c r="M295" s="144"/>
      <c r="N295" s="144"/>
    </row>
    <row r="296" spans="9:14" s="136" customFormat="1">
      <c r="I296" s="144"/>
      <c r="K296" s="144"/>
      <c r="L296" s="144"/>
      <c r="M296" s="144"/>
      <c r="N296" s="144"/>
    </row>
    <row r="297" spans="9:14" s="136" customFormat="1">
      <c r="I297" s="144"/>
      <c r="K297" s="144"/>
      <c r="L297" s="144"/>
      <c r="M297" s="144"/>
      <c r="N297" s="144"/>
    </row>
    <row r="298" spans="9:14" s="136" customFormat="1">
      <c r="I298" s="144"/>
      <c r="K298" s="144"/>
      <c r="L298" s="144"/>
      <c r="M298" s="144"/>
      <c r="N298" s="144"/>
    </row>
    <row r="299" spans="9:14" s="136" customFormat="1">
      <c r="I299" s="144"/>
      <c r="K299" s="144"/>
      <c r="L299" s="144"/>
      <c r="M299" s="144"/>
      <c r="N299" s="144"/>
    </row>
    <row r="300" spans="9:14" s="136" customFormat="1">
      <c r="I300" s="144"/>
      <c r="K300" s="144"/>
      <c r="L300" s="144"/>
      <c r="M300" s="144"/>
      <c r="N300" s="144"/>
    </row>
    <row r="301" spans="9:14" s="136" customFormat="1">
      <c r="I301" s="144"/>
      <c r="K301" s="144"/>
      <c r="L301" s="144"/>
      <c r="M301" s="144"/>
      <c r="N301" s="144"/>
    </row>
    <row r="302" spans="9:14" s="136" customFormat="1">
      <c r="I302" s="144"/>
      <c r="K302" s="144"/>
      <c r="L302" s="144"/>
      <c r="M302" s="144"/>
      <c r="N302" s="144"/>
    </row>
    <row r="303" spans="9:14" s="136" customFormat="1">
      <c r="I303" s="144"/>
      <c r="K303" s="144"/>
      <c r="L303" s="144"/>
      <c r="M303" s="144"/>
      <c r="N303" s="144"/>
    </row>
    <row r="304" spans="9:14" s="136" customFormat="1">
      <c r="I304" s="144"/>
      <c r="K304" s="144"/>
      <c r="L304" s="144"/>
      <c r="M304" s="144"/>
      <c r="N304" s="144"/>
    </row>
    <row r="305" spans="9:14" s="136" customFormat="1">
      <c r="I305" s="144"/>
      <c r="K305" s="144"/>
      <c r="L305" s="144"/>
      <c r="M305" s="144"/>
      <c r="N305" s="144"/>
    </row>
    <row r="306" spans="9:14" s="136" customFormat="1">
      <c r="I306" s="144"/>
      <c r="K306" s="144"/>
      <c r="L306" s="144"/>
      <c r="M306" s="144"/>
      <c r="N306" s="144"/>
    </row>
    <row r="307" spans="9:14" s="136" customFormat="1">
      <c r="I307" s="144"/>
      <c r="K307" s="144"/>
      <c r="L307" s="144"/>
      <c r="M307" s="144"/>
      <c r="N307" s="144"/>
    </row>
    <row r="308" spans="9:14" s="136" customFormat="1">
      <c r="I308" s="144"/>
      <c r="K308" s="144"/>
      <c r="L308" s="144"/>
      <c r="M308" s="144"/>
      <c r="N308" s="144"/>
    </row>
    <row r="309" spans="9:14" s="136" customFormat="1">
      <c r="I309" s="144"/>
      <c r="K309" s="144"/>
      <c r="L309" s="144"/>
      <c r="M309" s="144"/>
      <c r="N309" s="144"/>
    </row>
    <row r="310" spans="9:14" s="136" customFormat="1">
      <c r="I310" s="144"/>
      <c r="K310" s="144"/>
      <c r="L310" s="144"/>
      <c r="M310" s="144"/>
      <c r="N310" s="144"/>
    </row>
    <row r="311" spans="9:14" s="136" customFormat="1">
      <c r="I311" s="144"/>
      <c r="K311" s="144"/>
      <c r="L311" s="144"/>
      <c r="M311" s="144"/>
      <c r="N311" s="144"/>
    </row>
    <row r="312" spans="9:14" s="136" customFormat="1">
      <c r="I312" s="144"/>
      <c r="K312" s="144"/>
      <c r="L312" s="144"/>
      <c r="M312" s="144"/>
      <c r="N312" s="144"/>
    </row>
    <row r="313" spans="9:14" s="136" customFormat="1">
      <c r="I313" s="144"/>
      <c r="K313" s="144"/>
      <c r="L313" s="144"/>
      <c r="M313" s="144"/>
      <c r="N313" s="144"/>
    </row>
    <row r="314" spans="9:14" s="136" customFormat="1">
      <c r="I314" s="144"/>
      <c r="K314" s="144"/>
      <c r="L314" s="144"/>
      <c r="M314" s="144"/>
      <c r="N314" s="144"/>
    </row>
    <row r="315" spans="9:14" s="136" customFormat="1">
      <c r="I315" s="144"/>
      <c r="K315" s="144"/>
      <c r="L315" s="144"/>
      <c r="M315" s="144"/>
      <c r="N315" s="144"/>
    </row>
    <row r="316" spans="9:14" s="136" customFormat="1">
      <c r="I316" s="144"/>
      <c r="K316" s="144"/>
      <c r="L316" s="144"/>
      <c r="M316" s="144"/>
      <c r="N316" s="144"/>
    </row>
    <row r="317" spans="9:14" s="136" customFormat="1">
      <c r="I317" s="144"/>
      <c r="K317" s="144"/>
      <c r="L317" s="144"/>
      <c r="M317" s="144"/>
      <c r="N317" s="144"/>
    </row>
    <row r="318" spans="9:14" s="136" customFormat="1">
      <c r="I318" s="144"/>
      <c r="K318" s="144"/>
      <c r="L318" s="144"/>
      <c r="M318" s="144"/>
      <c r="N318" s="144"/>
    </row>
    <row r="319" spans="9:14" s="136" customFormat="1">
      <c r="I319" s="144"/>
      <c r="K319" s="144"/>
      <c r="L319" s="144"/>
      <c r="M319" s="144"/>
      <c r="N319" s="144"/>
    </row>
    <row r="320" spans="9:14" s="136" customFormat="1">
      <c r="I320" s="144"/>
      <c r="K320" s="144"/>
      <c r="L320" s="144"/>
      <c r="M320" s="144"/>
      <c r="N320" s="144"/>
    </row>
    <row r="321" spans="9:14" s="136" customFormat="1">
      <c r="I321" s="144"/>
      <c r="K321" s="144"/>
      <c r="L321" s="144"/>
      <c r="M321" s="144"/>
      <c r="N321" s="144"/>
    </row>
    <row r="322" spans="9:14" s="136" customFormat="1">
      <c r="I322" s="144"/>
      <c r="K322" s="144"/>
      <c r="L322" s="144"/>
      <c r="M322" s="144"/>
      <c r="N322" s="144"/>
    </row>
    <row r="323" spans="9:14" s="136" customFormat="1">
      <c r="I323" s="144"/>
      <c r="K323" s="144"/>
      <c r="L323" s="144"/>
      <c r="M323" s="144"/>
      <c r="N323" s="144"/>
    </row>
    <row r="324" spans="9:14" s="136" customFormat="1">
      <c r="I324" s="144"/>
      <c r="K324" s="144"/>
      <c r="L324" s="144"/>
      <c r="M324" s="144"/>
      <c r="N324" s="144"/>
    </row>
    <row r="325" spans="9:14" s="136" customFormat="1">
      <c r="I325" s="144"/>
      <c r="K325" s="144"/>
      <c r="L325" s="144"/>
      <c r="M325" s="144"/>
      <c r="N325" s="144"/>
    </row>
    <row r="326" spans="9:14" s="136" customFormat="1">
      <c r="I326" s="144"/>
      <c r="K326" s="144"/>
      <c r="L326" s="144"/>
      <c r="M326" s="144"/>
      <c r="N326" s="144"/>
    </row>
    <row r="327" spans="9:14" s="136" customFormat="1">
      <c r="I327" s="144"/>
      <c r="K327" s="144"/>
      <c r="L327" s="144"/>
      <c r="M327" s="144"/>
      <c r="N327" s="144"/>
    </row>
    <row r="328" spans="9:14" s="136" customFormat="1">
      <c r="I328" s="144"/>
      <c r="K328" s="144"/>
      <c r="L328" s="144"/>
      <c r="M328" s="144"/>
      <c r="N328" s="144"/>
    </row>
    <row r="329" spans="9:14" s="136" customFormat="1">
      <c r="I329" s="144"/>
      <c r="K329" s="144"/>
      <c r="L329" s="144"/>
      <c r="M329" s="144"/>
      <c r="N329" s="144"/>
    </row>
    <row r="330" spans="9:14" s="136" customFormat="1">
      <c r="I330" s="144"/>
      <c r="K330" s="144"/>
      <c r="L330" s="144"/>
      <c r="M330" s="144"/>
      <c r="N330" s="144"/>
    </row>
    <row r="331" spans="9:14" s="136" customFormat="1">
      <c r="I331" s="144"/>
      <c r="K331" s="144"/>
      <c r="L331" s="144"/>
      <c r="M331" s="144"/>
      <c r="N331" s="144"/>
    </row>
    <row r="332" spans="9:14" s="136" customFormat="1">
      <c r="I332" s="144"/>
      <c r="K332" s="144"/>
      <c r="L332" s="144"/>
      <c r="M332" s="144"/>
      <c r="N332" s="144"/>
    </row>
    <row r="333" spans="9:14" s="136" customFormat="1">
      <c r="I333" s="144"/>
      <c r="K333" s="144"/>
      <c r="L333" s="144"/>
      <c r="M333" s="144"/>
      <c r="N333" s="144"/>
    </row>
    <row r="334" spans="9:14" s="136" customFormat="1">
      <c r="I334" s="144"/>
      <c r="K334" s="144"/>
      <c r="L334" s="144"/>
      <c r="M334" s="144"/>
      <c r="N334" s="144"/>
    </row>
    <row r="335" spans="9:14" s="136" customFormat="1">
      <c r="I335" s="144"/>
      <c r="K335" s="144"/>
      <c r="L335" s="144"/>
      <c r="M335" s="144"/>
      <c r="N335" s="144"/>
    </row>
    <row r="336" spans="9:14" s="136" customFormat="1">
      <c r="I336" s="144"/>
      <c r="K336" s="144"/>
      <c r="L336" s="144"/>
      <c r="M336" s="144"/>
      <c r="N336" s="144"/>
    </row>
    <row r="337" spans="9:14" s="136" customFormat="1">
      <c r="I337" s="144"/>
      <c r="K337" s="144"/>
      <c r="L337" s="144"/>
      <c r="M337" s="144"/>
      <c r="N337" s="144"/>
    </row>
    <row r="338" spans="9:14" s="136" customFormat="1">
      <c r="I338" s="144"/>
      <c r="K338" s="144"/>
      <c r="L338" s="144"/>
      <c r="M338" s="144"/>
      <c r="N338" s="144"/>
    </row>
    <row r="339" spans="9:14" s="136" customFormat="1">
      <c r="I339" s="144"/>
      <c r="K339" s="144"/>
      <c r="L339" s="144"/>
      <c r="M339" s="144"/>
      <c r="N339" s="144"/>
    </row>
    <row r="340" spans="9:14" s="136" customFormat="1">
      <c r="I340" s="144"/>
      <c r="K340" s="144"/>
      <c r="L340" s="144"/>
      <c r="M340" s="144"/>
      <c r="N340" s="144"/>
    </row>
    <row r="341" spans="9:14" s="136" customFormat="1">
      <c r="I341" s="144"/>
      <c r="K341" s="144"/>
      <c r="L341" s="144"/>
      <c r="M341" s="144"/>
      <c r="N341" s="144"/>
    </row>
    <row r="342" spans="9:14" s="136" customFormat="1">
      <c r="I342" s="144"/>
      <c r="K342" s="144"/>
      <c r="L342" s="144"/>
      <c r="M342" s="144"/>
      <c r="N342" s="144"/>
    </row>
    <row r="343" spans="9:14" s="136" customFormat="1">
      <c r="I343" s="144"/>
      <c r="K343" s="144"/>
      <c r="L343" s="144"/>
      <c r="M343" s="144"/>
      <c r="N343" s="144"/>
    </row>
    <row r="344" spans="9:14" s="136" customFormat="1">
      <c r="I344" s="144"/>
      <c r="K344" s="144"/>
      <c r="L344" s="144"/>
      <c r="M344" s="144"/>
      <c r="N344" s="144"/>
    </row>
    <row r="345" spans="9:14" s="136" customFormat="1">
      <c r="I345" s="144"/>
      <c r="K345" s="144"/>
      <c r="L345" s="144"/>
      <c r="M345" s="144"/>
      <c r="N345" s="144"/>
    </row>
    <row r="346" spans="9:14" s="136" customFormat="1">
      <c r="I346" s="144"/>
      <c r="K346" s="144"/>
      <c r="L346" s="144"/>
      <c r="M346" s="144"/>
      <c r="N346" s="144"/>
    </row>
    <row r="347" spans="9:14" s="136" customFormat="1">
      <c r="I347" s="144"/>
      <c r="K347" s="144"/>
      <c r="L347" s="144"/>
      <c r="M347" s="144"/>
      <c r="N347" s="144"/>
    </row>
    <row r="348" spans="9:14" s="136" customFormat="1">
      <c r="I348" s="144"/>
      <c r="K348" s="144"/>
      <c r="L348" s="144"/>
      <c r="M348" s="144"/>
      <c r="N348" s="144"/>
    </row>
    <row r="349" spans="9:14" s="136" customFormat="1">
      <c r="I349" s="144"/>
      <c r="K349" s="144"/>
      <c r="L349" s="144"/>
      <c r="M349" s="144"/>
      <c r="N349" s="144"/>
    </row>
    <row r="350" spans="9:14" s="136" customFormat="1">
      <c r="I350" s="144"/>
      <c r="K350" s="144"/>
      <c r="L350" s="144"/>
      <c r="M350" s="144"/>
      <c r="N350" s="144"/>
    </row>
    <row r="351" spans="9:14" s="136" customFormat="1">
      <c r="I351" s="144"/>
      <c r="K351" s="144"/>
      <c r="L351" s="144"/>
      <c r="M351" s="144"/>
      <c r="N351" s="144"/>
    </row>
    <row r="352" spans="9:14" s="136" customFormat="1">
      <c r="I352" s="144"/>
      <c r="K352" s="144"/>
      <c r="L352" s="144"/>
      <c r="M352" s="144"/>
      <c r="N352" s="144"/>
    </row>
    <row r="353" spans="9:14" s="136" customFormat="1">
      <c r="I353" s="144"/>
      <c r="K353" s="144"/>
      <c r="L353" s="144"/>
      <c r="M353" s="144"/>
      <c r="N353" s="144"/>
    </row>
    <row r="354" spans="9:14" s="136" customFormat="1">
      <c r="I354" s="144"/>
      <c r="K354" s="144"/>
      <c r="L354" s="144"/>
      <c r="M354" s="144"/>
      <c r="N354" s="144"/>
    </row>
    <row r="355" spans="9:14" s="136" customFormat="1">
      <c r="I355" s="144"/>
      <c r="K355" s="144"/>
      <c r="L355" s="144"/>
      <c r="M355" s="144"/>
      <c r="N355" s="144"/>
    </row>
    <row r="356" spans="9:14" s="136" customFormat="1">
      <c r="I356" s="144"/>
      <c r="K356" s="144"/>
      <c r="L356" s="144"/>
      <c r="M356" s="144"/>
      <c r="N356" s="144"/>
    </row>
    <row r="357" spans="9:14" s="136" customFormat="1">
      <c r="I357" s="144"/>
      <c r="K357" s="144"/>
      <c r="L357" s="144"/>
      <c r="M357" s="144"/>
      <c r="N357" s="144"/>
    </row>
    <row r="358" spans="9:14" s="136" customFormat="1">
      <c r="I358" s="144"/>
      <c r="K358" s="144"/>
      <c r="L358" s="144"/>
      <c r="M358" s="144"/>
      <c r="N358" s="144"/>
    </row>
    <row r="359" spans="9:14" s="136" customFormat="1">
      <c r="I359" s="144"/>
      <c r="K359" s="144"/>
      <c r="L359" s="144"/>
      <c r="M359" s="144"/>
      <c r="N359" s="144"/>
    </row>
    <row r="360" spans="9:14" s="136" customFormat="1">
      <c r="I360" s="144"/>
      <c r="K360" s="144"/>
      <c r="L360" s="144"/>
      <c r="M360" s="144"/>
      <c r="N360" s="144"/>
    </row>
    <row r="361" spans="9:14" s="136" customFormat="1">
      <c r="I361" s="144"/>
      <c r="K361" s="144"/>
      <c r="L361" s="144"/>
      <c r="M361" s="144"/>
      <c r="N361" s="144"/>
    </row>
    <row r="362" spans="9:14" s="136" customFormat="1">
      <c r="I362" s="144"/>
      <c r="K362" s="144"/>
      <c r="L362" s="144"/>
      <c r="M362" s="144"/>
      <c r="N362" s="144"/>
    </row>
    <row r="363" spans="9:14" s="136" customFormat="1">
      <c r="I363" s="144"/>
      <c r="K363" s="144"/>
      <c r="L363" s="144"/>
      <c r="M363" s="144"/>
      <c r="N363" s="144"/>
    </row>
    <row r="364" spans="9:14" s="136" customFormat="1">
      <c r="I364" s="144"/>
      <c r="K364" s="144"/>
      <c r="L364" s="144"/>
      <c r="M364" s="144"/>
      <c r="N364" s="144"/>
    </row>
    <row r="365" spans="9:14" s="136" customFormat="1">
      <c r="I365" s="144"/>
      <c r="K365" s="144"/>
      <c r="L365" s="144"/>
      <c r="M365" s="144"/>
      <c r="N365" s="144"/>
    </row>
    <row r="366" spans="9:14" s="136" customFormat="1">
      <c r="I366" s="144"/>
      <c r="K366" s="144"/>
      <c r="L366" s="144"/>
      <c r="M366" s="144"/>
      <c r="N366" s="144"/>
    </row>
    <row r="367" spans="9:14" s="136" customFormat="1">
      <c r="I367" s="144"/>
      <c r="K367" s="144"/>
      <c r="L367" s="144"/>
      <c r="M367" s="144"/>
      <c r="N367" s="144"/>
    </row>
    <row r="368" spans="9:14" s="136" customFormat="1">
      <c r="I368" s="144"/>
      <c r="K368" s="144"/>
      <c r="L368" s="144"/>
      <c r="M368" s="144"/>
      <c r="N368" s="144"/>
    </row>
    <row r="369" spans="9:14" s="136" customFormat="1">
      <c r="I369" s="144"/>
      <c r="K369" s="144"/>
      <c r="L369" s="144"/>
      <c r="M369" s="144"/>
      <c r="N369" s="144"/>
    </row>
    <row r="370" spans="9:14" s="136" customFormat="1">
      <c r="I370" s="144"/>
      <c r="K370" s="144"/>
      <c r="L370" s="144"/>
      <c r="M370" s="144"/>
      <c r="N370" s="144"/>
    </row>
    <row r="371" spans="9:14" s="136" customFormat="1">
      <c r="I371" s="144"/>
      <c r="K371" s="144"/>
      <c r="L371" s="144"/>
      <c r="M371" s="144"/>
      <c r="N371" s="144"/>
    </row>
    <row r="372" spans="9:14" s="136" customFormat="1">
      <c r="I372" s="144"/>
      <c r="K372" s="144"/>
      <c r="L372" s="144"/>
      <c r="M372" s="144"/>
      <c r="N372" s="144"/>
    </row>
    <row r="373" spans="9:14" s="136" customFormat="1">
      <c r="I373" s="144"/>
      <c r="K373" s="144"/>
      <c r="L373" s="144"/>
      <c r="M373" s="144"/>
      <c r="N373" s="144"/>
    </row>
    <row r="374" spans="9:14" s="136" customFormat="1">
      <c r="I374" s="144"/>
      <c r="K374" s="144"/>
      <c r="L374" s="144"/>
      <c r="M374" s="144"/>
      <c r="N374" s="144"/>
    </row>
    <row r="375" spans="9:14" s="136" customFormat="1">
      <c r="I375" s="144"/>
      <c r="K375" s="144"/>
      <c r="L375" s="144"/>
      <c r="M375" s="144"/>
      <c r="N375" s="144"/>
    </row>
    <row r="376" spans="9:14" s="136" customFormat="1">
      <c r="I376" s="144"/>
      <c r="K376" s="144"/>
      <c r="L376" s="144"/>
      <c r="M376" s="144"/>
      <c r="N376" s="144"/>
    </row>
    <row r="377" spans="9:14" s="136" customFormat="1">
      <c r="I377" s="144"/>
      <c r="K377" s="144"/>
      <c r="L377" s="144"/>
      <c r="M377" s="144"/>
      <c r="N377" s="144"/>
    </row>
    <row r="378" spans="9:14" s="136" customFormat="1">
      <c r="I378" s="144"/>
      <c r="K378" s="144"/>
      <c r="L378" s="144"/>
      <c r="M378" s="144"/>
      <c r="N378" s="144"/>
    </row>
    <row r="379" spans="9:14" s="136" customFormat="1">
      <c r="I379" s="144"/>
      <c r="K379" s="144"/>
      <c r="L379" s="144"/>
      <c r="M379" s="144"/>
      <c r="N379" s="144"/>
    </row>
    <row r="380" spans="9:14" s="136" customFormat="1">
      <c r="I380" s="144"/>
      <c r="K380" s="144"/>
      <c r="L380" s="144"/>
      <c r="M380" s="144"/>
      <c r="N380" s="144"/>
    </row>
    <row r="381" spans="9:14" s="136" customFormat="1">
      <c r="I381" s="144"/>
      <c r="K381" s="144"/>
      <c r="L381" s="144"/>
      <c r="M381" s="144"/>
      <c r="N381" s="144"/>
    </row>
    <row r="382" spans="9:14" s="136" customFormat="1">
      <c r="I382" s="144"/>
      <c r="K382" s="144"/>
      <c r="L382" s="144"/>
      <c r="M382" s="144"/>
      <c r="N382" s="144"/>
    </row>
    <row r="383" spans="9:14" s="136" customFormat="1">
      <c r="I383" s="144"/>
      <c r="K383" s="144"/>
      <c r="L383" s="144"/>
      <c r="M383" s="144"/>
      <c r="N383" s="144"/>
    </row>
    <row r="384" spans="9:14" s="136" customFormat="1">
      <c r="I384" s="144"/>
      <c r="K384" s="144"/>
      <c r="L384" s="144"/>
      <c r="M384" s="144"/>
      <c r="N384" s="144"/>
    </row>
    <row r="385" spans="9:14" s="136" customFormat="1">
      <c r="I385" s="144"/>
      <c r="K385" s="144"/>
      <c r="L385" s="144"/>
      <c r="M385" s="144"/>
      <c r="N385" s="144"/>
    </row>
    <row r="386" spans="9:14" s="136" customFormat="1">
      <c r="I386" s="144"/>
      <c r="K386" s="144"/>
      <c r="L386" s="144"/>
      <c r="M386" s="144"/>
      <c r="N386" s="144"/>
    </row>
    <row r="387" spans="9:14" s="136" customFormat="1">
      <c r="I387" s="144"/>
      <c r="K387" s="144"/>
      <c r="L387" s="144"/>
      <c r="M387" s="144"/>
      <c r="N387" s="144"/>
    </row>
    <row r="388" spans="9:14" s="136" customFormat="1">
      <c r="I388" s="144"/>
      <c r="K388" s="144"/>
      <c r="L388" s="144"/>
      <c r="M388" s="144"/>
      <c r="N388" s="144"/>
    </row>
    <row r="389" spans="9:14" s="136" customFormat="1">
      <c r="I389" s="144"/>
      <c r="K389" s="144"/>
      <c r="L389" s="144"/>
      <c r="M389" s="144"/>
      <c r="N389" s="144"/>
    </row>
    <row r="390" spans="9:14" s="136" customFormat="1">
      <c r="I390" s="144"/>
      <c r="K390" s="144"/>
      <c r="L390" s="144"/>
      <c r="M390" s="144"/>
      <c r="N390" s="144"/>
    </row>
    <row r="391" spans="9:14" s="136" customFormat="1">
      <c r="I391" s="144"/>
      <c r="K391" s="144"/>
      <c r="L391" s="144"/>
      <c r="M391" s="144"/>
      <c r="N391" s="144"/>
    </row>
    <row r="392" spans="9:14" s="136" customFormat="1">
      <c r="I392" s="144"/>
      <c r="K392" s="144"/>
      <c r="L392" s="144"/>
      <c r="M392" s="144"/>
      <c r="N392" s="144"/>
    </row>
    <row r="393" spans="9:14" s="136" customFormat="1">
      <c r="I393" s="144"/>
      <c r="K393" s="144"/>
      <c r="L393" s="144"/>
      <c r="M393" s="144"/>
      <c r="N393" s="144"/>
    </row>
    <row r="394" spans="9:14" s="136" customFormat="1">
      <c r="I394" s="144"/>
      <c r="K394" s="144"/>
      <c r="L394" s="144"/>
      <c r="M394" s="144"/>
      <c r="N394" s="144"/>
    </row>
    <row r="395" spans="9:14" s="136" customFormat="1">
      <c r="I395" s="144"/>
      <c r="K395" s="144"/>
      <c r="L395" s="144"/>
      <c r="M395" s="144"/>
      <c r="N395" s="144"/>
    </row>
    <row r="396" spans="9:14" s="136" customFormat="1">
      <c r="I396" s="144"/>
      <c r="K396" s="144"/>
      <c r="L396" s="144"/>
      <c r="M396" s="144"/>
      <c r="N396" s="144"/>
    </row>
    <row r="397" spans="9:14" s="136" customFormat="1">
      <c r="I397" s="144"/>
      <c r="K397" s="144"/>
      <c r="L397" s="144"/>
      <c r="M397" s="144"/>
      <c r="N397" s="144"/>
    </row>
    <row r="398" spans="9:14" s="136" customFormat="1">
      <c r="I398" s="144"/>
      <c r="K398" s="144"/>
      <c r="L398" s="144"/>
      <c r="M398" s="144"/>
      <c r="N398" s="144"/>
    </row>
    <row r="399" spans="9:14" s="136" customFormat="1">
      <c r="I399" s="144"/>
      <c r="K399" s="144"/>
      <c r="L399" s="144"/>
      <c r="M399" s="144"/>
      <c r="N399" s="144"/>
    </row>
    <row r="400" spans="9:14" s="136" customFormat="1">
      <c r="I400" s="144"/>
      <c r="K400" s="144"/>
      <c r="L400" s="144"/>
      <c r="M400" s="144"/>
      <c r="N400" s="144"/>
    </row>
    <row r="401" spans="9:14" s="136" customFormat="1">
      <c r="I401" s="144"/>
      <c r="K401" s="144"/>
      <c r="L401" s="144"/>
      <c r="M401" s="144"/>
      <c r="N401" s="144"/>
    </row>
    <row r="402" spans="9:14" s="136" customFormat="1">
      <c r="I402" s="144"/>
      <c r="K402" s="144"/>
      <c r="L402" s="144"/>
      <c r="M402" s="144"/>
      <c r="N402" s="144"/>
    </row>
    <row r="403" spans="9:14" s="136" customFormat="1">
      <c r="I403" s="144"/>
      <c r="K403" s="144"/>
      <c r="L403" s="144"/>
      <c r="M403" s="144"/>
      <c r="N403" s="144"/>
    </row>
    <row r="404" spans="9:14" s="136" customFormat="1">
      <c r="I404" s="144"/>
      <c r="K404" s="144"/>
      <c r="L404" s="144"/>
      <c r="M404" s="144"/>
      <c r="N404" s="144"/>
    </row>
    <row r="405" spans="9:14" s="136" customFormat="1">
      <c r="I405" s="144"/>
      <c r="K405" s="144"/>
      <c r="L405" s="144"/>
      <c r="M405" s="144"/>
      <c r="N405" s="144"/>
    </row>
    <row r="406" spans="9:14" s="136" customFormat="1">
      <c r="I406" s="144"/>
      <c r="K406" s="144"/>
      <c r="L406" s="144"/>
      <c r="M406" s="144"/>
      <c r="N406" s="144"/>
    </row>
    <row r="407" spans="9:14" s="136" customFormat="1">
      <c r="I407" s="144"/>
      <c r="K407" s="144"/>
      <c r="L407" s="144"/>
      <c r="M407" s="144"/>
      <c r="N407" s="144"/>
    </row>
    <row r="408" spans="9:14" s="136" customFormat="1">
      <c r="I408" s="144"/>
      <c r="K408" s="144"/>
      <c r="L408" s="144"/>
      <c r="M408" s="144"/>
      <c r="N408" s="144"/>
    </row>
    <row r="409" spans="9:14" s="136" customFormat="1">
      <c r="I409" s="144"/>
      <c r="K409" s="144"/>
      <c r="L409" s="144"/>
      <c r="M409" s="144"/>
      <c r="N409" s="144"/>
    </row>
    <row r="410" spans="9:14" s="136" customFormat="1">
      <c r="I410" s="144"/>
      <c r="K410" s="144"/>
      <c r="L410" s="144"/>
      <c r="M410" s="144"/>
      <c r="N410" s="144"/>
    </row>
    <row r="411" spans="9:14" s="136" customFormat="1">
      <c r="I411" s="144"/>
      <c r="K411" s="144"/>
      <c r="L411" s="144"/>
      <c r="M411" s="144"/>
      <c r="N411" s="144"/>
    </row>
    <row r="412" spans="9:14" s="136" customFormat="1">
      <c r="I412" s="144"/>
      <c r="K412" s="144"/>
      <c r="L412" s="144"/>
      <c r="M412" s="144"/>
      <c r="N412" s="144"/>
    </row>
    <row r="413" spans="9:14" s="136" customFormat="1">
      <c r="I413" s="144"/>
      <c r="K413" s="144"/>
      <c r="L413" s="144"/>
      <c r="M413" s="144"/>
      <c r="N413" s="144"/>
    </row>
    <row r="414" spans="9:14" s="136" customFormat="1">
      <c r="I414" s="144"/>
      <c r="K414" s="144"/>
      <c r="L414" s="144"/>
      <c r="M414" s="144"/>
      <c r="N414" s="144"/>
    </row>
    <row r="415" spans="9:14" s="136" customFormat="1">
      <c r="I415" s="144"/>
      <c r="K415" s="144"/>
      <c r="L415" s="144"/>
      <c r="M415" s="144"/>
      <c r="N415" s="144"/>
    </row>
    <row r="416" spans="9:14" s="136" customFormat="1">
      <c r="I416" s="144"/>
      <c r="K416" s="144"/>
      <c r="L416" s="144"/>
      <c r="M416" s="144"/>
      <c r="N416" s="144"/>
    </row>
    <row r="417" spans="9:14" s="136" customFormat="1">
      <c r="I417" s="144"/>
      <c r="K417" s="144"/>
      <c r="L417" s="144"/>
      <c r="M417" s="144"/>
      <c r="N417" s="144"/>
    </row>
    <row r="418" spans="9:14" s="136" customFormat="1">
      <c r="I418" s="144"/>
      <c r="K418" s="144"/>
      <c r="L418" s="144"/>
      <c r="M418" s="144"/>
      <c r="N418" s="144"/>
    </row>
    <row r="419" spans="9:14" s="136" customFormat="1">
      <c r="I419" s="144"/>
      <c r="K419" s="144"/>
      <c r="L419" s="144"/>
      <c r="M419" s="144"/>
      <c r="N419" s="144"/>
    </row>
    <row r="420" spans="9:14" s="136" customFormat="1">
      <c r="I420" s="144"/>
      <c r="K420" s="144"/>
      <c r="L420" s="144"/>
      <c r="M420" s="144"/>
      <c r="N420" s="144"/>
    </row>
    <row r="421" spans="9:14" s="136" customFormat="1">
      <c r="I421" s="144"/>
      <c r="K421" s="144"/>
      <c r="L421" s="144"/>
      <c r="M421" s="144"/>
      <c r="N421" s="144"/>
    </row>
    <row r="422" spans="9:14" s="136" customFormat="1">
      <c r="I422" s="144"/>
      <c r="K422" s="144"/>
      <c r="L422" s="144"/>
      <c r="M422" s="144"/>
      <c r="N422" s="144"/>
    </row>
    <row r="423" spans="9:14" s="136" customFormat="1">
      <c r="I423" s="144"/>
      <c r="K423" s="144"/>
      <c r="L423" s="144"/>
      <c r="M423" s="144"/>
      <c r="N423" s="144"/>
    </row>
    <row r="424" spans="9:14" s="136" customFormat="1">
      <c r="I424" s="144"/>
      <c r="K424" s="144"/>
      <c r="L424" s="144"/>
      <c r="M424" s="144"/>
      <c r="N424" s="144"/>
    </row>
    <row r="425" spans="9:14" s="136" customFormat="1">
      <c r="I425" s="144"/>
      <c r="K425" s="144"/>
      <c r="L425" s="144"/>
      <c r="M425" s="144"/>
      <c r="N425" s="144"/>
    </row>
    <row r="426" spans="9:14" s="136" customFormat="1">
      <c r="I426" s="144"/>
      <c r="K426" s="144"/>
      <c r="L426" s="144"/>
      <c r="M426" s="144"/>
      <c r="N426" s="144"/>
    </row>
    <row r="427" spans="9:14" s="136" customFormat="1">
      <c r="I427" s="144"/>
      <c r="K427" s="144"/>
      <c r="L427" s="144"/>
      <c r="M427" s="144"/>
      <c r="N427" s="144"/>
    </row>
    <row r="428" spans="9:14" s="136" customFormat="1">
      <c r="I428" s="144"/>
      <c r="K428" s="144"/>
      <c r="L428" s="144"/>
      <c r="M428" s="144"/>
      <c r="N428" s="144"/>
    </row>
    <row r="429" spans="9:14" s="136" customFormat="1">
      <c r="I429" s="144"/>
      <c r="K429" s="144"/>
      <c r="L429" s="144"/>
      <c r="M429" s="144"/>
      <c r="N429" s="144"/>
    </row>
    <row r="430" spans="9:14" s="136" customFormat="1">
      <c r="I430" s="144"/>
      <c r="K430" s="144"/>
      <c r="L430" s="144"/>
      <c r="M430" s="144"/>
      <c r="N430" s="144"/>
    </row>
    <row r="431" spans="9:14" s="136" customFormat="1">
      <c r="I431" s="144"/>
      <c r="K431" s="144"/>
      <c r="L431" s="144"/>
      <c r="M431" s="144"/>
      <c r="N431" s="144"/>
    </row>
    <row r="432" spans="9:14" s="136" customFormat="1">
      <c r="I432" s="144"/>
      <c r="K432" s="144"/>
      <c r="L432" s="144"/>
      <c r="M432" s="144"/>
      <c r="N432" s="144"/>
    </row>
    <row r="433" spans="9:14" s="136" customFormat="1">
      <c r="I433" s="144"/>
      <c r="K433" s="144"/>
      <c r="L433" s="144"/>
      <c r="M433" s="144"/>
      <c r="N433" s="144"/>
    </row>
    <row r="434" spans="9:14" s="136" customFormat="1">
      <c r="I434" s="144"/>
      <c r="K434" s="144"/>
      <c r="L434" s="144"/>
      <c r="M434" s="144"/>
      <c r="N434" s="144"/>
    </row>
    <row r="435" spans="9:14" s="136" customFormat="1">
      <c r="I435" s="144"/>
      <c r="K435" s="144"/>
      <c r="L435" s="144"/>
      <c r="M435" s="144"/>
      <c r="N435" s="144"/>
    </row>
    <row r="436" spans="9:14" s="136" customFormat="1">
      <c r="I436" s="144"/>
      <c r="K436" s="144"/>
      <c r="L436" s="144"/>
      <c r="M436" s="144"/>
      <c r="N436" s="144"/>
    </row>
    <row r="437" spans="9:14" s="136" customFormat="1">
      <c r="I437" s="144"/>
      <c r="K437" s="144"/>
      <c r="L437" s="144"/>
      <c r="M437" s="144"/>
      <c r="N437" s="144"/>
    </row>
    <row r="438" spans="9:14" s="136" customFormat="1">
      <c r="I438" s="144"/>
      <c r="K438" s="144"/>
      <c r="L438" s="144"/>
      <c r="M438" s="144"/>
      <c r="N438" s="144"/>
    </row>
    <row r="439" spans="9:14" s="136" customFormat="1">
      <c r="I439" s="144"/>
      <c r="K439" s="144"/>
      <c r="L439" s="144"/>
      <c r="M439" s="144"/>
      <c r="N439" s="144"/>
    </row>
    <row r="440" spans="9:14" s="136" customFormat="1">
      <c r="I440" s="144"/>
      <c r="K440" s="144"/>
      <c r="L440" s="144"/>
      <c r="M440" s="144"/>
      <c r="N440" s="144"/>
    </row>
    <row r="441" spans="9:14" s="136" customFormat="1">
      <c r="I441" s="144"/>
      <c r="K441" s="144"/>
      <c r="L441" s="144"/>
      <c r="M441" s="144"/>
      <c r="N441" s="144"/>
    </row>
    <row r="442" spans="9:14" s="136" customFormat="1">
      <c r="I442" s="144"/>
      <c r="K442" s="144"/>
      <c r="L442" s="144"/>
      <c r="M442" s="144"/>
      <c r="N442" s="144"/>
    </row>
    <row r="443" spans="9:14" s="136" customFormat="1">
      <c r="I443" s="144"/>
      <c r="K443" s="144"/>
      <c r="L443" s="144"/>
      <c r="M443" s="144"/>
      <c r="N443" s="144"/>
    </row>
    <row r="444" spans="9:14" s="136" customFormat="1">
      <c r="I444" s="144"/>
      <c r="K444" s="144"/>
      <c r="L444" s="144"/>
      <c r="M444" s="144"/>
      <c r="N444" s="144"/>
    </row>
    <row r="445" spans="9:14" s="136" customFormat="1">
      <c r="I445" s="144"/>
      <c r="K445" s="144"/>
      <c r="L445" s="144"/>
      <c r="M445" s="144"/>
      <c r="N445" s="144"/>
    </row>
    <row r="446" spans="9:14" s="136" customFormat="1">
      <c r="I446" s="144"/>
      <c r="K446" s="144"/>
      <c r="L446" s="144"/>
      <c r="M446" s="144"/>
      <c r="N446" s="144"/>
    </row>
    <row r="447" spans="9:14" s="136" customFormat="1">
      <c r="I447" s="144"/>
      <c r="K447" s="144"/>
      <c r="L447" s="144"/>
      <c r="M447" s="144"/>
      <c r="N447" s="144"/>
    </row>
    <row r="448" spans="9:14" s="136" customFormat="1">
      <c r="I448" s="144"/>
      <c r="K448" s="144"/>
      <c r="L448" s="144"/>
      <c r="M448" s="144"/>
      <c r="N448" s="144"/>
    </row>
    <row r="449" spans="9:14" s="136" customFormat="1">
      <c r="I449" s="144"/>
      <c r="K449" s="144"/>
      <c r="L449" s="144"/>
      <c r="M449" s="144"/>
      <c r="N449" s="144"/>
    </row>
    <row r="450" spans="9:14" s="136" customFormat="1">
      <c r="I450" s="144"/>
      <c r="K450" s="144"/>
      <c r="L450" s="144"/>
      <c r="M450" s="144"/>
      <c r="N450" s="144"/>
    </row>
    <row r="451" spans="9:14" s="136" customFormat="1">
      <c r="I451" s="144"/>
      <c r="K451" s="144"/>
      <c r="L451" s="144"/>
      <c r="M451" s="144"/>
      <c r="N451" s="144"/>
    </row>
    <row r="452" spans="9:14" s="136" customFormat="1">
      <c r="I452" s="144"/>
      <c r="K452" s="144"/>
      <c r="L452" s="144"/>
      <c r="M452" s="144"/>
      <c r="N452" s="144"/>
    </row>
    <row r="453" spans="9:14" s="136" customFormat="1">
      <c r="I453" s="144"/>
      <c r="K453" s="144"/>
      <c r="L453" s="144"/>
      <c r="M453" s="144"/>
      <c r="N453" s="144"/>
    </row>
    <row r="454" spans="9:14" s="136" customFormat="1">
      <c r="I454" s="144"/>
      <c r="K454" s="144"/>
      <c r="L454" s="144"/>
      <c r="M454" s="144"/>
      <c r="N454" s="144"/>
    </row>
    <row r="455" spans="9:14" s="136" customFormat="1">
      <c r="I455" s="144"/>
      <c r="K455" s="144"/>
      <c r="L455" s="144"/>
      <c r="M455" s="144"/>
      <c r="N455" s="144"/>
    </row>
    <row r="456" spans="9:14" s="136" customFormat="1">
      <c r="I456" s="144"/>
      <c r="K456" s="144"/>
      <c r="L456" s="144"/>
      <c r="M456" s="144"/>
      <c r="N456" s="144"/>
    </row>
    <row r="457" spans="9:14" s="136" customFormat="1">
      <c r="I457" s="144"/>
      <c r="K457" s="144"/>
      <c r="L457" s="144"/>
      <c r="M457" s="144"/>
      <c r="N457" s="144"/>
    </row>
    <row r="458" spans="9:14" s="136" customFormat="1">
      <c r="I458" s="144"/>
      <c r="K458" s="144"/>
      <c r="L458" s="144"/>
      <c r="M458" s="144"/>
      <c r="N458" s="144"/>
    </row>
    <row r="459" spans="9:14" s="136" customFormat="1">
      <c r="I459" s="144"/>
      <c r="K459" s="144"/>
      <c r="L459" s="144"/>
      <c r="M459" s="144"/>
      <c r="N459" s="144"/>
    </row>
    <row r="460" spans="9:14" s="136" customFormat="1">
      <c r="I460" s="144"/>
      <c r="K460" s="144"/>
      <c r="L460" s="144"/>
      <c r="M460" s="144"/>
      <c r="N460" s="144"/>
    </row>
    <row r="461" spans="9:14" s="136" customFormat="1">
      <c r="I461" s="144"/>
      <c r="K461" s="144"/>
      <c r="L461" s="144"/>
      <c r="M461" s="144"/>
      <c r="N461" s="144"/>
    </row>
    <row r="462" spans="9:14" s="136" customFormat="1">
      <c r="I462" s="144"/>
      <c r="K462" s="144"/>
      <c r="L462" s="144"/>
      <c r="M462" s="144"/>
      <c r="N462" s="144"/>
    </row>
    <row r="463" spans="9:14" s="136" customFormat="1">
      <c r="I463" s="144"/>
      <c r="K463" s="144"/>
      <c r="L463" s="144"/>
      <c r="M463" s="144"/>
      <c r="N463" s="144"/>
    </row>
    <row r="464" spans="9:14" s="136" customFormat="1">
      <c r="I464" s="144"/>
      <c r="K464" s="144"/>
      <c r="L464" s="144"/>
      <c r="M464" s="144"/>
      <c r="N464" s="144"/>
    </row>
    <row r="465" spans="9:14" s="136" customFormat="1">
      <c r="I465" s="144"/>
      <c r="K465" s="144"/>
      <c r="L465" s="144"/>
      <c r="M465" s="144"/>
      <c r="N465" s="144"/>
    </row>
    <row r="466" spans="9:14" s="136" customFormat="1">
      <c r="I466" s="144"/>
      <c r="K466" s="144"/>
      <c r="L466" s="144"/>
      <c r="M466" s="144"/>
      <c r="N466" s="144"/>
    </row>
    <row r="467" spans="9:14" s="136" customFormat="1">
      <c r="I467" s="144"/>
      <c r="K467" s="144"/>
      <c r="L467" s="144"/>
      <c r="M467" s="144"/>
      <c r="N467" s="144"/>
    </row>
    <row r="468" spans="9:14" s="136" customFormat="1">
      <c r="I468" s="144"/>
      <c r="K468" s="144"/>
      <c r="L468" s="144"/>
      <c r="M468" s="144"/>
      <c r="N468" s="144"/>
    </row>
    <row r="469" spans="9:14" s="136" customFormat="1">
      <c r="I469" s="144"/>
      <c r="K469" s="144"/>
      <c r="L469" s="144"/>
      <c r="M469" s="144"/>
      <c r="N469" s="144"/>
    </row>
    <row r="470" spans="9:14" s="136" customFormat="1">
      <c r="I470" s="144"/>
      <c r="K470" s="144"/>
      <c r="L470" s="144"/>
      <c r="M470" s="144"/>
      <c r="N470" s="144"/>
    </row>
    <row r="471" spans="9:14" s="136" customFormat="1">
      <c r="I471" s="144"/>
      <c r="K471" s="144"/>
      <c r="L471" s="144"/>
      <c r="M471" s="144"/>
      <c r="N471" s="144"/>
    </row>
    <row r="472" spans="9:14" s="136" customFormat="1">
      <c r="I472" s="144"/>
      <c r="K472" s="144"/>
      <c r="L472" s="144"/>
      <c r="M472" s="144"/>
      <c r="N472" s="144"/>
    </row>
    <row r="473" spans="9:14" s="136" customFormat="1">
      <c r="I473" s="144"/>
      <c r="K473" s="144"/>
      <c r="L473" s="144"/>
      <c r="M473" s="144"/>
      <c r="N473" s="144"/>
    </row>
    <row r="474" spans="9:14" s="136" customFormat="1">
      <c r="I474" s="144"/>
      <c r="K474" s="144"/>
      <c r="L474" s="144"/>
      <c r="M474" s="144"/>
      <c r="N474" s="144"/>
    </row>
    <row r="475" spans="9:14" s="136" customFormat="1">
      <c r="I475" s="144"/>
      <c r="K475" s="144"/>
      <c r="L475" s="144"/>
      <c r="M475" s="144"/>
      <c r="N475" s="144"/>
    </row>
    <row r="476" spans="9:14" s="136" customFormat="1">
      <c r="I476" s="144"/>
      <c r="K476" s="144"/>
      <c r="L476" s="144"/>
      <c r="M476" s="144"/>
      <c r="N476" s="144"/>
    </row>
    <row r="477" spans="9:14" s="136" customFormat="1">
      <c r="I477" s="144"/>
      <c r="K477" s="144"/>
      <c r="L477" s="144"/>
      <c r="M477" s="144"/>
      <c r="N477" s="144"/>
    </row>
    <row r="478" spans="9:14" s="136" customFormat="1">
      <c r="I478" s="144"/>
      <c r="K478" s="144"/>
      <c r="L478" s="144"/>
      <c r="M478" s="144"/>
      <c r="N478" s="144"/>
    </row>
    <row r="479" spans="9:14" s="136" customFormat="1">
      <c r="I479" s="144"/>
      <c r="K479" s="144"/>
      <c r="L479" s="144"/>
      <c r="M479" s="144"/>
      <c r="N479" s="144"/>
    </row>
    <row r="480" spans="9:14" s="136" customFormat="1">
      <c r="I480" s="144"/>
      <c r="K480" s="144"/>
      <c r="L480" s="144"/>
      <c r="M480" s="144"/>
      <c r="N480" s="144"/>
    </row>
    <row r="481" spans="9:14" s="136" customFormat="1">
      <c r="I481" s="144"/>
      <c r="K481" s="144"/>
      <c r="L481" s="144"/>
      <c r="M481" s="144"/>
      <c r="N481" s="144"/>
    </row>
    <row r="482" spans="9:14" s="136" customFormat="1">
      <c r="I482" s="144"/>
      <c r="K482" s="144"/>
      <c r="L482" s="144"/>
      <c r="M482" s="144"/>
      <c r="N482" s="144"/>
    </row>
    <row r="483" spans="9:14" s="136" customFormat="1">
      <c r="I483" s="144"/>
      <c r="K483" s="144"/>
      <c r="L483" s="144"/>
      <c r="M483" s="144"/>
      <c r="N483" s="144"/>
    </row>
    <row r="484" spans="9:14" s="136" customFormat="1">
      <c r="I484" s="144"/>
      <c r="K484" s="144"/>
      <c r="L484" s="144"/>
      <c r="M484" s="144"/>
      <c r="N484" s="144"/>
    </row>
    <row r="485" spans="9:14" s="136" customFormat="1">
      <c r="I485" s="144"/>
      <c r="K485" s="144"/>
      <c r="L485" s="144"/>
      <c r="M485" s="144"/>
      <c r="N485" s="144"/>
    </row>
    <row r="486" spans="9:14" s="136" customFormat="1">
      <c r="I486" s="144"/>
      <c r="K486" s="144"/>
      <c r="L486" s="144"/>
      <c r="M486" s="144"/>
      <c r="N486" s="144"/>
    </row>
    <row r="487" spans="9:14" s="136" customFormat="1">
      <c r="I487" s="144"/>
      <c r="K487" s="144"/>
      <c r="L487" s="144"/>
      <c r="M487" s="144"/>
      <c r="N487" s="144"/>
    </row>
    <row r="488" spans="9:14" s="136" customFormat="1">
      <c r="I488" s="144"/>
      <c r="K488" s="144"/>
      <c r="L488" s="144"/>
      <c r="M488" s="144"/>
      <c r="N488" s="144"/>
    </row>
    <row r="489" spans="9:14" s="136" customFormat="1">
      <c r="I489" s="144"/>
      <c r="K489" s="144"/>
      <c r="L489" s="144"/>
      <c r="M489" s="144"/>
      <c r="N489" s="144"/>
    </row>
    <row r="490" spans="9:14" s="136" customFormat="1">
      <c r="I490" s="144"/>
      <c r="K490" s="144"/>
      <c r="L490" s="144"/>
      <c r="M490" s="144"/>
      <c r="N490" s="144"/>
    </row>
    <row r="491" spans="9:14" s="136" customFormat="1">
      <c r="I491" s="144"/>
      <c r="K491" s="144"/>
      <c r="L491" s="144"/>
      <c r="M491" s="144"/>
      <c r="N491" s="144"/>
    </row>
    <row r="492" spans="9:14" s="136" customFormat="1">
      <c r="I492" s="144"/>
      <c r="K492" s="144"/>
      <c r="L492" s="144"/>
      <c r="M492" s="144"/>
      <c r="N492" s="144"/>
    </row>
    <row r="493" spans="9:14" s="136" customFormat="1">
      <c r="I493" s="144"/>
      <c r="K493" s="144"/>
      <c r="L493" s="144"/>
      <c r="M493" s="144"/>
      <c r="N493" s="144"/>
    </row>
    <row r="494" spans="9:14" s="136" customFormat="1">
      <c r="I494" s="144"/>
      <c r="K494" s="144"/>
      <c r="L494" s="144"/>
      <c r="M494" s="144"/>
      <c r="N494" s="144"/>
    </row>
    <row r="495" spans="9:14" s="136" customFormat="1">
      <c r="I495" s="144"/>
      <c r="K495" s="144"/>
      <c r="L495" s="144"/>
      <c r="M495" s="144"/>
      <c r="N495" s="144"/>
    </row>
    <row r="496" spans="9:14" s="136" customFormat="1">
      <c r="I496" s="144"/>
      <c r="K496" s="144"/>
      <c r="L496" s="144"/>
      <c r="M496" s="144"/>
      <c r="N496" s="144"/>
    </row>
    <row r="497" spans="9:14" s="136" customFormat="1">
      <c r="I497" s="144"/>
      <c r="K497" s="144"/>
      <c r="L497" s="144"/>
      <c r="M497" s="144"/>
      <c r="N497" s="144"/>
    </row>
    <row r="498" spans="9:14" s="136" customFormat="1">
      <c r="I498" s="144"/>
      <c r="K498" s="144"/>
      <c r="L498" s="144"/>
      <c r="M498" s="144"/>
      <c r="N498" s="144"/>
    </row>
    <row r="499" spans="9:14" s="136" customFormat="1">
      <c r="I499" s="144"/>
      <c r="K499" s="144"/>
      <c r="L499" s="144"/>
      <c r="M499" s="144"/>
      <c r="N499" s="144"/>
    </row>
    <row r="500" spans="9:14" s="136" customFormat="1">
      <c r="I500" s="144"/>
      <c r="K500" s="144"/>
      <c r="L500" s="144"/>
      <c r="M500" s="144"/>
      <c r="N500" s="144"/>
    </row>
    <row r="501" spans="9:14" s="136" customFormat="1">
      <c r="I501" s="144"/>
      <c r="K501" s="144"/>
      <c r="L501" s="144"/>
      <c r="M501" s="144"/>
      <c r="N501" s="144"/>
    </row>
    <row r="502" spans="9:14" s="136" customFormat="1">
      <c r="I502" s="144"/>
      <c r="K502" s="144"/>
      <c r="L502" s="144"/>
      <c r="M502" s="144"/>
      <c r="N502" s="144"/>
    </row>
    <row r="503" spans="9:14" s="136" customFormat="1">
      <c r="I503" s="144"/>
      <c r="K503" s="144"/>
      <c r="L503" s="144"/>
      <c r="M503" s="144"/>
      <c r="N503" s="144"/>
    </row>
    <row r="504" spans="9:14" s="136" customFormat="1">
      <c r="I504" s="144"/>
      <c r="K504" s="144"/>
      <c r="L504" s="144"/>
      <c r="M504" s="144"/>
      <c r="N504" s="144"/>
    </row>
    <row r="505" spans="9:14" s="136" customFormat="1">
      <c r="I505" s="144"/>
      <c r="K505" s="144"/>
      <c r="L505" s="144"/>
      <c r="M505" s="144"/>
      <c r="N505" s="144"/>
    </row>
    <row r="506" spans="9:14" s="136" customFormat="1">
      <c r="I506" s="144"/>
      <c r="K506" s="144"/>
      <c r="L506" s="144"/>
      <c r="M506" s="144"/>
      <c r="N506" s="144"/>
    </row>
    <row r="507" spans="9:14" s="136" customFormat="1">
      <c r="I507" s="144"/>
      <c r="K507" s="144"/>
      <c r="L507" s="144"/>
      <c r="M507" s="144"/>
      <c r="N507" s="144"/>
    </row>
    <row r="508" spans="9:14" s="136" customFormat="1">
      <c r="I508" s="144"/>
      <c r="K508" s="144"/>
      <c r="L508" s="144"/>
      <c r="M508" s="144"/>
      <c r="N508" s="144"/>
    </row>
    <row r="509" spans="9:14" s="136" customFormat="1">
      <c r="I509" s="144"/>
      <c r="K509" s="144"/>
      <c r="L509" s="144"/>
      <c r="M509" s="144"/>
      <c r="N509" s="144"/>
    </row>
    <row r="510" spans="9:14" s="136" customFormat="1">
      <c r="I510" s="144"/>
      <c r="K510" s="144"/>
      <c r="L510" s="144"/>
      <c r="M510" s="144"/>
      <c r="N510" s="144"/>
    </row>
    <row r="511" spans="9:14" s="136" customFormat="1">
      <c r="I511" s="144"/>
      <c r="K511" s="144"/>
      <c r="L511" s="144"/>
      <c r="M511" s="144"/>
      <c r="N511" s="144"/>
    </row>
    <row r="512" spans="9:14" s="136" customFormat="1">
      <c r="I512" s="144"/>
      <c r="K512" s="144"/>
      <c r="L512" s="144"/>
      <c r="M512" s="144"/>
      <c r="N512" s="144"/>
    </row>
    <row r="513" spans="9:14" s="136" customFormat="1">
      <c r="I513" s="144"/>
      <c r="K513" s="144"/>
      <c r="L513" s="144"/>
      <c r="M513" s="144"/>
      <c r="N513" s="144"/>
    </row>
    <row r="514" spans="9:14" s="136" customFormat="1">
      <c r="I514" s="144"/>
      <c r="K514" s="144"/>
      <c r="L514" s="144"/>
      <c r="M514" s="144"/>
      <c r="N514" s="144"/>
    </row>
    <row r="515" spans="9:14" s="136" customFormat="1">
      <c r="I515" s="144"/>
      <c r="K515" s="144"/>
      <c r="L515" s="144"/>
      <c r="M515" s="144"/>
      <c r="N515" s="144"/>
    </row>
    <row r="516" spans="9:14" s="136" customFormat="1">
      <c r="I516" s="144"/>
      <c r="K516" s="144"/>
      <c r="L516" s="144"/>
      <c r="M516" s="144"/>
      <c r="N516" s="144"/>
    </row>
    <row r="517" spans="9:14" s="136" customFormat="1">
      <c r="I517" s="144"/>
      <c r="K517" s="144"/>
      <c r="L517" s="144"/>
      <c r="M517" s="144"/>
      <c r="N517" s="144"/>
    </row>
    <row r="518" spans="9:14" s="136" customFormat="1">
      <c r="I518" s="144"/>
      <c r="K518" s="144"/>
      <c r="L518" s="144"/>
      <c r="M518" s="144"/>
      <c r="N518" s="144"/>
    </row>
    <row r="519" spans="9:14" s="136" customFormat="1">
      <c r="I519" s="144"/>
      <c r="K519" s="144"/>
      <c r="L519" s="144"/>
      <c r="M519" s="144"/>
      <c r="N519" s="144"/>
    </row>
    <row r="520" spans="9:14" s="136" customFormat="1">
      <c r="I520" s="144"/>
      <c r="K520" s="144"/>
      <c r="L520" s="144"/>
      <c r="M520" s="144"/>
      <c r="N520" s="144"/>
    </row>
    <row r="521" spans="9:14" s="136" customFormat="1">
      <c r="I521" s="144"/>
      <c r="K521" s="144"/>
      <c r="L521" s="144"/>
      <c r="M521" s="144"/>
      <c r="N521" s="144"/>
    </row>
    <row r="522" spans="9:14" s="136" customFormat="1">
      <c r="I522" s="144"/>
      <c r="K522" s="144"/>
      <c r="L522" s="144"/>
      <c r="M522" s="144"/>
      <c r="N522" s="144"/>
    </row>
    <row r="523" spans="9:14" s="136" customFormat="1">
      <c r="I523" s="144"/>
      <c r="K523" s="144"/>
      <c r="L523" s="144"/>
      <c r="M523" s="144"/>
      <c r="N523" s="144"/>
    </row>
    <row r="524" spans="9:14" s="136" customFormat="1">
      <c r="I524" s="144"/>
      <c r="K524" s="144"/>
      <c r="L524" s="144"/>
      <c r="M524" s="144"/>
      <c r="N524" s="144"/>
    </row>
    <row r="525" spans="9:14" s="136" customFormat="1">
      <c r="I525" s="144"/>
      <c r="K525" s="144"/>
      <c r="L525" s="144"/>
      <c r="M525" s="144"/>
      <c r="N525" s="144"/>
    </row>
    <row r="526" spans="9:14" s="136" customFormat="1">
      <c r="I526" s="144"/>
      <c r="K526" s="144"/>
      <c r="L526" s="144"/>
      <c r="M526" s="144"/>
      <c r="N526" s="144"/>
    </row>
    <row r="527" spans="9:14" s="136" customFormat="1">
      <c r="I527" s="144"/>
      <c r="K527" s="144"/>
      <c r="L527" s="144"/>
      <c r="M527" s="144"/>
      <c r="N527" s="144"/>
    </row>
    <row r="528" spans="9:14" s="136" customFormat="1">
      <c r="I528" s="144"/>
      <c r="K528" s="144"/>
      <c r="L528" s="144"/>
      <c r="M528" s="144"/>
      <c r="N528" s="144"/>
    </row>
    <row r="529" spans="9:14" s="136" customFormat="1">
      <c r="I529" s="144"/>
      <c r="K529" s="144"/>
      <c r="L529" s="144"/>
      <c r="M529" s="144"/>
      <c r="N529" s="144"/>
    </row>
    <row r="530" spans="9:14" s="136" customFormat="1">
      <c r="I530" s="144"/>
      <c r="K530" s="144"/>
      <c r="L530" s="144"/>
      <c r="M530" s="144"/>
      <c r="N530" s="144"/>
    </row>
    <row r="531" spans="9:14" s="136" customFormat="1">
      <c r="I531" s="144"/>
      <c r="K531" s="144"/>
      <c r="L531" s="144"/>
      <c r="M531" s="144"/>
      <c r="N531" s="144"/>
    </row>
    <row r="532" spans="9:14" s="136" customFormat="1">
      <c r="I532" s="144"/>
      <c r="K532" s="144"/>
      <c r="L532" s="144"/>
      <c r="M532" s="144"/>
      <c r="N532" s="144"/>
    </row>
    <row r="533" spans="9:14" s="136" customFormat="1">
      <c r="I533" s="144"/>
      <c r="K533" s="144"/>
      <c r="L533" s="144"/>
      <c r="M533" s="144"/>
      <c r="N533" s="144"/>
    </row>
    <row r="534" spans="9:14" s="136" customFormat="1">
      <c r="I534" s="144"/>
      <c r="K534" s="144"/>
      <c r="L534" s="144"/>
      <c r="M534" s="144"/>
      <c r="N534" s="144"/>
    </row>
    <row r="535" spans="9:14" s="136" customFormat="1">
      <c r="I535" s="144"/>
      <c r="K535" s="144"/>
      <c r="L535" s="144"/>
      <c r="M535" s="144"/>
      <c r="N535" s="144"/>
    </row>
    <row r="536" spans="9:14" s="136" customFormat="1">
      <c r="I536" s="144"/>
      <c r="K536" s="144"/>
      <c r="L536" s="144"/>
      <c r="M536" s="144"/>
      <c r="N536" s="144"/>
    </row>
    <row r="537" spans="9:14" s="136" customFormat="1">
      <c r="I537" s="144"/>
      <c r="K537" s="144"/>
      <c r="L537" s="144"/>
      <c r="M537" s="144"/>
      <c r="N537" s="144"/>
    </row>
    <row r="538" spans="9:14" s="136" customFormat="1">
      <c r="I538" s="144"/>
      <c r="K538" s="144"/>
      <c r="L538" s="144"/>
      <c r="M538" s="144"/>
      <c r="N538" s="144"/>
    </row>
    <row r="539" spans="9:14" s="136" customFormat="1">
      <c r="I539" s="144"/>
      <c r="K539" s="144"/>
      <c r="L539" s="144"/>
      <c r="M539" s="144"/>
      <c r="N539" s="144"/>
    </row>
    <row r="540" spans="9:14" s="136" customFormat="1">
      <c r="I540" s="144"/>
      <c r="K540" s="144"/>
      <c r="L540" s="144"/>
      <c r="M540" s="144"/>
      <c r="N540" s="144"/>
    </row>
    <row r="541" spans="9:14" s="136" customFormat="1">
      <c r="I541" s="144"/>
      <c r="K541" s="144"/>
      <c r="L541" s="144"/>
      <c r="M541" s="144"/>
      <c r="N541" s="144"/>
    </row>
    <row r="542" spans="9:14" s="136" customFormat="1">
      <c r="I542" s="144"/>
      <c r="K542" s="144"/>
      <c r="L542" s="144"/>
      <c r="M542" s="144"/>
      <c r="N542" s="144"/>
    </row>
    <row r="543" spans="9:14" s="136" customFormat="1">
      <c r="I543" s="144"/>
      <c r="K543" s="144"/>
      <c r="L543" s="144"/>
      <c r="M543" s="144"/>
      <c r="N543" s="144"/>
    </row>
    <row r="544" spans="9:14" s="136" customFormat="1">
      <c r="I544" s="144"/>
      <c r="K544" s="144"/>
      <c r="L544" s="144"/>
      <c r="M544" s="144"/>
      <c r="N544" s="144"/>
    </row>
    <row r="545" spans="9:14" s="136" customFormat="1">
      <c r="I545" s="144"/>
      <c r="K545" s="144"/>
      <c r="L545" s="144"/>
      <c r="M545" s="144"/>
      <c r="N545" s="144"/>
    </row>
    <row r="546" spans="9:14" s="136" customFormat="1">
      <c r="I546" s="144"/>
      <c r="K546" s="144"/>
      <c r="L546" s="144"/>
      <c r="M546" s="144"/>
      <c r="N546" s="144"/>
    </row>
    <row r="547" spans="9:14" s="136" customFormat="1">
      <c r="I547" s="144"/>
      <c r="K547" s="144"/>
      <c r="L547" s="144"/>
      <c r="M547" s="144"/>
      <c r="N547" s="144"/>
    </row>
    <row r="548" spans="9:14" s="136" customFormat="1">
      <c r="I548" s="144"/>
      <c r="K548" s="144"/>
      <c r="L548" s="144"/>
      <c r="M548" s="144"/>
      <c r="N548" s="144"/>
    </row>
    <row r="549" spans="9:14" s="136" customFormat="1">
      <c r="I549" s="144"/>
      <c r="K549" s="144"/>
      <c r="L549" s="144"/>
      <c r="M549" s="144"/>
      <c r="N549" s="144"/>
    </row>
    <row r="550" spans="9:14" s="136" customFormat="1">
      <c r="I550" s="144"/>
      <c r="K550" s="144"/>
      <c r="L550" s="144"/>
      <c r="M550" s="144"/>
      <c r="N550" s="144"/>
    </row>
    <row r="551" spans="9:14" s="136" customFormat="1">
      <c r="I551" s="144"/>
      <c r="K551" s="144"/>
      <c r="L551" s="144"/>
      <c r="M551" s="144"/>
      <c r="N551" s="144"/>
    </row>
    <row r="552" spans="9:14" s="136" customFormat="1">
      <c r="I552" s="144"/>
      <c r="K552" s="144"/>
      <c r="L552" s="144"/>
      <c r="M552" s="144"/>
      <c r="N552" s="144"/>
    </row>
    <row r="553" spans="9:14" s="136" customFormat="1">
      <c r="I553" s="144"/>
      <c r="K553" s="144"/>
      <c r="L553" s="144"/>
      <c r="M553" s="144"/>
      <c r="N553" s="144"/>
    </row>
    <row r="554" spans="9:14" s="136" customFormat="1">
      <c r="I554" s="144"/>
      <c r="K554" s="144"/>
      <c r="L554" s="144"/>
      <c r="M554" s="144"/>
      <c r="N554" s="144"/>
    </row>
    <row r="555" spans="9:14" s="136" customFormat="1">
      <c r="I555" s="144"/>
      <c r="K555" s="144"/>
      <c r="L555" s="144"/>
      <c r="M555" s="144"/>
      <c r="N555" s="144"/>
    </row>
    <row r="556" spans="9:14" s="136" customFormat="1">
      <c r="I556" s="144"/>
      <c r="K556" s="144"/>
      <c r="L556" s="144"/>
      <c r="M556" s="144"/>
      <c r="N556" s="144"/>
    </row>
    <row r="557" spans="9:14" s="136" customFormat="1">
      <c r="I557" s="144"/>
      <c r="K557" s="144"/>
      <c r="L557" s="144"/>
      <c r="M557" s="144"/>
      <c r="N557" s="144"/>
    </row>
    <row r="558" spans="9:14" s="136" customFormat="1">
      <c r="I558" s="144"/>
      <c r="K558" s="144"/>
      <c r="L558" s="144"/>
      <c r="M558" s="144"/>
      <c r="N558" s="144"/>
    </row>
    <row r="559" spans="9:14" s="136" customFormat="1">
      <c r="I559" s="144"/>
      <c r="K559" s="144"/>
      <c r="L559" s="144"/>
      <c r="M559" s="144"/>
      <c r="N559" s="144"/>
    </row>
    <row r="560" spans="9:14" s="136" customFormat="1">
      <c r="I560" s="144"/>
      <c r="K560" s="144"/>
      <c r="L560" s="144"/>
      <c r="M560" s="144"/>
      <c r="N560" s="144"/>
    </row>
    <row r="561" spans="9:14" s="136" customFormat="1">
      <c r="I561" s="144"/>
      <c r="K561" s="144"/>
      <c r="L561" s="144"/>
      <c r="M561" s="144"/>
      <c r="N561" s="144"/>
    </row>
    <row r="562" spans="9:14" s="136" customFormat="1">
      <c r="I562" s="144"/>
      <c r="K562" s="144"/>
      <c r="L562" s="144"/>
      <c r="M562" s="144"/>
      <c r="N562" s="144"/>
    </row>
    <row r="563" spans="9:14" s="136" customFormat="1">
      <c r="I563" s="144"/>
      <c r="K563" s="144"/>
      <c r="L563" s="144"/>
      <c r="M563" s="144"/>
      <c r="N563" s="144"/>
    </row>
    <row r="564" spans="9:14" s="136" customFormat="1">
      <c r="I564" s="144"/>
      <c r="K564" s="144"/>
      <c r="L564" s="144"/>
      <c r="M564" s="144"/>
      <c r="N564" s="144"/>
    </row>
    <row r="565" spans="9:14" s="136" customFormat="1">
      <c r="I565" s="144"/>
      <c r="K565" s="144"/>
      <c r="L565" s="144"/>
      <c r="M565" s="144"/>
      <c r="N565" s="144"/>
    </row>
    <row r="566" spans="9:14" s="136" customFormat="1">
      <c r="I566" s="144"/>
      <c r="K566" s="144"/>
      <c r="L566" s="144"/>
      <c r="M566" s="144"/>
      <c r="N566" s="144"/>
    </row>
    <row r="567" spans="9:14" s="136" customFormat="1">
      <c r="I567" s="144"/>
      <c r="K567" s="144"/>
      <c r="L567" s="144"/>
      <c r="M567" s="144"/>
      <c r="N567" s="144"/>
    </row>
    <row r="568" spans="9:14" s="136" customFormat="1">
      <c r="I568" s="144"/>
      <c r="K568" s="144"/>
      <c r="L568" s="144"/>
      <c r="M568" s="144"/>
      <c r="N568" s="144"/>
    </row>
    <row r="569" spans="9:14" s="136" customFormat="1">
      <c r="I569" s="144"/>
      <c r="K569" s="144"/>
      <c r="L569" s="144"/>
      <c r="M569" s="144"/>
      <c r="N569" s="144"/>
    </row>
    <row r="570" spans="9:14" s="136" customFormat="1">
      <c r="I570" s="144"/>
      <c r="K570" s="144"/>
      <c r="L570" s="144"/>
      <c r="M570" s="144"/>
      <c r="N570" s="144"/>
    </row>
    <row r="571" spans="9:14" s="136" customFormat="1">
      <c r="I571" s="144"/>
      <c r="K571" s="144"/>
      <c r="L571" s="144"/>
      <c r="M571" s="144"/>
      <c r="N571" s="144"/>
    </row>
    <row r="572" spans="9:14" s="136" customFormat="1">
      <c r="I572" s="144"/>
      <c r="K572" s="144"/>
      <c r="L572" s="144"/>
      <c r="M572" s="144"/>
      <c r="N572" s="144"/>
    </row>
    <row r="573" spans="9:14" s="136" customFormat="1">
      <c r="I573" s="144"/>
      <c r="K573" s="144"/>
      <c r="L573" s="144"/>
      <c r="M573" s="144"/>
      <c r="N573" s="144"/>
    </row>
    <row r="574" spans="9:14" s="136" customFormat="1">
      <c r="I574" s="144"/>
      <c r="K574" s="144"/>
      <c r="L574" s="144"/>
      <c r="M574" s="144"/>
      <c r="N574" s="144"/>
    </row>
    <row r="575" spans="9:14" s="136" customFormat="1">
      <c r="I575" s="144"/>
      <c r="K575" s="144"/>
      <c r="L575" s="144"/>
      <c r="M575" s="144"/>
      <c r="N575" s="144"/>
    </row>
    <row r="576" spans="9:14" s="136" customFormat="1">
      <c r="I576" s="144"/>
      <c r="K576" s="144"/>
      <c r="L576" s="144"/>
      <c r="M576" s="144"/>
      <c r="N576" s="144"/>
    </row>
    <row r="577" spans="9:14" s="136" customFormat="1">
      <c r="I577" s="144"/>
      <c r="K577" s="144"/>
      <c r="L577" s="144"/>
      <c r="M577" s="144"/>
      <c r="N577" s="144"/>
    </row>
    <row r="578" spans="9:14" s="136" customFormat="1">
      <c r="I578" s="144"/>
      <c r="K578" s="144"/>
      <c r="L578" s="144"/>
      <c r="M578" s="144"/>
      <c r="N578" s="144"/>
    </row>
    <row r="579" spans="9:14" s="136" customFormat="1">
      <c r="I579" s="144"/>
      <c r="K579" s="144"/>
      <c r="L579" s="144"/>
      <c r="M579" s="144"/>
      <c r="N579" s="144"/>
    </row>
    <row r="580" spans="9:14" s="136" customFormat="1">
      <c r="I580" s="144"/>
      <c r="K580" s="144"/>
      <c r="L580" s="144"/>
      <c r="M580" s="144"/>
      <c r="N580" s="144"/>
    </row>
    <row r="581" spans="9:14" s="136" customFormat="1">
      <c r="I581" s="144"/>
      <c r="K581" s="144"/>
      <c r="L581" s="144"/>
      <c r="M581" s="144"/>
      <c r="N581" s="144"/>
    </row>
    <row r="582" spans="9:14" s="136" customFormat="1">
      <c r="I582" s="144"/>
      <c r="K582" s="144"/>
      <c r="L582" s="144"/>
      <c r="M582" s="144"/>
      <c r="N582" s="144"/>
    </row>
    <row r="583" spans="9:14" s="136" customFormat="1">
      <c r="I583" s="144"/>
      <c r="K583" s="144"/>
      <c r="L583" s="144"/>
      <c r="M583" s="144"/>
      <c r="N583" s="144"/>
    </row>
    <row r="584" spans="9:14" s="136" customFormat="1">
      <c r="I584" s="144"/>
      <c r="K584" s="144"/>
      <c r="L584" s="144"/>
      <c r="M584" s="144"/>
      <c r="N584" s="144"/>
    </row>
    <row r="585" spans="9:14" s="136" customFormat="1">
      <c r="I585" s="144"/>
      <c r="K585" s="144"/>
      <c r="L585" s="144"/>
      <c r="M585" s="144"/>
      <c r="N585" s="144"/>
    </row>
    <row r="586" spans="9:14" s="136" customFormat="1">
      <c r="I586" s="144"/>
      <c r="K586" s="144"/>
      <c r="L586" s="144"/>
      <c r="M586" s="144"/>
      <c r="N586" s="144"/>
    </row>
    <row r="587" spans="9:14" s="136" customFormat="1">
      <c r="I587" s="144"/>
      <c r="K587" s="144"/>
      <c r="L587" s="144"/>
      <c r="M587" s="144"/>
      <c r="N587" s="144"/>
    </row>
    <row r="588" spans="9:14" s="136" customFormat="1">
      <c r="I588" s="144"/>
      <c r="K588" s="144"/>
      <c r="L588" s="144"/>
      <c r="M588" s="144"/>
      <c r="N588" s="144"/>
    </row>
    <row r="589" spans="9:14" s="136" customFormat="1">
      <c r="I589" s="144"/>
      <c r="K589" s="144"/>
      <c r="L589" s="144"/>
      <c r="M589" s="144"/>
      <c r="N589" s="144"/>
    </row>
    <row r="590" spans="9:14" s="136" customFormat="1">
      <c r="I590" s="144"/>
      <c r="K590" s="144"/>
      <c r="L590" s="144"/>
      <c r="M590" s="144"/>
      <c r="N590" s="144"/>
    </row>
    <row r="591" spans="9:14" s="136" customFormat="1">
      <c r="I591" s="144"/>
      <c r="K591" s="144"/>
      <c r="L591" s="144"/>
      <c r="M591" s="144"/>
      <c r="N591" s="144"/>
    </row>
    <row r="592" spans="9:14" s="136" customFormat="1">
      <c r="I592" s="144"/>
      <c r="K592" s="144"/>
      <c r="L592" s="144"/>
      <c r="M592" s="144"/>
      <c r="N592" s="144"/>
    </row>
    <row r="593" spans="9:14" s="136" customFormat="1">
      <c r="I593" s="144"/>
      <c r="K593" s="144"/>
      <c r="L593" s="144"/>
      <c r="M593" s="144"/>
      <c r="N593" s="144"/>
    </row>
    <row r="594" spans="9:14" s="136" customFormat="1">
      <c r="I594" s="144"/>
      <c r="K594" s="144"/>
      <c r="L594" s="144"/>
      <c r="M594" s="144"/>
      <c r="N594" s="144"/>
    </row>
    <row r="595" spans="9:14" s="136" customFormat="1">
      <c r="I595" s="144"/>
      <c r="K595" s="144"/>
      <c r="L595" s="144"/>
      <c r="M595" s="144"/>
      <c r="N595" s="144"/>
    </row>
    <row r="596" spans="9:14" s="136" customFormat="1">
      <c r="I596" s="144"/>
      <c r="K596" s="144"/>
      <c r="L596" s="144"/>
      <c r="M596" s="144"/>
      <c r="N596" s="144"/>
    </row>
    <row r="597" spans="9:14" s="136" customFormat="1">
      <c r="I597" s="144"/>
      <c r="K597" s="144"/>
      <c r="L597" s="144"/>
      <c r="M597" s="144"/>
      <c r="N597" s="144"/>
    </row>
    <row r="598" spans="9:14" s="136" customFormat="1">
      <c r="I598" s="144"/>
      <c r="K598" s="144"/>
      <c r="L598" s="144"/>
      <c r="M598" s="144"/>
      <c r="N598" s="144"/>
    </row>
    <row r="599" spans="9:14" s="136" customFormat="1">
      <c r="I599" s="144"/>
      <c r="K599" s="144"/>
      <c r="L599" s="144"/>
      <c r="M599" s="144"/>
      <c r="N599" s="144"/>
    </row>
    <row r="600" spans="9:14" s="136" customFormat="1">
      <c r="I600" s="144"/>
      <c r="K600" s="144"/>
      <c r="L600" s="144"/>
      <c r="M600" s="144"/>
      <c r="N600" s="144"/>
    </row>
    <row r="601" spans="9:14" s="136" customFormat="1">
      <c r="I601" s="144"/>
      <c r="K601" s="144"/>
      <c r="L601" s="144"/>
      <c r="M601" s="144"/>
      <c r="N601" s="144"/>
    </row>
    <row r="602" spans="9:14" s="136" customFormat="1">
      <c r="I602" s="144"/>
      <c r="K602" s="144"/>
      <c r="L602" s="144"/>
      <c r="M602" s="144"/>
      <c r="N602" s="144"/>
    </row>
    <row r="603" spans="9:14" s="136" customFormat="1">
      <c r="I603" s="144"/>
      <c r="K603" s="144"/>
      <c r="L603" s="144"/>
      <c r="M603" s="144"/>
      <c r="N603" s="144"/>
    </row>
    <row r="604" spans="9:14" s="136" customFormat="1">
      <c r="I604" s="144"/>
      <c r="K604" s="144"/>
      <c r="L604" s="144"/>
      <c r="M604" s="144"/>
      <c r="N604" s="144"/>
    </row>
    <row r="605" spans="9:14" s="136" customFormat="1">
      <c r="I605" s="144"/>
      <c r="K605" s="144"/>
      <c r="L605" s="144"/>
      <c r="M605" s="144"/>
      <c r="N605" s="144"/>
    </row>
    <row r="606" spans="9:14" s="136" customFormat="1">
      <c r="I606" s="144"/>
      <c r="K606" s="144"/>
      <c r="L606" s="144"/>
      <c r="M606" s="144"/>
      <c r="N606" s="144"/>
    </row>
    <row r="607" spans="9:14" s="136" customFormat="1">
      <c r="I607" s="144"/>
      <c r="K607" s="144"/>
      <c r="L607" s="144"/>
      <c r="M607" s="144"/>
      <c r="N607" s="144"/>
    </row>
    <row r="608" spans="9:14" s="136" customFormat="1">
      <c r="I608" s="144"/>
      <c r="K608" s="144"/>
      <c r="L608" s="144"/>
      <c r="M608" s="144"/>
      <c r="N608" s="144"/>
    </row>
    <row r="609" spans="9:14" s="136" customFormat="1">
      <c r="I609" s="144"/>
      <c r="K609" s="144"/>
      <c r="L609" s="144"/>
      <c r="M609" s="144"/>
      <c r="N609" s="144"/>
    </row>
    <row r="610" spans="9:14" s="136" customFormat="1">
      <c r="I610" s="144"/>
      <c r="K610" s="144"/>
      <c r="L610" s="144"/>
      <c r="M610" s="144"/>
      <c r="N610" s="144"/>
    </row>
    <row r="611" spans="9:14" s="136" customFormat="1">
      <c r="I611" s="144"/>
      <c r="K611" s="144"/>
      <c r="L611" s="144"/>
      <c r="M611" s="144"/>
      <c r="N611" s="144"/>
    </row>
    <row r="612" spans="9:14" s="136" customFormat="1">
      <c r="I612" s="144"/>
      <c r="K612" s="144"/>
      <c r="L612" s="144"/>
      <c r="M612" s="144"/>
      <c r="N612" s="144"/>
    </row>
    <row r="613" spans="9:14" s="136" customFormat="1">
      <c r="I613" s="144"/>
      <c r="K613" s="144"/>
      <c r="L613" s="144"/>
      <c r="M613" s="144"/>
      <c r="N613" s="144"/>
    </row>
    <row r="614" spans="9:14" s="136" customFormat="1">
      <c r="I614" s="144"/>
      <c r="K614" s="144"/>
      <c r="L614" s="144"/>
      <c r="M614" s="144"/>
      <c r="N614" s="144"/>
    </row>
    <row r="615" spans="9:14" s="136" customFormat="1">
      <c r="I615" s="144"/>
      <c r="K615" s="144"/>
      <c r="L615" s="144"/>
      <c r="M615" s="144"/>
      <c r="N615" s="144"/>
    </row>
    <row r="616" spans="9:14" s="136" customFormat="1">
      <c r="I616" s="144"/>
      <c r="K616" s="144"/>
      <c r="L616" s="144"/>
      <c r="M616" s="144"/>
      <c r="N616" s="144"/>
    </row>
    <row r="617" spans="9:14" s="136" customFormat="1">
      <c r="I617" s="144"/>
      <c r="K617" s="144"/>
      <c r="L617" s="144"/>
      <c r="M617" s="144"/>
      <c r="N617" s="144"/>
    </row>
    <row r="618" spans="9:14" s="136" customFormat="1">
      <c r="I618" s="144"/>
      <c r="K618" s="144"/>
      <c r="L618" s="144"/>
      <c r="M618" s="144"/>
      <c r="N618" s="144"/>
    </row>
    <row r="619" spans="9:14" s="136" customFormat="1">
      <c r="I619" s="144"/>
      <c r="K619" s="144"/>
      <c r="L619" s="144"/>
      <c r="M619" s="144"/>
      <c r="N619" s="144"/>
    </row>
    <row r="620" spans="9:14" s="136" customFormat="1">
      <c r="I620" s="144"/>
      <c r="K620" s="144"/>
      <c r="L620" s="144"/>
      <c r="M620" s="144"/>
      <c r="N620" s="144"/>
    </row>
    <row r="621" spans="9:14" s="136" customFormat="1">
      <c r="I621" s="144"/>
      <c r="K621" s="144"/>
      <c r="L621" s="144"/>
      <c r="M621" s="144"/>
      <c r="N621" s="144"/>
    </row>
    <row r="622" spans="9:14" s="136" customFormat="1">
      <c r="I622" s="144"/>
      <c r="K622" s="144"/>
      <c r="L622" s="144"/>
      <c r="M622" s="144"/>
      <c r="N622" s="144"/>
    </row>
    <row r="623" spans="9:14" s="136" customFormat="1">
      <c r="I623" s="144"/>
      <c r="K623" s="144"/>
      <c r="L623" s="144"/>
      <c r="M623" s="144"/>
      <c r="N623" s="144"/>
    </row>
    <row r="624" spans="9:14" s="136" customFormat="1">
      <c r="I624" s="144"/>
      <c r="K624" s="144"/>
      <c r="L624" s="144"/>
      <c r="M624" s="144"/>
      <c r="N624" s="144"/>
    </row>
    <row r="625" spans="9:14" s="136" customFormat="1">
      <c r="I625" s="144"/>
      <c r="K625" s="144"/>
      <c r="L625" s="144"/>
      <c r="M625" s="144"/>
      <c r="N625" s="144"/>
    </row>
    <row r="626" spans="9:14" s="136" customFormat="1">
      <c r="I626" s="144"/>
      <c r="K626" s="144"/>
      <c r="L626" s="144"/>
      <c r="M626" s="144"/>
      <c r="N626" s="144"/>
    </row>
    <row r="627" spans="9:14" s="136" customFormat="1">
      <c r="I627" s="144"/>
      <c r="K627" s="144"/>
      <c r="L627" s="144"/>
      <c r="M627" s="144"/>
      <c r="N627" s="144"/>
    </row>
    <row r="628" spans="9:14" s="136" customFormat="1">
      <c r="I628" s="144"/>
      <c r="K628" s="144"/>
      <c r="L628" s="144"/>
      <c r="M628" s="144"/>
      <c r="N628" s="144"/>
    </row>
    <row r="629" spans="9:14" s="136" customFormat="1">
      <c r="I629" s="144"/>
      <c r="K629" s="144"/>
      <c r="L629" s="144"/>
      <c r="M629" s="144"/>
      <c r="N629" s="144"/>
    </row>
    <row r="630" spans="9:14" s="136" customFormat="1">
      <c r="I630" s="144"/>
      <c r="K630" s="144"/>
      <c r="L630" s="144"/>
      <c r="M630" s="144"/>
      <c r="N630" s="144"/>
    </row>
    <row r="631" spans="9:14" s="136" customFormat="1">
      <c r="I631" s="144"/>
      <c r="K631" s="144"/>
      <c r="L631" s="144"/>
      <c r="M631" s="144"/>
      <c r="N631" s="144"/>
    </row>
    <row r="632" spans="9:14" s="136" customFormat="1">
      <c r="I632" s="144"/>
      <c r="K632" s="144"/>
      <c r="L632" s="144"/>
      <c r="M632" s="144"/>
      <c r="N632" s="144"/>
    </row>
    <row r="633" spans="9:14" s="136" customFormat="1">
      <c r="I633" s="144"/>
      <c r="K633" s="144"/>
      <c r="L633" s="144"/>
      <c r="M633" s="144"/>
      <c r="N633" s="144"/>
    </row>
    <row r="634" spans="9:14" s="136" customFormat="1">
      <c r="I634" s="144"/>
      <c r="K634" s="144"/>
      <c r="L634" s="144"/>
      <c r="M634" s="144"/>
      <c r="N634" s="144"/>
    </row>
    <row r="635" spans="9:14" s="136" customFormat="1">
      <c r="I635" s="144"/>
      <c r="K635" s="144"/>
      <c r="L635" s="144"/>
      <c r="M635" s="144"/>
      <c r="N635" s="144"/>
    </row>
    <row r="636" spans="9:14" s="136" customFormat="1">
      <c r="I636" s="144"/>
      <c r="K636" s="144"/>
      <c r="L636" s="144"/>
      <c r="M636" s="144"/>
      <c r="N636" s="144"/>
    </row>
    <row r="637" spans="9:14" s="136" customFormat="1">
      <c r="I637" s="144"/>
      <c r="K637" s="144"/>
      <c r="L637" s="144"/>
      <c r="M637" s="144"/>
      <c r="N637" s="144"/>
    </row>
    <row r="638" spans="9:14" s="136" customFormat="1">
      <c r="I638" s="144"/>
      <c r="K638" s="144"/>
      <c r="L638" s="144"/>
      <c r="M638" s="144"/>
      <c r="N638" s="144"/>
    </row>
    <row r="639" spans="9:14" s="136" customFormat="1">
      <c r="I639" s="144"/>
      <c r="K639" s="144"/>
      <c r="L639" s="144"/>
      <c r="M639" s="144"/>
      <c r="N639" s="144"/>
    </row>
    <row r="640" spans="9:14" s="136" customFormat="1">
      <c r="I640" s="144"/>
      <c r="K640" s="144"/>
      <c r="L640" s="144"/>
      <c r="M640" s="144"/>
      <c r="N640" s="144"/>
    </row>
  </sheetData>
  <mergeCells count="32">
    <mergeCell ref="L110:L116"/>
    <mergeCell ref="M110:M116"/>
    <mergeCell ref="A129:L129"/>
    <mergeCell ref="A132:K132"/>
    <mergeCell ref="N110:N116"/>
    <mergeCell ref="C111:E111"/>
    <mergeCell ref="G113:H113"/>
    <mergeCell ref="C114:E114"/>
    <mergeCell ref="G115:H115"/>
    <mergeCell ref="C116:E116"/>
    <mergeCell ref="G116:H116"/>
    <mergeCell ref="A28:I28"/>
    <mergeCell ref="E71:H76"/>
    <mergeCell ref="A110:A116"/>
    <mergeCell ref="J110:J116"/>
    <mergeCell ref="K110:K116"/>
    <mergeCell ref="A1:N1"/>
    <mergeCell ref="A2:N2"/>
    <mergeCell ref="J4:K4"/>
    <mergeCell ref="A11:N11"/>
    <mergeCell ref="A127:I127"/>
    <mergeCell ref="J5:K5"/>
    <mergeCell ref="J6:K6"/>
    <mergeCell ref="J7:K7"/>
    <mergeCell ref="J8:K8"/>
    <mergeCell ref="J9:K9"/>
    <mergeCell ref="J10:K10"/>
    <mergeCell ref="A14:J14"/>
    <mergeCell ref="B15:J15"/>
    <mergeCell ref="A17:J17"/>
    <mergeCell ref="A23:I23"/>
    <mergeCell ref="A27:I27"/>
  </mergeCells>
  <dataValidations count="1">
    <dataValidation allowBlank="1" showInputMessage="1" showErrorMessage="1" promptTitle="Orientação de preenchimento" prompt="A data da proposta deve ser informada pela licitante na aba &quot;Memorial&quot;" sqref="L4 J4" xr:uid="{00000000-0002-0000-0900-000000000000}"/>
  </dataValidation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AAEE7A-61BB-41F3-B1B8-33CABD0AED9D}">
  <dimension ref="A1:C14"/>
  <sheetViews>
    <sheetView zoomScaleNormal="100" workbookViewId="0">
      <selection activeCell="B5" sqref="B5"/>
    </sheetView>
  </sheetViews>
  <sheetFormatPr defaultColWidth="9" defaultRowHeight="14.25"/>
  <cols>
    <col min="1" max="1" width="9" style="577"/>
    <col min="2" max="2" width="66.875" style="582" customWidth="1"/>
    <col min="3" max="3" width="9" style="581"/>
    <col min="4" max="16384" width="9" style="577"/>
  </cols>
  <sheetData>
    <row r="1" spans="1:3" ht="15">
      <c r="A1" s="575" t="s">
        <v>549</v>
      </c>
      <c r="B1" s="575" t="s">
        <v>539</v>
      </c>
      <c r="C1" s="576" t="s">
        <v>540</v>
      </c>
    </row>
    <row r="2" spans="1:3" ht="45">
      <c r="A2" s="1281" t="s">
        <v>0</v>
      </c>
      <c r="B2" s="578" t="s">
        <v>534</v>
      </c>
      <c r="C2" s="578" t="s">
        <v>542</v>
      </c>
    </row>
    <row r="3" spans="1:3" ht="45">
      <c r="A3" s="1281"/>
      <c r="B3" s="578" t="s">
        <v>535</v>
      </c>
      <c r="C3" s="578">
        <v>2023</v>
      </c>
    </row>
    <row r="4" spans="1:3" ht="45">
      <c r="A4" s="1281"/>
      <c r="B4" s="578" t="s">
        <v>536</v>
      </c>
      <c r="C4" s="578" t="s">
        <v>541</v>
      </c>
    </row>
    <row r="5" spans="1:3" ht="15">
      <c r="A5" s="1281"/>
      <c r="B5" s="578" t="s">
        <v>537</v>
      </c>
      <c r="C5" s="578" t="s">
        <v>543</v>
      </c>
    </row>
    <row r="6" spans="1:3" ht="15">
      <c r="A6" s="1281"/>
      <c r="B6" s="578" t="s">
        <v>538</v>
      </c>
      <c r="C6" s="578" t="s">
        <v>548</v>
      </c>
    </row>
    <row r="7" spans="1:3" ht="5.25" customHeight="1">
      <c r="A7" s="579"/>
      <c r="B7" s="580"/>
      <c r="C7" s="578"/>
    </row>
    <row r="8" spans="1:3" ht="60">
      <c r="A8" s="1282" t="s">
        <v>62</v>
      </c>
      <c r="B8" s="578" t="s">
        <v>565</v>
      </c>
      <c r="C8" s="578" t="s">
        <v>542</v>
      </c>
    </row>
    <row r="9" spans="1:3" ht="45">
      <c r="A9" s="1283"/>
      <c r="B9" s="578" t="s">
        <v>550</v>
      </c>
      <c r="C9" s="578">
        <v>2023</v>
      </c>
    </row>
    <row r="10" spans="1:3" ht="45">
      <c r="A10" s="1283"/>
      <c r="B10" s="578" t="s">
        <v>544</v>
      </c>
      <c r="C10" s="578" t="s">
        <v>547</v>
      </c>
    </row>
    <row r="11" spans="1:3" ht="15">
      <c r="A11" s="1283"/>
      <c r="B11" s="578" t="s">
        <v>545</v>
      </c>
      <c r="C11" s="578">
        <v>2011</v>
      </c>
    </row>
    <row r="12" spans="1:3" ht="15">
      <c r="A12" s="1283"/>
      <c r="B12" s="578" t="s">
        <v>546</v>
      </c>
      <c r="C12" s="578">
        <v>2021</v>
      </c>
    </row>
    <row r="13" spans="1:3" ht="15">
      <c r="A13" s="1284"/>
      <c r="B13" s="578" t="s">
        <v>588</v>
      </c>
      <c r="C13" s="578">
        <v>2017</v>
      </c>
    </row>
    <row r="14" spans="1:3">
      <c r="B14" s="581"/>
    </row>
  </sheetData>
  <mergeCells count="2">
    <mergeCell ref="A2:A6"/>
    <mergeCell ref="A8:A13"/>
  </mergeCells>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Planilha9"/>
  <dimension ref="B1:I111"/>
  <sheetViews>
    <sheetView showGridLines="0" topLeftCell="A61" workbookViewId="0">
      <selection activeCell="D69" sqref="D69:D76"/>
    </sheetView>
  </sheetViews>
  <sheetFormatPr defaultColWidth="8" defaultRowHeight="12"/>
  <cols>
    <col min="1" max="1" width="2.125" style="355" customWidth="1"/>
    <col min="2" max="2" width="9.875" style="355" customWidth="1"/>
    <col min="3" max="3" width="34" style="355" customWidth="1"/>
    <col min="4" max="4" width="25.625" style="355" customWidth="1"/>
    <col min="5" max="5" width="61.625" style="355" customWidth="1"/>
    <col min="6" max="6" width="59.375" style="355" customWidth="1"/>
    <col min="7" max="7" width="43.625" style="374" customWidth="1"/>
    <col min="8" max="8" width="12.375" style="355" bestFit="1" customWidth="1"/>
    <col min="9" max="9" width="17" style="355" bestFit="1" customWidth="1"/>
    <col min="10" max="10" width="12" style="355" bestFit="1" customWidth="1"/>
    <col min="11" max="12" width="8.375" style="355" bestFit="1" customWidth="1"/>
    <col min="13" max="13" width="8.875" style="355" bestFit="1" customWidth="1"/>
    <col min="14" max="14" width="8.125" style="355" bestFit="1" customWidth="1"/>
    <col min="15" max="15" width="12.125" style="355" customWidth="1"/>
    <col min="16" max="16384" width="8" style="355"/>
  </cols>
  <sheetData>
    <row r="1" spans="2:9">
      <c r="B1" s="356"/>
      <c r="C1" s="356"/>
      <c r="D1" s="356"/>
      <c r="E1" s="356"/>
      <c r="F1" s="356"/>
      <c r="G1" s="356"/>
      <c r="H1" s="356"/>
      <c r="I1" s="356"/>
    </row>
    <row r="2" spans="2:9">
      <c r="B2" s="356" t="s">
        <v>263</v>
      </c>
      <c r="C2" s="356"/>
      <c r="D2" s="356"/>
      <c r="E2" s="356"/>
      <c r="F2" s="356"/>
      <c r="G2" s="356"/>
      <c r="H2" s="356"/>
      <c r="I2" s="356"/>
    </row>
    <row r="3" spans="2:9">
      <c r="B3" s="356"/>
      <c r="C3" s="356"/>
      <c r="D3" s="356"/>
      <c r="E3" s="356"/>
      <c r="F3" s="356"/>
      <c r="G3" s="356"/>
      <c r="H3" s="356"/>
      <c r="I3" s="356"/>
    </row>
    <row r="4" spans="2:9">
      <c r="B4" s="367" t="s">
        <v>267</v>
      </c>
      <c r="C4" s="376"/>
      <c r="D4" s="376"/>
      <c r="G4" s="355"/>
    </row>
    <row r="5" spans="2:9">
      <c r="B5" s="371">
        <v>1</v>
      </c>
      <c r="C5" s="357" t="s">
        <v>268</v>
      </c>
      <c r="D5" s="358"/>
      <c r="E5" s="359" t="s">
        <v>5</v>
      </c>
      <c r="F5" s="359" t="s">
        <v>6</v>
      </c>
      <c r="G5" s="356"/>
      <c r="H5" s="356"/>
      <c r="I5" s="356"/>
    </row>
    <row r="6" spans="2:9" ht="26.25" customHeight="1">
      <c r="B6" s="360" t="s">
        <v>7</v>
      </c>
      <c r="C6" s="361" t="s">
        <v>71</v>
      </c>
      <c r="D6" s="368" t="s">
        <v>341</v>
      </c>
      <c r="E6" s="450" t="s">
        <v>7</v>
      </c>
      <c r="F6" s="364" t="s">
        <v>297</v>
      </c>
      <c r="I6" s="356"/>
    </row>
    <row r="7" spans="2:9" s="455" customFormat="1" ht="17.25" customHeight="1">
      <c r="B7" s="360" t="s">
        <v>9</v>
      </c>
      <c r="C7" s="361" t="s">
        <v>72</v>
      </c>
      <c r="D7" s="451">
        <v>0.3</v>
      </c>
      <c r="E7" s="452" t="s">
        <v>342</v>
      </c>
      <c r="F7" s="453" t="s">
        <v>343</v>
      </c>
      <c r="G7" s="454"/>
      <c r="H7" s="454"/>
      <c r="I7" s="454"/>
    </row>
    <row r="8" spans="2:9">
      <c r="B8" s="356"/>
      <c r="C8" s="356"/>
      <c r="D8" s="356"/>
      <c r="E8" s="356"/>
      <c r="F8" s="356"/>
      <c r="G8" s="356"/>
      <c r="H8" s="356"/>
      <c r="I8" s="356"/>
    </row>
    <row r="9" spans="2:9">
      <c r="B9" s="356"/>
      <c r="C9" s="356"/>
      <c r="D9" s="356"/>
      <c r="E9" s="356"/>
      <c r="F9" s="356"/>
      <c r="G9" s="356"/>
      <c r="H9" s="356"/>
      <c r="I9" s="356"/>
    </row>
    <row r="10" spans="2:9">
      <c r="B10" s="367" t="s">
        <v>269</v>
      </c>
      <c r="C10" s="376"/>
      <c r="D10" s="376"/>
      <c r="G10" s="355"/>
    </row>
    <row r="11" spans="2:9">
      <c r="B11" s="367" t="s">
        <v>264</v>
      </c>
      <c r="C11" s="376"/>
      <c r="D11" s="376"/>
      <c r="G11" s="355"/>
    </row>
    <row r="12" spans="2:9">
      <c r="B12" s="371" t="s">
        <v>266</v>
      </c>
      <c r="C12" s="357" t="s">
        <v>25</v>
      </c>
      <c r="D12" s="358" t="s">
        <v>4</v>
      </c>
      <c r="E12" s="359" t="s">
        <v>5</v>
      </c>
      <c r="F12" s="359" t="s">
        <v>6</v>
      </c>
      <c r="G12" s="355"/>
    </row>
    <row r="13" spans="2:9" ht="24">
      <c r="B13" s="360" t="s">
        <v>7</v>
      </c>
      <c r="C13" s="361" t="s">
        <v>25</v>
      </c>
      <c r="D13" s="451">
        <f>ROUND((1/12),4)</f>
        <v>8.3299999999999999E-2</v>
      </c>
      <c r="E13" s="456" t="s">
        <v>344</v>
      </c>
      <c r="F13" s="457" t="s">
        <v>26</v>
      </c>
      <c r="G13" s="355"/>
    </row>
    <row r="14" spans="2:9" ht="36">
      <c r="B14" s="360" t="s">
        <v>9</v>
      </c>
      <c r="C14" s="361" t="s">
        <v>27</v>
      </c>
      <c r="D14" s="451">
        <f>ROUND((1/36),4)</f>
        <v>2.7799999999999998E-2</v>
      </c>
      <c r="E14" s="458" t="s">
        <v>345</v>
      </c>
      <c r="F14" s="453" t="s">
        <v>346</v>
      </c>
      <c r="G14" s="355"/>
      <c r="H14" s="373"/>
    </row>
    <row r="15" spans="2:9">
      <c r="B15" s="365" t="s">
        <v>24</v>
      </c>
      <c r="C15" s="365"/>
      <c r="D15" s="366">
        <f>SUM(D13:D14)</f>
        <v>0.1111</v>
      </c>
      <c r="G15" s="355"/>
    </row>
    <row r="16" spans="2:9">
      <c r="B16" s="356"/>
      <c r="C16" s="356"/>
      <c r="D16" s="356"/>
      <c r="E16" s="356"/>
      <c r="F16" s="356"/>
      <c r="G16" s="355"/>
      <c r="H16" s="356"/>
      <c r="I16" s="356"/>
    </row>
    <row r="17" spans="2:9">
      <c r="B17" s="356"/>
      <c r="C17" s="356"/>
      <c r="D17" s="356"/>
      <c r="E17" s="356"/>
      <c r="F17" s="356"/>
      <c r="G17" s="355"/>
      <c r="H17" s="356"/>
      <c r="I17" s="356"/>
    </row>
    <row r="18" spans="2:9">
      <c r="B18" s="356"/>
      <c r="C18" s="356"/>
      <c r="D18" s="356"/>
      <c r="E18" s="356"/>
      <c r="F18" s="356"/>
      <c r="G18" s="356"/>
      <c r="H18" s="356"/>
      <c r="I18" s="356"/>
    </row>
    <row r="19" spans="2:9">
      <c r="B19" s="459" t="s">
        <v>347</v>
      </c>
      <c r="C19" s="459"/>
      <c r="D19" s="356"/>
      <c r="E19" s="356"/>
      <c r="F19" s="356"/>
      <c r="G19" s="356"/>
      <c r="H19" s="356"/>
      <c r="I19" s="356"/>
    </row>
    <row r="20" spans="2:9">
      <c r="B20" s="367" t="s">
        <v>265</v>
      </c>
      <c r="C20" s="376"/>
      <c r="D20" s="376"/>
      <c r="G20" s="355"/>
    </row>
    <row r="21" spans="2:9" ht="24">
      <c r="B21" s="371" t="s">
        <v>2</v>
      </c>
      <c r="C21" s="357" t="s">
        <v>3</v>
      </c>
      <c r="D21" s="358" t="s">
        <v>4</v>
      </c>
      <c r="E21" s="359" t="s">
        <v>5</v>
      </c>
      <c r="F21" s="359" t="s">
        <v>6</v>
      </c>
      <c r="G21" s="355"/>
    </row>
    <row r="22" spans="2:9" s="461" customFormat="1">
      <c r="B22" s="360" t="s">
        <v>7</v>
      </c>
      <c r="C22" s="361" t="s">
        <v>8</v>
      </c>
      <c r="D22" s="363">
        <v>0.2</v>
      </c>
      <c r="E22" s="460" t="s">
        <v>1</v>
      </c>
      <c r="F22" s="457" t="s">
        <v>348</v>
      </c>
      <c r="G22" s="355"/>
    </row>
    <row r="23" spans="2:9">
      <c r="B23" s="360" t="s">
        <v>9</v>
      </c>
      <c r="C23" s="361" t="s">
        <v>10</v>
      </c>
      <c r="D23" s="363">
        <v>2.5000000000000001E-2</v>
      </c>
      <c r="E23" s="460" t="s">
        <v>1</v>
      </c>
      <c r="F23" s="457" t="s">
        <v>349</v>
      </c>
      <c r="G23" s="355"/>
    </row>
    <row r="24" spans="2:9" ht="48">
      <c r="B24" s="360" t="s">
        <v>11</v>
      </c>
      <c r="C24" s="361" t="s">
        <v>12</v>
      </c>
      <c r="D24" s="363">
        <v>0.03</v>
      </c>
      <c r="E24" s="462" t="s">
        <v>350</v>
      </c>
      <c r="F24" s="453" t="s">
        <v>351</v>
      </c>
      <c r="G24" s="355"/>
    </row>
    <row r="25" spans="2:9">
      <c r="B25" s="360" t="s">
        <v>13</v>
      </c>
      <c r="C25" s="361" t="s">
        <v>14</v>
      </c>
      <c r="D25" s="363">
        <v>1.4999999999999999E-2</v>
      </c>
      <c r="E25" s="460" t="s">
        <v>1</v>
      </c>
      <c r="F25" s="457" t="s">
        <v>352</v>
      </c>
      <c r="G25" s="355"/>
    </row>
    <row r="26" spans="2:9">
      <c r="B26" s="360" t="s">
        <v>15</v>
      </c>
      <c r="C26" s="361" t="s">
        <v>16</v>
      </c>
      <c r="D26" s="363">
        <v>0.01</v>
      </c>
      <c r="E26" s="460" t="s">
        <v>1</v>
      </c>
      <c r="F26" s="457" t="s">
        <v>17</v>
      </c>
      <c r="G26" s="355"/>
    </row>
    <row r="27" spans="2:9">
      <c r="B27" s="360" t="s">
        <v>18</v>
      </c>
      <c r="C27" s="361" t="s">
        <v>19</v>
      </c>
      <c r="D27" s="363">
        <v>6.0000000000000001E-3</v>
      </c>
      <c r="E27" s="460" t="s">
        <v>1</v>
      </c>
      <c r="F27" s="457" t="s">
        <v>353</v>
      </c>
      <c r="G27" s="355"/>
    </row>
    <row r="28" spans="2:9">
      <c r="B28" s="360" t="s">
        <v>20</v>
      </c>
      <c r="C28" s="361" t="s">
        <v>21</v>
      </c>
      <c r="D28" s="363">
        <v>2E-3</v>
      </c>
      <c r="E28" s="460" t="s">
        <v>1</v>
      </c>
      <c r="F28" s="457" t="s">
        <v>354</v>
      </c>
      <c r="G28" s="355"/>
    </row>
    <row r="29" spans="2:9">
      <c r="B29" s="360" t="s">
        <v>22</v>
      </c>
      <c r="C29" s="361" t="s">
        <v>23</v>
      </c>
      <c r="D29" s="363">
        <v>0.08</v>
      </c>
      <c r="E29" s="460" t="s">
        <v>1</v>
      </c>
      <c r="F29" s="457" t="s">
        <v>355</v>
      </c>
      <c r="G29" s="355"/>
    </row>
    <row r="30" spans="2:9">
      <c r="B30" s="365" t="s">
        <v>24</v>
      </c>
      <c r="C30" s="365"/>
      <c r="D30" s="366">
        <f>SUM(D22:D29)</f>
        <v>0.36800000000000005</v>
      </c>
      <c r="G30" s="355"/>
    </row>
    <row r="31" spans="2:9">
      <c r="B31" s="376"/>
      <c r="C31" s="376"/>
      <c r="D31" s="376"/>
      <c r="G31" s="355"/>
    </row>
    <row r="34" spans="2:7">
      <c r="G34" s="355"/>
    </row>
    <row r="35" spans="2:7">
      <c r="B35" s="367" t="s">
        <v>270</v>
      </c>
      <c r="C35" s="376"/>
      <c r="D35" s="376"/>
      <c r="G35" s="355"/>
    </row>
    <row r="36" spans="2:7">
      <c r="B36" s="371" t="s">
        <v>272</v>
      </c>
      <c r="C36" s="357" t="s">
        <v>271</v>
      </c>
      <c r="D36" s="358"/>
      <c r="E36" s="359" t="s">
        <v>5</v>
      </c>
      <c r="F36" s="359" t="s">
        <v>6</v>
      </c>
      <c r="G36" s="355"/>
    </row>
    <row r="37" spans="2:7" ht="24">
      <c r="B37" s="1219" t="s">
        <v>273</v>
      </c>
      <c r="C37" s="1224" t="s">
        <v>281</v>
      </c>
      <c r="D37" s="380" t="s">
        <v>291</v>
      </c>
      <c r="E37" s="1226" t="s">
        <v>294</v>
      </c>
      <c r="F37" s="1231" t="s">
        <v>298</v>
      </c>
      <c r="G37" s="355"/>
    </row>
    <row r="38" spans="2:7" ht="24">
      <c r="B38" s="1220"/>
      <c r="C38" s="1229"/>
      <c r="D38" s="380" t="s">
        <v>292</v>
      </c>
      <c r="E38" s="1230"/>
      <c r="F38" s="1232"/>
      <c r="G38" s="355"/>
    </row>
    <row r="39" spans="2:7" ht="48">
      <c r="B39" s="1228"/>
      <c r="C39" s="1225"/>
      <c r="D39" s="380" t="s">
        <v>293</v>
      </c>
      <c r="E39" s="1227"/>
      <c r="F39" s="1233"/>
      <c r="G39" s="355"/>
    </row>
    <row r="40" spans="2:7" ht="24">
      <c r="B40" s="360" t="s">
        <v>274</v>
      </c>
      <c r="C40" s="361" t="s">
        <v>282</v>
      </c>
      <c r="D40" s="381" t="s">
        <v>295</v>
      </c>
      <c r="E40" s="463" t="s">
        <v>13</v>
      </c>
      <c r="F40" s="364" t="s">
        <v>298</v>
      </c>
      <c r="G40" s="355"/>
    </row>
    <row r="41" spans="2:7" ht="24">
      <c r="B41" s="360" t="s">
        <v>275</v>
      </c>
      <c r="C41" s="361" t="s">
        <v>283</v>
      </c>
      <c r="D41" s="381" t="s">
        <v>296</v>
      </c>
      <c r="E41" s="464" t="s">
        <v>15</v>
      </c>
      <c r="F41" s="364" t="s">
        <v>298</v>
      </c>
      <c r="G41" s="355"/>
    </row>
    <row r="42" spans="2:7">
      <c r="B42" s="1219" t="s">
        <v>276</v>
      </c>
      <c r="C42" s="1224" t="s">
        <v>284</v>
      </c>
      <c r="D42" s="382" t="s">
        <v>299</v>
      </c>
      <c r="E42" s="1226" t="s">
        <v>303</v>
      </c>
      <c r="F42" s="1231" t="s">
        <v>298</v>
      </c>
      <c r="G42" s="355"/>
    </row>
    <row r="43" spans="2:7" ht="24">
      <c r="B43" s="1220"/>
      <c r="C43" s="1229"/>
      <c r="D43" s="381" t="s">
        <v>300</v>
      </c>
      <c r="E43" s="1230"/>
      <c r="F43" s="1232"/>
      <c r="G43" s="355"/>
    </row>
    <row r="44" spans="2:7">
      <c r="B44" s="1220"/>
      <c r="C44" s="1229"/>
      <c r="D44" s="382" t="s">
        <v>301</v>
      </c>
      <c r="E44" s="1230"/>
      <c r="F44" s="1232"/>
      <c r="G44" s="355"/>
    </row>
    <row r="45" spans="2:7">
      <c r="B45" s="1228"/>
      <c r="C45" s="1225"/>
      <c r="D45" s="382" t="s">
        <v>302</v>
      </c>
      <c r="E45" s="1227"/>
      <c r="F45" s="1233"/>
      <c r="G45" s="355"/>
    </row>
    <row r="46" spans="2:7" ht="24">
      <c r="B46" s="1219" t="s">
        <v>277</v>
      </c>
      <c r="C46" s="1224" t="s">
        <v>285</v>
      </c>
      <c r="D46" s="381" t="s">
        <v>304</v>
      </c>
      <c r="E46" s="1226" t="s">
        <v>306</v>
      </c>
      <c r="F46" s="1231" t="s">
        <v>298</v>
      </c>
      <c r="G46" s="355"/>
    </row>
    <row r="47" spans="2:7">
      <c r="B47" s="1228"/>
      <c r="C47" s="1225"/>
      <c r="D47" s="381" t="s">
        <v>305</v>
      </c>
      <c r="E47" s="1227"/>
      <c r="F47" s="1233"/>
      <c r="G47" s="355"/>
    </row>
    <row r="48" spans="2:7" ht="24">
      <c r="B48" s="1219" t="s">
        <v>278</v>
      </c>
      <c r="C48" s="1224" t="s">
        <v>286</v>
      </c>
      <c r="D48" s="381" t="s">
        <v>307</v>
      </c>
      <c r="E48" s="1226" t="s">
        <v>309</v>
      </c>
      <c r="F48" s="1231" t="s">
        <v>298</v>
      </c>
      <c r="G48" s="355"/>
    </row>
    <row r="49" spans="2:7" ht="24">
      <c r="B49" s="1228"/>
      <c r="C49" s="1225"/>
      <c r="D49" s="381" t="s">
        <v>308</v>
      </c>
      <c r="E49" s="1227"/>
      <c r="F49" s="1233"/>
      <c r="G49" s="355"/>
    </row>
    <row r="50" spans="2:7" ht="24">
      <c r="B50" s="1219" t="s">
        <v>279</v>
      </c>
      <c r="C50" s="1224" t="s">
        <v>287</v>
      </c>
      <c r="D50" s="381" t="s">
        <v>310</v>
      </c>
      <c r="E50" s="1226" t="s">
        <v>312</v>
      </c>
      <c r="F50" s="1231" t="s">
        <v>331</v>
      </c>
      <c r="G50" s="355"/>
    </row>
    <row r="51" spans="2:7" ht="24">
      <c r="B51" s="1228"/>
      <c r="C51" s="1225"/>
      <c r="D51" s="381" t="s">
        <v>311</v>
      </c>
      <c r="E51" s="1227"/>
      <c r="F51" s="1233"/>
      <c r="G51" s="355"/>
    </row>
    <row r="52" spans="2:7">
      <c r="B52" s="1219" t="s">
        <v>280</v>
      </c>
      <c r="C52" s="1224" t="s">
        <v>288</v>
      </c>
      <c r="D52" s="382" t="s">
        <v>313</v>
      </c>
      <c r="E52" s="1226" t="s">
        <v>317</v>
      </c>
      <c r="F52" s="1231" t="s">
        <v>331</v>
      </c>
      <c r="G52" s="355"/>
    </row>
    <row r="53" spans="2:7" ht="24">
      <c r="B53" s="1220"/>
      <c r="C53" s="1229"/>
      <c r="D53" s="381" t="s">
        <v>314</v>
      </c>
      <c r="E53" s="1230"/>
      <c r="F53" s="1232"/>
      <c r="G53" s="355"/>
    </row>
    <row r="54" spans="2:7">
      <c r="B54" s="1220"/>
      <c r="C54" s="1229"/>
      <c r="D54" s="382" t="s">
        <v>315</v>
      </c>
      <c r="E54" s="1230"/>
      <c r="F54" s="1232"/>
      <c r="G54" s="355"/>
    </row>
    <row r="55" spans="2:7">
      <c r="B55" s="1228"/>
      <c r="C55" s="1225"/>
      <c r="D55" s="382" t="s">
        <v>316</v>
      </c>
      <c r="E55" s="1227"/>
      <c r="F55" s="1233"/>
      <c r="G55" s="355"/>
    </row>
    <row r="56" spans="2:7" ht="24">
      <c r="B56" s="1219" t="s">
        <v>289</v>
      </c>
      <c r="C56" s="1224" t="s">
        <v>290</v>
      </c>
      <c r="D56" s="381" t="s">
        <v>318</v>
      </c>
      <c r="E56" s="1226" t="s">
        <v>323</v>
      </c>
      <c r="F56" s="1231" t="s">
        <v>324</v>
      </c>
      <c r="G56" s="355"/>
    </row>
    <row r="57" spans="2:7" ht="24">
      <c r="B57" s="1220"/>
      <c r="C57" s="1229"/>
      <c r="D57" s="381" t="s">
        <v>319</v>
      </c>
      <c r="E57" s="1230"/>
      <c r="F57" s="1232"/>
      <c r="G57" s="355"/>
    </row>
    <row r="58" spans="2:7" ht="48">
      <c r="B58" s="1220"/>
      <c r="C58" s="1229"/>
      <c r="D58" s="380" t="s">
        <v>320</v>
      </c>
      <c r="E58" s="1230"/>
      <c r="F58" s="1232"/>
      <c r="G58" s="355"/>
    </row>
    <row r="59" spans="2:7" ht="48">
      <c r="B59" s="1220"/>
      <c r="C59" s="1229"/>
      <c r="D59" s="380" t="s">
        <v>321</v>
      </c>
      <c r="E59" s="1230"/>
      <c r="F59" s="1232"/>
      <c r="G59" s="355"/>
    </row>
    <row r="60" spans="2:7">
      <c r="B60" s="1228"/>
      <c r="C60" s="1225"/>
      <c r="D60" s="380" t="s">
        <v>322</v>
      </c>
      <c r="E60" s="1227"/>
      <c r="F60" s="1233"/>
      <c r="G60" s="355"/>
    </row>
    <row r="61" spans="2:7">
      <c r="B61" s="365" t="s">
        <v>24</v>
      </c>
      <c r="C61" s="365"/>
      <c r="D61" s="366"/>
      <c r="G61" s="355"/>
    </row>
    <row r="67" spans="2:7">
      <c r="B67" s="367" t="s">
        <v>28</v>
      </c>
      <c r="C67" s="370"/>
      <c r="D67" s="370"/>
      <c r="G67" s="355"/>
    </row>
    <row r="68" spans="2:7">
      <c r="B68" s="371">
        <v>3</v>
      </c>
      <c r="C68" s="357" t="s">
        <v>29</v>
      </c>
      <c r="D68" s="358" t="s">
        <v>325</v>
      </c>
      <c r="E68" s="359" t="s">
        <v>5</v>
      </c>
      <c r="F68" s="359" t="s">
        <v>6</v>
      </c>
      <c r="G68" s="376"/>
    </row>
    <row r="69" spans="2:7">
      <c r="B69" s="360" t="s">
        <v>7</v>
      </c>
      <c r="C69" s="361" t="s">
        <v>30</v>
      </c>
      <c r="D69" s="465"/>
      <c r="E69" s="460" t="s">
        <v>356</v>
      </c>
      <c r="F69" s="457" t="s">
        <v>357</v>
      </c>
      <c r="G69" s="376"/>
    </row>
    <row r="70" spans="2:7" ht="24">
      <c r="B70" s="360" t="s">
        <v>9</v>
      </c>
      <c r="C70" s="361" t="s">
        <v>32</v>
      </c>
      <c r="D70" s="465"/>
      <c r="E70" s="460" t="s">
        <v>358</v>
      </c>
      <c r="F70" s="457" t="s">
        <v>359</v>
      </c>
      <c r="G70" s="376"/>
    </row>
    <row r="71" spans="2:7" ht="24">
      <c r="B71" s="360" t="s">
        <v>11</v>
      </c>
      <c r="C71" s="361" t="s">
        <v>33</v>
      </c>
      <c r="D71" s="465"/>
      <c r="E71" s="466" t="s">
        <v>360</v>
      </c>
      <c r="F71" s="457" t="s">
        <v>361</v>
      </c>
      <c r="G71" s="376"/>
    </row>
    <row r="72" spans="2:7">
      <c r="B72" s="360" t="s">
        <v>13</v>
      </c>
      <c r="C72" s="361" t="s">
        <v>30</v>
      </c>
      <c r="D72" s="465"/>
      <c r="E72" s="466" t="s">
        <v>362</v>
      </c>
      <c r="F72" s="457"/>
      <c r="G72" s="376"/>
    </row>
    <row r="73" spans="2:7" ht="14.25" customHeight="1">
      <c r="B73" s="360" t="s">
        <v>15</v>
      </c>
      <c r="C73" s="361" t="s">
        <v>34</v>
      </c>
      <c r="D73" s="465"/>
      <c r="E73" s="466" t="s">
        <v>384</v>
      </c>
      <c r="F73" s="457" t="s">
        <v>31</v>
      </c>
      <c r="G73" s="355"/>
    </row>
    <row r="74" spans="2:7" s="461" customFormat="1" ht="24">
      <c r="B74" s="360" t="s">
        <v>18</v>
      </c>
      <c r="C74" s="361" t="s">
        <v>363</v>
      </c>
      <c r="D74" s="465"/>
      <c r="E74" s="467" t="s">
        <v>364</v>
      </c>
      <c r="F74" s="468" t="s">
        <v>365</v>
      </c>
    </row>
    <row r="75" spans="2:7" s="461" customFormat="1" ht="24">
      <c r="B75" s="360" t="s">
        <v>20</v>
      </c>
      <c r="C75" s="361" t="s">
        <v>35</v>
      </c>
      <c r="D75" s="465"/>
      <c r="E75" s="466" t="s">
        <v>366</v>
      </c>
      <c r="F75" s="453" t="s">
        <v>367</v>
      </c>
    </row>
    <row r="76" spans="2:7" s="461" customFormat="1" ht="19.5" customHeight="1">
      <c r="B76" s="360" t="s">
        <v>22</v>
      </c>
      <c r="C76" s="469" t="s">
        <v>368</v>
      </c>
      <c r="D76" s="465"/>
      <c r="E76" s="470" t="s">
        <v>369</v>
      </c>
      <c r="F76" s="470"/>
    </row>
    <row r="77" spans="2:7">
      <c r="B77" s="365"/>
      <c r="C77" s="365"/>
      <c r="D77" s="366"/>
      <c r="E77" s="470"/>
      <c r="F77" s="470"/>
      <c r="G77" s="355"/>
    </row>
    <row r="78" spans="2:7">
      <c r="B78" s="376"/>
      <c r="C78" s="376"/>
      <c r="D78" s="376"/>
      <c r="G78" s="355"/>
    </row>
    <row r="79" spans="2:7">
      <c r="B79" s="376"/>
      <c r="C79" s="376"/>
      <c r="D79" s="376"/>
      <c r="G79" s="355"/>
    </row>
    <row r="80" spans="2:7">
      <c r="B80" s="376"/>
      <c r="C80" s="376"/>
      <c r="D80" s="376"/>
      <c r="G80" s="355"/>
    </row>
    <row r="81" spans="2:9">
      <c r="B81" s="376"/>
      <c r="C81" s="376"/>
      <c r="D81" s="376"/>
      <c r="G81" s="355"/>
    </row>
    <row r="82" spans="2:9">
      <c r="B82" s="367" t="s">
        <v>326</v>
      </c>
      <c r="C82" s="376"/>
      <c r="D82" s="376"/>
      <c r="G82" s="355"/>
    </row>
    <row r="83" spans="2:9">
      <c r="B83" s="367" t="s">
        <v>327</v>
      </c>
      <c r="C83" s="376"/>
      <c r="D83" s="376"/>
      <c r="G83" s="355"/>
    </row>
    <row r="84" spans="2:9" ht="20.100000000000001" customHeight="1">
      <c r="B84" s="371" t="s">
        <v>328</v>
      </c>
      <c r="C84" s="357" t="s">
        <v>329</v>
      </c>
      <c r="D84" s="358" t="s">
        <v>330</v>
      </c>
      <c r="E84" s="359" t="s">
        <v>5</v>
      </c>
      <c r="F84" s="471" t="s">
        <v>6</v>
      </c>
      <c r="G84" s="355"/>
    </row>
    <row r="85" spans="2:9" ht="36">
      <c r="B85" s="360" t="s">
        <v>7</v>
      </c>
      <c r="C85" s="361" t="s">
        <v>153</v>
      </c>
      <c r="D85" s="383">
        <v>30</v>
      </c>
      <c r="E85" s="470" t="s">
        <v>370</v>
      </c>
      <c r="F85" s="468" t="s">
        <v>371</v>
      </c>
      <c r="G85" s="355"/>
    </row>
    <row r="86" spans="2:9" ht="384">
      <c r="B86" s="360" t="s">
        <v>9</v>
      </c>
      <c r="C86" s="472" t="s">
        <v>332</v>
      </c>
      <c r="D86" s="383"/>
      <c r="E86" s="472" t="s">
        <v>333</v>
      </c>
      <c r="F86" s="472" t="s">
        <v>372</v>
      </c>
      <c r="G86" s="355"/>
    </row>
    <row r="87" spans="2:9">
      <c r="B87" s="365" t="s">
        <v>24</v>
      </c>
      <c r="C87" s="365"/>
      <c r="D87" s="366"/>
      <c r="G87" s="355"/>
    </row>
    <row r="88" spans="2:9">
      <c r="B88" s="356"/>
      <c r="C88" s="356"/>
      <c r="D88" s="356"/>
      <c r="E88" s="356"/>
      <c r="F88" s="356"/>
      <c r="G88" s="356"/>
      <c r="H88" s="356"/>
      <c r="I88" s="356"/>
    </row>
    <row r="89" spans="2:9">
      <c r="B89" s="376"/>
      <c r="C89" s="376"/>
      <c r="D89" s="376"/>
      <c r="G89" s="355"/>
    </row>
    <row r="90" spans="2:9">
      <c r="B90" s="376"/>
      <c r="C90" s="376"/>
      <c r="D90" s="376"/>
      <c r="G90" s="355"/>
    </row>
    <row r="91" spans="2:9">
      <c r="B91" s="376"/>
      <c r="C91" s="376"/>
      <c r="D91" s="376"/>
      <c r="G91" s="355"/>
    </row>
    <row r="92" spans="2:9">
      <c r="B92" s="367" t="s">
        <v>334</v>
      </c>
      <c r="C92" s="376"/>
      <c r="D92" s="376"/>
      <c r="G92" s="355"/>
    </row>
    <row r="93" spans="2:9">
      <c r="B93" s="371">
        <v>5</v>
      </c>
      <c r="C93" s="357" t="s">
        <v>335</v>
      </c>
      <c r="D93" s="358"/>
      <c r="E93" s="359" t="s">
        <v>5</v>
      </c>
      <c r="F93" s="359" t="s">
        <v>6</v>
      </c>
      <c r="G93" s="356"/>
      <c r="H93" s="356"/>
      <c r="I93" s="356"/>
    </row>
    <row r="94" spans="2:9">
      <c r="B94" s="360" t="s">
        <v>7</v>
      </c>
      <c r="C94" s="361" t="s">
        <v>259</v>
      </c>
      <c r="D94" s="368"/>
      <c r="E94" s="450"/>
      <c r="F94" s="364"/>
      <c r="G94" s="356"/>
      <c r="H94" s="356"/>
      <c r="I94" s="356"/>
    </row>
    <row r="95" spans="2:9" ht="48">
      <c r="B95" s="360" t="s">
        <v>9</v>
      </c>
      <c r="C95" s="361" t="s">
        <v>58</v>
      </c>
      <c r="D95" s="368"/>
      <c r="E95" s="369"/>
      <c r="F95" s="364" t="s">
        <v>338</v>
      </c>
      <c r="G95" s="356"/>
      <c r="H95" s="356"/>
      <c r="I95" s="356"/>
    </row>
    <row r="96" spans="2:9">
      <c r="B96" s="360" t="s">
        <v>11</v>
      </c>
      <c r="C96" s="361" t="s">
        <v>336</v>
      </c>
      <c r="D96" s="368"/>
      <c r="E96" s="369"/>
      <c r="F96" s="364"/>
      <c r="G96" s="356"/>
      <c r="H96" s="356"/>
      <c r="I96" s="356"/>
    </row>
    <row r="97" spans="2:9">
      <c r="B97" s="360" t="s">
        <v>13</v>
      </c>
      <c r="C97" s="361" t="s">
        <v>337</v>
      </c>
      <c r="D97" s="368"/>
      <c r="E97" s="369"/>
      <c r="F97" s="364"/>
      <c r="G97" s="356"/>
      <c r="H97" s="356"/>
      <c r="I97" s="356"/>
    </row>
    <row r="98" spans="2:9">
      <c r="B98" s="360" t="s">
        <v>15</v>
      </c>
      <c r="C98" s="361"/>
      <c r="D98" s="368"/>
      <c r="E98" s="369"/>
      <c r="F98" s="364"/>
      <c r="G98" s="356"/>
      <c r="H98" s="356"/>
      <c r="I98" s="356"/>
    </row>
    <row r="99" spans="2:9">
      <c r="B99" s="365" t="s">
        <v>24</v>
      </c>
      <c r="C99" s="365"/>
      <c r="D99" s="366"/>
      <c r="G99" s="356"/>
      <c r="H99" s="356"/>
      <c r="I99" s="356"/>
    </row>
    <row r="100" spans="2:9">
      <c r="B100" s="356"/>
      <c r="C100" s="356"/>
      <c r="D100" s="356"/>
      <c r="E100" s="356"/>
      <c r="F100" s="356"/>
      <c r="G100" s="356"/>
      <c r="H100" s="356"/>
      <c r="I100" s="356"/>
    </row>
    <row r="101" spans="2:9">
      <c r="B101" s="376"/>
      <c r="C101" s="376"/>
      <c r="D101" s="376"/>
      <c r="G101" s="355"/>
    </row>
    <row r="102" spans="2:9">
      <c r="B102" s="376"/>
      <c r="C102" s="376"/>
      <c r="D102" s="376"/>
      <c r="G102" s="355"/>
    </row>
    <row r="103" spans="2:9">
      <c r="B103" s="376"/>
      <c r="C103" s="376"/>
      <c r="D103" s="376"/>
      <c r="G103" s="355"/>
    </row>
    <row r="104" spans="2:9">
      <c r="B104" s="367" t="s">
        <v>262</v>
      </c>
      <c r="C104" s="370"/>
      <c r="D104" s="370"/>
      <c r="G104" s="355"/>
    </row>
    <row r="105" spans="2:9" ht="70.5" customHeight="1">
      <c r="B105" s="473"/>
      <c r="C105" s="357" t="s">
        <v>339</v>
      </c>
      <c r="D105" s="358"/>
      <c r="E105" s="359"/>
      <c r="F105" s="359" t="s">
        <v>6</v>
      </c>
    </row>
    <row r="106" spans="2:9" ht="36">
      <c r="B106" s="360" t="s">
        <v>7</v>
      </c>
      <c r="C106" s="379" t="s">
        <v>39</v>
      </c>
      <c r="D106" s="384"/>
      <c r="E106" s="372" t="s">
        <v>373</v>
      </c>
      <c r="F106" s="364" t="s">
        <v>40</v>
      </c>
    </row>
    <row r="107" spans="2:9" ht="36">
      <c r="B107" s="360" t="s">
        <v>9</v>
      </c>
      <c r="C107" s="379" t="s">
        <v>41</v>
      </c>
      <c r="D107" s="384"/>
      <c r="E107" s="474" t="s">
        <v>374</v>
      </c>
      <c r="F107" s="364" t="s">
        <v>40</v>
      </c>
    </row>
    <row r="108" spans="2:9">
      <c r="B108" s="1219" t="s">
        <v>11</v>
      </c>
      <c r="C108" s="475" t="s">
        <v>36</v>
      </c>
      <c r="D108" s="476">
        <v>1.6500000000000001E-2</v>
      </c>
      <c r="E108" s="463" t="s">
        <v>375</v>
      </c>
      <c r="F108" s="362"/>
    </row>
    <row r="109" spans="2:9" ht="48.75" customHeight="1">
      <c r="B109" s="1220"/>
      <c r="C109" s="475" t="s">
        <v>37</v>
      </c>
      <c r="D109" s="476">
        <v>7.5999999999999998E-2</v>
      </c>
      <c r="E109" s="463" t="s">
        <v>376</v>
      </c>
      <c r="F109" s="364"/>
    </row>
    <row r="110" spans="2:9">
      <c r="B110" s="1220"/>
      <c r="C110" s="477" t="s">
        <v>38</v>
      </c>
      <c r="D110" s="478" t="s">
        <v>4</v>
      </c>
      <c r="E110" s="372" t="s">
        <v>377</v>
      </c>
      <c r="F110" s="364" t="s">
        <v>340</v>
      </c>
    </row>
    <row r="111" spans="2:9" ht="36">
      <c r="B111" s="1221" t="s">
        <v>122</v>
      </c>
      <c r="C111" s="1222"/>
      <c r="D111" s="1223"/>
      <c r="E111" s="479" t="s">
        <v>378</v>
      </c>
      <c r="F111" s="364"/>
    </row>
  </sheetData>
  <mergeCells count="30">
    <mergeCell ref="F56:F60"/>
    <mergeCell ref="B108:B110"/>
    <mergeCell ref="B111:D111"/>
    <mergeCell ref="B50:B51"/>
    <mergeCell ref="C50:C51"/>
    <mergeCell ref="E50:E51"/>
    <mergeCell ref="B56:B60"/>
    <mergeCell ref="C56:C60"/>
    <mergeCell ref="E56:E60"/>
    <mergeCell ref="F50:F51"/>
    <mergeCell ref="B52:B55"/>
    <mergeCell ref="C52:C55"/>
    <mergeCell ref="E52:E55"/>
    <mergeCell ref="F52:F55"/>
    <mergeCell ref="B46:B47"/>
    <mergeCell ref="C46:C47"/>
    <mergeCell ref="E46:E47"/>
    <mergeCell ref="F46:F47"/>
    <mergeCell ref="B48:B49"/>
    <mergeCell ref="C48:C49"/>
    <mergeCell ref="E48:E49"/>
    <mergeCell ref="F48:F49"/>
    <mergeCell ref="B37:B39"/>
    <mergeCell ref="C37:C39"/>
    <mergeCell ref="E37:E39"/>
    <mergeCell ref="F37:F39"/>
    <mergeCell ref="B42:B45"/>
    <mergeCell ref="C42:C45"/>
    <mergeCell ref="E42:E45"/>
    <mergeCell ref="F42:F45"/>
  </mergeCells>
  <pageMargins left="0.511811024" right="0.511811024" top="0.78740157499999996" bottom="0.78740157499999996" header="0.31496062000000002" footer="0.31496062000000002"/>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Planilha22"/>
  <dimension ref="B1:Q124"/>
  <sheetViews>
    <sheetView zoomScaleNormal="100" workbookViewId="0">
      <selection activeCell="H35" sqref="H35"/>
    </sheetView>
  </sheetViews>
  <sheetFormatPr defaultRowHeight="14.25"/>
  <cols>
    <col min="1" max="1" width="1.375" customWidth="1"/>
    <col min="2" max="2" width="27" bestFit="1" customWidth="1"/>
    <col min="3" max="3" width="27.375" bestFit="1" customWidth="1"/>
    <col min="4" max="4" width="20.25" customWidth="1"/>
    <col min="5" max="5" width="13.5" bestFit="1" customWidth="1"/>
    <col min="6" max="6" width="13.125" style="22" customWidth="1"/>
    <col min="7" max="7" width="13.875" style="26" bestFit="1" customWidth="1"/>
    <col min="8" max="8" width="13.25" customWidth="1"/>
    <col min="9" max="9" width="18.375" customWidth="1"/>
    <col min="10" max="10" width="18.75" style="22" bestFit="1" customWidth="1"/>
    <col min="11" max="12" width="13.125" customWidth="1"/>
    <col min="13" max="13" width="14.375" customWidth="1"/>
    <col min="14" max="14" width="17" customWidth="1"/>
    <col min="15" max="15" width="24" customWidth="1"/>
    <col min="16" max="16" width="35.625" customWidth="1"/>
  </cols>
  <sheetData>
    <row r="1" spans="2:17" ht="15" thickBot="1">
      <c r="L1" s="102" t="s">
        <v>194</v>
      </c>
      <c r="M1" s="101"/>
      <c r="N1" s="101"/>
      <c r="O1" s="101"/>
      <c r="P1" s="101"/>
    </row>
    <row r="2" spans="2:17">
      <c r="B2" s="1285"/>
      <c r="C2" s="1285"/>
      <c r="D2" s="1288" t="s">
        <v>175</v>
      </c>
      <c r="E2" s="1289"/>
      <c r="F2" s="1289" t="s">
        <v>176</v>
      </c>
      <c r="G2" s="1289"/>
      <c r="J2"/>
      <c r="L2" s="1291" t="s">
        <v>195</v>
      </c>
      <c r="M2" s="107">
        <v>1</v>
      </c>
      <c r="N2" s="103">
        <v>2</v>
      </c>
      <c r="O2" s="103">
        <v>3</v>
      </c>
      <c r="P2" s="103">
        <v>4</v>
      </c>
    </row>
    <row r="3" spans="2:17" ht="25.5" customHeight="1">
      <c r="B3" s="1286"/>
      <c r="C3" s="1286"/>
      <c r="D3" s="1288" t="s">
        <v>177</v>
      </c>
      <c r="E3" s="1289"/>
      <c r="F3" s="1289" t="s">
        <v>177</v>
      </c>
      <c r="G3" s="1289"/>
      <c r="I3" s="22"/>
      <c r="J3"/>
      <c r="L3" s="1292"/>
      <c r="M3" s="104" t="s">
        <v>196</v>
      </c>
      <c r="N3" s="104" t="s">
        <v>197</v>
      </c>
      <c r="O3" s="108" t="s">
        <v>193</v>
      </c>
      <c r="P3" s="108" t="s">
        <v>198</v>
      </c>
    </row>
    <row r="4" spans="2:17" ht="15" thickBot="1">
      <c r="B4" s="43" t="s">
        <v>65</v>
      </c>
      <c r="C4" s="44" t="s">
        <v>199</v>
      </c>
      <c r="D4" s="1290">
        <v>800</v>
      </c>
      <c r="E4" s="1290"/>
      <c r="F4" s="1290">
        <v>1200</v>
      </c>
      <c r="G4" s="1290"/>
      <c r="I4" s="22"/>
      <c r="J4"/>
      <c r="L4" s="1293"/>
      <c r="M4" s="105" t="s">
        <v>200</v>
      </c>
      <c r="N4" s="104" t="s">
        <v>201</v>
      </c>
      <c r="O4" s="109"/>
      <c r="P4" s="110" t="s">
        <v>202</v>
      </c>
    </row>
    <row r="5" spans="2:17">
      <c r="B5" s="43" t="s">
        <v>65</v>
      </c>
      <c r="C5" s="3" t="s">
        <v>203</v>
      </c>
      <c r="D5" s="1290">
        <v>1800</v>
      </c>
      <c r="E5" s="1290"/>
      <c r="F5" s="1290">
        <v>2700</v>
      </c>
      <c r="G5" s="1290"/>
      <c r="I5" s="22"/>
      <c r="J5"/>
      <c r="L5" s="1294" t="s">
        <v>204</v>
      </c>
      <c r="M5" s="106" t="s">
        <v>205</v>
      </c>
      <c r="N5" s="1296">
        <v>16</v>
      </c>
      <c r="O5" s="106" t="s">
        <v>206</v>
      </c>
      <c r="P5" s="1304">
        <f>(1/M6)*N5*(1/O6)</f>
        <v>2.4930506213928678E-4</v>
      </c>
    </row>
    <row r="6" spans="2:17" ht="15" thickBot="1">
      <c r="B6" s="7" t="s">
        <v>192</v>
      </c>
      <c r="C6" s="3" t="s">
        <v>207</v>
      </c>
      <c r="D6" s="1290">
        <v>300</v>
      </c>
      <c r="E6" s="1290"/>
      <c r="F6" s="1290">
        <v>380</v>
      </c>
      <c r="G6" s="1290"/>
      <c r="L6" s="1295"/>
      <c r="M6" s="8">
        <f>D16</f>
        <v>340</v>
      </c>
      <c r="N6" s="1297"/>
      <c r="O6" s="111">
        <v>188.76</v>
      </c>
      <c r="P6" s="1305"/>
    </row>
    <row r="7" spans="2:17" ht="15" thickBot="1">
      <c r="B7" s="7" t="s">
        <v>192</v>
      </c>
      <c r="C7" s="3" t="s">
        <v>208</v>
      </c>
      <c r="D7" s="1290">
        <v>130</v>
      </c>
      <c r="E7" s="1290"/>
      <c r="F7" s="1300">
        <v>160</v>
      </c>
      <c r="G7" s="1300"/>
      <c r="L7" s="112"/>
      <c r="M7" s="113"/>
      <c r="N7" s="113"/>
      <c r="O7" s="113"/>
      <c r="P7" s="113"/>
    </row>
    <row r="8" spans="2:17" ht="15">
      <c r="B8" s="5"/>
      <c r="C8" s="5"/>
      <c r="H8" s="5"/>
      <c r="L8" s="101"/>
      <c r="M8" s="101"/>
      <c r="N8" s="101"/>
      <c r="O8" s="101"/>
      <c r="P8" s="101"/>
    </row>
    <row r="9" spans="2:17" ht="15">
      <c r="B9" s="5"/>
      <c r="C9" s="5"/>
      <c r="H9" s="5"/>
    </row>
    <row r="10" spans="2:17" ht="15.75" customHeight="1">
      <c r="B10" s="1298" t="s">
        <v>174</v>
      </c>
      <c r="C10" s="1287" t="s">
        <v>209</v>
      </c>
      <c r="D10" s="1287" t="s">
        <v>210</v>
      </c>
      <c r="E10" s="1308" t="s">
        <v>211</v>
      </c>
      <c r="F10" s="1287" t="s">
        <v>212</v>
      </c>
      <c r="G10" s="1301" t="s">
        <v>213</v>
      </c>
      <c r="H10" s="1307" t="s">
        <v>214</v>
      </c>
      <c r="I10" s="1287" t="s">
        <v>215</v>
      </c>
      <c r="J10" s="1298" t="s">
        <v>216</v>
      </c>
      <c r="K10" s="15"/>
    </row>
    <row r="11" spans="2:17" ht="28.5" customHeight="1">
      <c r="B11" s="1306"/>
      <c r="C11" s="1287"/>
      <c r="D11" s="1287"/>
      <c r="E11" s="1308"/>
      <c r="F11" s="1287"/>
      <c r="G11" s="1302"/>
      <c r="H11" s="1307"/>
      <c r="I11" s="1287"/>
      <c r="J11" s="1299"/>
      <c r="K11" s="15"/>
      <c r="N11" s="116"/>
    </row>
    <row r="12" spans="2:17">
      <c r="B12" s="1299"/>
      <c r="C12" s="1287"/>
      <c r="D12" s="6" t="s">
        <v>177</v>
      </c>
      <c r="E12" s="51" t="s">
        <v>217</v>
      </c>
      <c r="F12" s="1287"/>
      <c r="G12" s="1303"/>
      <c r="H12" s="6" t="s">
        <v>170</v>
      </c>
      <c r="I12" s="6"/>
      <c r="J12" s="6"/>
      <c r="K12" s="15"/>
    </row>
    <row r="13" spans="2:17" s="4" customFormat="1">
      <c r="B13" s="58" t="s">
        <v>218</v>
      </c>
      <c r="C13" s="52"/>
      <c r="D13" s="53"/>
      <c r="E13" s="53"/>
      <c r="F13" s="54"/>
      <c r="G13" s="55"/>
      <c r="H13" s="54"/>
      <c r="I13" s="53"/>
      <c r="J13" s="54"/>
      <c r="K13" s="27"/>
      <c r="L13"/>
      <c r="M13"/>
      <c r="N13"/>
      <c r="O13"/>
      <c r="P13"/>
      <c r="Q13"/>
    </row>
    <row r="14" spans="2:17">
      <c r="B14" s="7" t="s">
        <v>171</v>
      </c>
      <c r="C14" s="43" t="s">
        <v>65</v>
      </c>
      <c r="D14" s="48">
        <v>1000</v>
      </c>
      <c r="E14" s="115">
        <f>1/D14</f>
        <v>1E-3</v>
      </c>
      <c r="F14" s="49" t="e">
        <f>#REF!</f>
        <v>#REF!</v>
      </c>
      <c r="G14" s="46" t="e">
        <f>F14*E14</f>
        <v>#REF!</v>
      </c>
      <c r="H14" s="50">
        <v>17701</v>
      </c>
      <c r="I14" s="45">
        <f>H14*E14</f>
        <v>17.701000000000001</v>
      </c>
      <c r="J14" s="46" t="e">
        <f>G14*H14</f>
        <v>#REF!</v>
      </c>
      <c r="K14" s="18"/>
    </row>
    <row r="15" spans="2:17">
      <c r="B15" s="7" t="s">
        <v>172</v>
      </c>
      <c r="C15" s="7" t="s">
        <v>65</v>
      </c>
      <c r="D15" s="21">
        <v>2250</v>
      </c>
      <c r="E15" s="114">
        <f>1/D15</f>
        <v>4.4444444444444447E-4</v>
      </c>
      <c r="F15" s="47" t="e">
        <f>F14</f>
        <v>#REF!</v>
      </c>
      <c r="G15" s="20" t="e">
        <f t="shared" ref="G15:G77" si="0">F15*E15</f>
        <v>#REF!</v>
      </c>
      <c r="H15" s="8">
        <v>2931</v>
      </c>
      <c r="I15" s="45">
        <f>H15*E15</f>
        <v>1.3026666666666666</v>
      </c>
      <c r="J15" s="46" t="e">
        <f>G15*H15</f>
        <v>#REF!</v>
      </c>
    </row>
    <row r="16" spans="2:17">
      <c r="B16" s="7" t="s">
        <v>207</v>
      </c>
      <c r="C16" s="7" t="s">
        <v>192</v>
      </c>
      <c r="D16" s="21">
        <v>340</v>
      </c>
      <c r="E16" s="114">
        <f>(1/D16)*N5*(1/188.76)</f>
        <v>2.4930506213928678E-4</v>
      </c>
      <c r="F16" s="47" t="e">
        <f>#REF!</f>
        <v>#REF!</v>
      </c>
      <c r="G16" s="20" t="e">
        <f t="shared" si="0"/>
        <v>#REF!</v>
      </c>
      <c r="H16" s="8">
        <v>3522</v>
      </c>
      <c r="I16" s="45">
        <f>H16*E16</f>
        <v>0.87805242885456802</v>
      </c>
      <c r="J16" s="46" t="e">
        <f>G16*H16</f>
        <v>#REF!</v>
      </c>
    </row>
    <row r="17" spans="2:10">
      <c r="B17" s="7" t="s">
        <v>219</v>
      </c>
      <c r="C17" s="7" t="s">
        <v>56</v>
      </c>
      <c r="D17" s="21">
        <v>1</v>
      </c>
      <c r="E17" s="31"/>
      <c r="F17" s="20" t="e">
        <f>#REF!</f>
        <v>#REF!</v>
      </c>
      <c r="G17" s="20"/>
      <c r="H17" s="8"/>
      <c r="I17" s="19">
        <f>D17</f>
        <v>1</v>
      </c>
      <c r="J17" s="20" t="e">
        <f>F17*D17</f>
        <v>#REF!</v>
      </c>
    </row>
    <row r="18" spans="2:10">
      <c r="B18" s="16" t="s">
        <v>173</v>
      </c>
      <c r="D18" s="39"/>
      <c r="E18" s="40"/>
      <c r="G18" s="25"/>
      <c r="H18" s="17">
        <f>SUM(H14:H17)</f>
        <v>24154</v>
      </c>
      <c r="I18" s="66">
        <f>SUM(I14:I17)</f>
        <v>20.881719095521234</v>
      </c>
      <c r="J18" s="67" t="e">
        <f>SUM(J14:J17)</f>
        <v>#REF!</v>
      </c>
    </row>
    <row r="19" spans="2:10">
      <c r="B19" s="52" t="s">
        <v>220</v>
      </c>
      <c r="C19" s="52"/>
      <c r="D19" s="53"/>
      <c r="E19" s="53"/>
      <c r="F19" s="54"/>
      <c r="G19" s="55"/>
      <c r="H19" s="54"/>
      <c r="I19" s="53"/>
      <c r="J19" s="54"/>
    </row>
    <row r="20" spans="2:10">
      <c r="B20" s="61" t="s">
        <v>171</v>
      </c>
      <c r="C20" s="43" t="s">
        <v>65</v>
      </c>
      <c r="D20" s="48">
        <v>800</v>
      </c>
      <c r="E20" s="38">
        <f>1/D20</f>
        <v>1.25E-3</v>
      </c>
      <c r="F20" s="49" t="e">
        <f>#REF!</f>
        <v>#REF!</v>
      </c>
      <c r="G20" s="46" t="e">
        <f t="shared" si="0"/>
        <v>#REF!</v>
      </c>
      <c r="H20" s="68">
        <v>549</v>
      </c>
      <c r="I20" s="45">
        <f t="shared" ref="I20:I77" si="1">H20/D20</f>
        <v>0.68625000000000003</v>
      </c>
      <c r="J20" s="46" t="e">
        <f t="shared" ref="J20:J77" si="2">G20*H20</f>
        <v>#REF!</v>
      </c>
    </row>
    <row r="21" spans="2:10">
      <c r="B21" s="10" t="s">
        <v>221</v>
      </c>
      <c r="C21" s="7" t="s">
        <v>65</v>
      </c>
      <c r="D21" s="21">
        <v>1800</v>
      </c>
      <c r="E21" s="31">
        <f>1/D21</f>
        <v>5.5555555555555556E-4</v>
      </c>
      <c r="F21" s="47" t="e">
        <f>F20</f>
        <v>#REF!</v>
      </c>
      <c r="G21" s="20" t="e">
        <f t="shared" si="0"/>
        <v>#REF!</v>
      </c>
      <c r="H21" s="11">
        <v>361</v>
      </c>
      <c r="I21" s="19">
        <f t="shared" si="1"/>
        <v>0.20055555555555554</v>
      </c>
      <c r="J21" s="20" t="e">
        <f t="shared" si="2"/>
        <v>#REF!</v>
      </c>
    </row>
    <row r="22" spans="2:10">
      <c r="B22" s="9" t="s">
        <v>222</v>
      </c>
      <c r="C22" s="7" t="s">
        <v>65</v>
      </c>
      <c r="D22" s="21">
        <v>300</v>
      </c>
      <c r="E22" s="114">
        <f>(1/D22)*16*(1/188.76)</f>
        <v>2.8254573709119167E-4</v>
      </c>
      <c r="F22" s="47" t="e">
        <f>#REF!</f>
        <v>#REF!</v>
      </c>
      <c r="G22" s="20" t="e">
        <f t="shared" si="0"/>
        <v>#REF!</v>
      </c>
      <c r="H22" s="11">
        <v>49</v>
      </c>
      <c r="I22" s="19">
        <f t="shared" si="1"/>
        <v>0.16333333333333333</v>
      </c>
      <c r="J22" s="20" t="e">
        <f t="shared" si="2"/>
        <v>#REF!</v>
      </c>
    </row>
    <row r="23" spans="2:10">
      <c r="B23" s="16" t="s">
        <v>173</v>
      </c>
      <c r="D23" s="39"/>
      <c r="E23" s="40"/>
      <c r="G23" s="25"/>
      <c r="H23" s="59">
        <f>SUM(H20:H22)</f>
        <v>959</v>
      </c>
      <c r="I23" s="59">
        <f>SUM(I20:I22)</f>
        <v>1.050138888888889</v>
      </c>
      <c r="J23" s="60" t="e">
        <f>SUM(J20:J22)</f>
        <v>#REF!</v>
      </c>
    </row>
    <row r="24" spans="2:10">
      <c r="B24" s="52" t="s">
        <v>223</v>
      </c>
      <c r="C24" s="52"/>
      <c r="D24" s="53"/>
      <c r="E24" s="63"/>
      <c r="F24" s="53"/>
      <c r="G24" s="64"/>
      <c r="H24" s="54"/>
      <c r="I24" s="65"/>
      <c r="J24" s="64"/>
    </row>
    <row r="25" spans="2:10">
      <c r="B25" s="61" t="s">
        <v>171</v>
      </c>
      <c r="C25" s="43" t="s">
        <v>65</v>
      </c>
      <c r="D25" s="48">
        <v>800</v>
      </c>
      <c r="E25" s="38">
        <f>1/D25</f>
        <v>1.25E-3</v>
      </c>
      <c r="F25" s="49" t="e">
        <f>#REF!</f>
        <v>#REF!</v>
      </c>
      <c r="G25" s="46" t="e">
        <f t="shared" si="0"/>
        <v>#REF!</v>
      </c>
      <c r="H25" s="62">
        <v>2251</v>
      </c>
      <c r="I25" s="45">
        <f t="shared" si="1"/>
        <v>2.8137500000000002</v>
      </c>
      <c r="J25" s="46" t="e">
        <f t="shared" si="2"/>
        <v>#REF!</v>
      </c>
    </row>
    <row r="26" spans="2:10">
      <c r="B26" s="10" t="s">
        <v>221</v>
      </c>
      <c r="C26" s="7" t="s">
        <v>65</v>
      </c>
      <c r="D26" s="21">
        <v>1800</v>
      </c>
      <c r="E26" s="31">
        <f>1/D26</f>
        <v>5.5555555555555556E-4</v>
      </c>
      <c r="F26" s="47" t="e">
        <f>F25</f>
        <v>#REF!</v>
      </c>
      <c r="G26" s="20" t="e">
        <f t="shared" si="0"/>
        <v>#REF!</v>
      </c>
      <c r="H26" s="11">
        <v>515</v>
      </c>
      <c r="I26" s="19">
        <f t="shared" si="1"/>
        <v>0.28611111111111109</v>
      </c>
      <c r="J26" s="20" t="e">
        <f t="shared" si="2"/>
        <v>#REF!</v>
      </c>
    </row>
    <row r="27" spans="2:10">
      <c r="B27" s="9" t="s">
        <v>222</v>
      </c>
      <c r="C27" s="7" t="s">
        <v>65</v>
      </c>
      <c r="D27" s="21">
        <v>300</v>
      </c>
      <c r="E27" s="114">
        <f>(1/D27)*16*(1/188.76)</f>
        <v>2.8254573709119167E-4</v>
      </c>
      <c r="F27" s="47" t="e">
        <f>#REF!</f>
        <v>#REF!</v>
      </c>
      <c r="G27" s="20" t="e">
        <f t="shared" si="0"/>
        <v>#REF!</v>
      </c>
      <c r="H27" s="11">
        <v>658</v>
      </c>
      <c r="I27" s="19">
        <f t="shared" si="1"/>
        <v>2.1933333333333334</v>
      </c>
      <c r="J27" s="20" t="e">
        <f t="shared" si="2"/>
        <v>#REF!</v>
      </c>
    </row>
    <row r="28" spans="2:10">
      <c r="B28" s="16" t="s">
        <v>173</v>
      </c>
      <c r="D28" s="34"/>
      <c r="E28" s="35"/>
      <c r="F28" s="69"/>
      <c r="G28" s="37"/>
      <c r="H28" s="70">
        <f>SUM(H25:H27)</f>
        <v>3424</v>
      </c>
      <c r="I28" s="71">
        <f>SUM(I25:I27)</f>
        <v>5.2931944444444445</v>
      </c>
      <c r="J28" s="72" t="e">
        <f>SUM(J25:J27)</f>
        <v>#REF!</v>
      </c>
    </row>
    <row r="29" spans="2:10">
      <c r="B29" s="52" t="s">
        <v>224</v>
      </c>
      <c r="C29" s="52"/>
      <c r="D29" s="53"/>
      <c r="E29" s="63"/>
      <c r="F29" s="53"/>
      <c r="G29" s="64"/>
      <c r="H29" s="54"/>
      <c r="I29" s="65"/>
      <c r="J29" s="64"/>
    </row>
    <row r="30" spans="2:10">
      <c r="B30" s="73" t="s">
        <v>171</v>
      </c>
      <c r="C30" s="7" t="s">
        <v>65</v>
      </c>
      <c r="D30" s="21">
        <v>800</v>
      </c>
      <c r="E30" s="31">
        <f>1/D30</f>
        <v>1.25E-3</v>
      </c>
      <c r="F30" s="47" t="e">
        <f>#REF!</f>
        <v>#REF!</v>
      </c>
      <c r="G30" s="20" t="e">
        <f t="shared" si="0"/>
        <v>#REF!</v>
      </c>
      <c r="H30" s="11">
        <v>550</v>
      </c>
      <c r="I30" s="19">
        <f t="shared" si="1"/>
        <v>0.6875</v>
      </c>
      <c r="J30" s="20" t="e">
        <f t="shared" si="2"/>
        <v>#REF!</v>
      </c>
    </row>
    <row r="31" spans="2:10">
      <c r="B31" s="74" t="s">
        <v>221</v>
      </c>
      <c r="C31" s="7" t="s">
        <v>65</v>
      </c>
      <c r="D31" s="21">
        <v>1800</v>
      </c>
      <c r="E31" s="31">
        <f>1/D31</f>
        <v>5.5555555555555556E-4</v>
      </c>
      <c r="F31" s="47" t="e">
        <f>F30</f>
        <v>#REF!</v>
      </c>
      <c r="G31" s="20" t="e">
        <f t="shared" si="0"/>
        <v>#REF!</v>
      </c>
      <c r="H31" s="11">
        <v>250</v>
      </c>
      <c r="I31" s="19">
        <f t="shared" si="1"/>
        <v>0.1388888888888889</v>
      </c>
      <c r="J31" s="20" t="e">
        <f t="shared" si="2"/>
        <v>#REF!</v>
      </c>
    </row>
    <row r="32" spans="2:10">
      <c r="B32" s="75" t="s">
        <v>222</v>
      </c>
      <c r="C32" s="7" t="s">
        <v>65</v>
      </c>
      <c r="D32" s="21">
        <v>300</v>
      </c>
      <c r="E32" s="114">
        <f>(1/D32)*16*(1/188.76)</f>
        <v>2.8254573709119167E-4</v>
      </c>
      <c r="F32" s="47" t="e">
        <f>#REF!</f>
        <v>#REF!</v>
      </c>
      <c r="G32" s="20" t="e">
        <f t="shared" si="0"/>
        <v>#REF!</v>
      </c>
      <c r="H32" s="11">
        <v>52</v>
      </c>
      <c r="I32" s="19">
        <f t="shared" si="1"/>
        <v>0.17333333333333334</v>
      </c>
      <c r="J32" s="20" t="e">
        <f t="shared" si="2"/>
        <v>#REF!</v>
      </c>
    </row>
    <row r="33" spans="2:17">
      <c r="B33" s="16" t="s">
        <v>173</v>
      </c>
      <c r="C33" s="84"/>
      <c r="D33" s="81"/>
      <c r="E33" s="35"/>
      <c r="F33" s="82"/>
      <c r="G33" s="83"/>
      <c r="H33" s="70">
        <f>SUM(H30:H32)</f>
        <v>852</v>
      </c>
      <c r="I33" s="71">
        <f>SUM(I30:I32)</f>
        <v>0.99972222222222218</v>
      </c>
      <c r="J33" s="72" t="e">
        <f>SUM(J30:J32)</f>
        <v>#REF!</v>
      </c>
    </row>
    <row r="34" spans="2:17">
      <c r="B34" s="52" t="s">
        <v>178</v>
      </c>
      <c r="C34" s="52"/>
      <c r="D34" s="53"/>
      <c r="E34" s="63"/>
      <c r="F34" s="53"/>
      <c r="G34" s="64"/>
      <c r="H34" s="54"/>
      <c r="I34" s="65"/>
      <c r="J34" s="64"/>
    </row>
    <row r="35" spans="2:17">
      <c r="B35" s="61" t="s">
        <v>171</v>
      </c>
      <c r="C35" s="7" t="s">
        <v>65</v>
      </c>
      <c r="D35" s="21">
        <v>800</v>
      </c>
      <c r="E35" s="31">
        <f>1/D35</f>
        <v>1.25E-3</v>
      </c>
      <c r="F35" s="20" t="e">
        <f>#REF!</f>
        <v>#REF!</v>
      </c>
      <c r="G35" s="20" t="e">
        <f t="shared" si="0"/>
        <v>#REF!</v>
      </c>
      <c r="H35" s="11">
        <v>1424</v>
      </c>
      <c r="I35" s="19">
        <f t="shared" si="1"/>
        <v>1.78</v>
      </c>
      <c r="J35" s="20" t="e">
        <f t="shared" si="2"/>
        <v>#REF!</v>
      </c>
    </row>
    <row r="36" spans="2:17">
      <c r="B36" s="10" t="s">
        <v>221</v>
      </c>
      <c r="C36" s="7" t="s">
        <v>65</v>
      </c>
      <c r="D36" s="21">
        <v>1800</v>
      </c>
      <c r="E36" s="31">
        <f>1/D36</f>
        <v>5.5555555555555556E-4</v>
      </c>
      <c r="F36" s="20" t="e">
        <f>F35</f>
        <v>#REF!</v>
      </c>
      <c r="G36" s="20" t="e">
        <f t="shared" si="0"/>
        <v>#REF!</v>
      </c>
      <c r="H36" s="11">
        <v>706</v>
      </c>
      <c r="I36" s="19">
        <f t="shared" si="1"/>
        <v>0.39222222222222225</v>
      </c>
      <c r="J36" s="20" t="e">
        <f t="shared" si="2"/>
        <v>#REF!</v>
      </c>
    </row>
    <row r="37" spans="2:17">
      <c r="B37" s="9" t="s">
        <v>222</v>
      </c>
      <c r="C37" s="7" t="s">
        <v>65</v>
      </c>
      <c r="D37" s="21">
        <v>300</v>
      </c>
      <c r="E37" s="114">
        <f>(1/D37)*16*(1/188.76)</f>
        <v>2.8254573709119167E-4</v>
      </c>
      <c r="F37" s="20" t="e">
        <f>#REF!</f>
        <v>#REF!</v>
      </c>
      <c r="G37" s="20" t="e">
        <f t="shared" si="0"/>
        <v>#REF!</v>
      </c>
      <c r="H37" s="11">
        <v>326</v>
      </c>
      <c r="I37" s="19">
        <f t="shared" si="1"/>
        <v>1.0866666666666667</v>
      </c>
      <c r="J37" s="20" t="e">
        <f t="shared" si="2"/>
        <v>#REF!</v>
      </c>
    </row>
    <row r="38" spans="2:17">
      <c r="B38" s="16" t="s">
        <v>173</v>
      </c>
      <c r="C38" s="13"/>
      <c r="D38" s="42"/>
      <c r="E38" s="40"/>
      <c r="G38" s="25"/>
      <c r="H38" s="14">
        <f>SUM(H35:H37)</f>
        <v>2456</v>
      </c>
      <c r="I38" s="66">
        <f>SUM(I35:I37)</f>
        <v>3.2588888888888894</v>
      </c>
      <c r="J38" s="67" t="e">
        <f>SUM(J35:J37)</f>
        <v>#REF!</v>
      </c>
    </row>
    <row r="39" spans="2:17">
      <c r="B39" s="52" t="s">
        <v>179</v>
      </c>
      <c r="C39" s="52"/>
      <c r="D39" s="53"/>
      <c r="E39" s="63"/>
      <c r="F39" s="53"/>
      <c r="G39" s="64"/>
      <c r="H39" s="54"/>
      <c r="I39" s="65"/>
      <c r="J39" s="64"/>
    </row>
    <row r="40" spans="2:17">
      <c r="B40" s="61" t="s">
        <v>171</v>
      </c>
      <c r="C40" s="43" t="s">
        <v>65</v>
      </c>
      <c r="D40" s="48">
        <v>800</v>
      </c>
      <c r="E40" s="38">
        <f>1/D40</f>
        <v>1.25E-3</v>
      </c>
      <c r="F40" s="46" t="e">
        <f>#REF!</f>
        <v>#REF!</v>
      </c>
      <c r="G40" s="46" t="e">
        <f t="shared" si="0"/>
        <v>#REF!</v>
      </c>
      <c r="H40" s="62">
        <v>1443</v>
      </c>
      <c r="I40" s="45">
        <f t="shared" si="1"/>
        <v>1.80375</v>
      </c>
      <c r="J40" s="46" t="e">
        <f t="shared" si="2"/>
        <v>#REF!</v>
      </c>
    </row>
    <row r="41" spans="2:17">
      <c r="B41" s="10" t="s">
        <v>221</v>
      </c>
      <c r="C41" s="7" t="s">
        <v>65</v>
      </c>
      <c r="D41" s="21">
        <v>1800</v>
      </c>
      <c r="E41" s="31">
        <f>1/D41</f>
        <v>5.5555555555555556E-4</v>
      </c>
      <c r="F41" s="20" t="e">
        <f>F40</f>
        <v>#REF!</v>
      </c>
      <c r="G41" s="20" t="e">
        <f t="shared" si="0"/>
        <v>#REF!</v>
      </c>
      <c r="H41" s="11">
        <v>75</v>
      </c>
      <c r="I41" s="19">
        <f t="shared" si="1"/>
        <v>4.1666666666666664E-2</v>
      </c>
      <c r="J41" s="20" t="e">
        <f t="shared" si="2"/>
        <v>#REF!</v>
      </c>
    </row>
    <row r="42" spans="2:17" ht="15">
      <c r="B42" s="9" t="s">
        <v>222</v>
      </c>
      <c r="C42" s="7" t="s">
        <v>65</v>
      </c>
      <c r="D42" s="21">
        <v>300</v>
      </c>
      <c r="E42" s="114">
        <f>(1/D42)*16*(1/188.76)</f>
        <v>2.8254573709119167E-4</v>
      </c>
      <c r="F42" s="20" t="e">
        <f>#REF!</f>
        <v>#REF!</v>
      </c>
      <c r="G42" s="20" t="e">
        <f t="shared" si="0"/>
        <v>#REF!</v>
      </c>
      <c r="H42" s="11">
        <v>266</v>
      </c>
      <c r="I42" s="19">
        <f t="shared" si="1"/>
        <v>0.88666666666666671</v>
      </c>
      <c r="J42" s="20" t="e">
        <f t="shared" si="2"/>
        <v>#REF!</v>
      </c>
      <c r="L42" s="29"/>
      <c r="M42" s="29"/>
      <c r="N42" s="29"/>
      <c r="O42" s="29"/>
      <c r="P42" s="29"/>
      <c r="Q42" s="29"/>
    </row>
    <row r="43" spans="2:17" ht="15">
      <c r="B43" s="16" t="s">
        <v>173</v>
      </c>
      <c r="C43" s="80"/>
      <c r="D43" s="39"/>
      <c r="E43" s="40"/>
      <c r="F43" s="85"/>
      <c r="G43" s="41"/>
      <c r="H43" s="86">
        <f>SUM(H40:H42)</f>
        <v>1784</v>
      </c>
      <c r="I43" s="71">
        <f>SUM(I40:I42)</f>
        <v>2.7320833333333336</v>
      </c>
      <c r="J43" s="72" t="e">
        <f>SUM(J40:J42)</f>
        <v>#REF!</v>
      </c>
      <c r="L43" s="29"/>
      <c r="M43" s="29"/>
      <c r="N43" s="29"/>
      <c r="O43" s="29"/>
      <c r="P43" s="29"/>
      <c r="Q43" s="29"/>
    </row>
    <row r="44" spans="2:17">
      <c r="B44" s="52" t="s">
        <v>180</v>
      </c>
      <c r="C44" s="52"/>
      <c r="D44" s="53"/>
      <c r="E44" s="63"/>
      <c r="F44" s="53"/>
      <c r="G44" s="64"/>
      <c r="H44" s="54"/>
      <c r="I44" s="65"/>
      <c r="J44" s="64"/>
    </row>
    <row r="45" spans="2:17">
      <c r="B45" s="61" t="s">
        <v>171</v>
      </c>
      <c r="C45" s="43" t="s">
        <v>65</v>
      </c>
      <c r="D45" s="48">
        <v>800</v>
      </c>
      <c r="E45" s="38">
        <f>1/D45</f>
        <v>1.25E-3</v>
      </c>
      <c r="F45" s="49" t="e">
        <f>#REF!</f>
        <v>#REF!</v>
      </c>
      <c r="G45" s="46" t="e">
        <f t="shared" si="0"/>
        <v>#REF!</v>
      </c>
      <c r="H45" s="62">
        <v>1593</v>
      </c>
      <c r="I45" s="45">
        <f t="shared" si="1"/>
        <v>1.99125</v>
      </c>
      <c r="J45" s="46" t="e">
        <f t="shared" si="2"/>
        <v>#REF!</v>
      </c>
    </row>
    <row r="46" spans="2:17">
      <c r="B46" s="10" t="s">
        <v>221</v>
      </c>
      <c r="C46" s="7" t="s">
        <v>65</v>
      </c>
      <c r="D46" s="21">
        <v>1800</v>
      </c>
      <c r="E46" s="31">
        <f>1/D46</f>
        <v>5.5555555555555556E-4</v>
      </c>
      <c r="F46" s="47" t="e">
        <f>F45</f>
        <v>#REF!</v>
      </c>
      <c r="G46" s="20" t="e">
        <f t="shared" si="0"/>
        <v>#REF!</v>
      </c>
      <c r="H46" s="11">
        <v>2000</v>
      </c>
      <c r="I46" s="19">
        <f t="shared" si="1"/>
        <v>1.1111111111111112</v>
      </c>
      <c r="J46" s="20" t="e">
        <f t="shared" si="2"/>
        <v>#REF!</v>
      </c>
    </row>
    <row r="47" spans="2:17">
      <c r="B47" s="9" t="s">
        <v>222</v>
      </c>
      <c r="C47" s="7" t="s">
        <v>65</v>
      </c>
      <c r="D47" s="21">
        <v>300</v>
      </c>
      <c r="E47" s="114">
        <f>(1/D47)*16*(1/188.76)</f>
        <v>2.8254573709119167E-4</v>
      </c>
      <c r="F47" s="47" t="e">
        <f>#REF!</f>
        <v>#REF!</v>
      </c>
      <c r="G47" s="20" t="e">
        <f t="shared" si="0"/>
        <v>#REF!</v>
      </c>
      <c r="H47" s="11">
        <v>221</v>
      </c>
      <c r="I47" s="19">
        <f t="shared" si="1"/>
        <v>0.73666666666666669</v>
      </c>
      <c r="J47" s="20" t="e">
        <f t="shared" si="2"/>
        <v>#REF!</v>
      </c>
    </row>
    <row r="48" spans="2:17">
      <c r="B48" s="16" t="s">
        <v>173</v>
      </c>
      <c r="C48" s="80"/>
      <c r="D48" s="39"/>
      <c r="E48" s="40"/>
      <c r="F48" s="85"/>
      <c r="G48" s="41"/>
      <c r="H48" s="86">
        <f>SUM(H45:H47)</f>
        <v>3814</v>
      </c>
      <c r="I48" s="71">
        <f>SUM(I45:I47)</f>
        <v>3.8390277777777779</v>
      </c>
      <c r="J48" s="72" t="e">
        <f>SUM(J45:J47)</f>
        <v>#REF!</v>
      </c>
    </row>
    <row r="49" spans="2:17">
      <c r="B49" s="52" t="s">
        <v>181</v>
      </c>
      <c r="C49" s="52"/>
      <c r="D49" s="79"/>
      <c r="E49" s="63"/>
      <c r="F49" s="53"/>
      <c r="G49" s="64"/>
      <c r="H49" s="54"/>
      <c r="I49" s="65"/>
      <c r="J49" s="64"/>
    </row>
    <row r="50" spans="2:17">
      <c r="B50" s="43" t="s">
        <v>171</v>
      </c>
      <c r="C50" s="43" t="s">
        <v>65</v>
      </c>
      <c r="D50" s="21">
        <v>800</v>
      </c>
      <c r="E50" s="31">
        <f>1/D50</f>
        <v>1.25E-3</v>
      </c>
      <c r="F50" s="88" t="e">
        <f>#REF!</f>
        <v>#REF!</v>
      </c>
      <c r="G50" s="33" t="e">
        <f t="shared" si="0"/>
        <v>#REF!</v>
      </c>
      <c r="H50" s="87">
        <v>5259.72</v>
      </c>
      <c r="I50" s="32">
        <f t="shared" si="1"/>
        <v>6.5746500000000001</v>
      </c>
      <c r="J50" s="33" t="e">
        <f t="shared" si="2"/>
        <v>#REF!</v>
      </c>
    </row>
    <row r="51" spans="2:17">
      <c r="B51" s="7" t="s">
        <v>172</v>
      </c>
      <c r="C51" s="7" t="s">
        <v>65</v>
      </c>
      <c r="D51" s="21">
        <v>1800</v>
      </c>
      <c r="E51" s="31">
        <f>1/D51</f>
        <v>5.5555555555555556E-4</v>
      </c>
      <c r="F51" s="88" t="e">
        <f>F50</f>
        <v>#REF!</v>
      </c>
      <c r="G51" s="33" t="e">
        <f t="shared" si="0"/>
        <v>#REF!</v>
      </c>
      <c r="H51" s="87">
        <v>219.75</v>
      </c>
      <c r="I51" s="32">
        <f t="shared" si="1"/>
        <v>0.12208333333333334</v>
      </c>
      <c r="J51" s="33" t="e">
        <f t="shared" si="2"/>
        <v>#REF!</v>
      </c>
    </row>
    <row r="52" spans="2:17" s="123" customFormat="1" ht="27" customHeight="1">
      <c r="B52" s="117" t="s">
        <v>207</v>
      </c>
      <c r="C52" s="117" t="s">
        <v>192</v>
      </c>
      <c r="D52" s="125">
        <v>300</v>
      </c>
      <c r="E52" s="118">
        <f>(1/D52)*16*(1/188.76)</f>
        <v>2.8254573709119167E-4</v>
      </c>
      <c r="F52" s="119" t="e">
        <f>#REF!</f>
        <v>#REF!</v>
      </c>
      <c r="G52" s="120" t="e">
        <f t="shared" si="0"/>
        <v>#REF!</v>
      </c>
      <c r="H52" s="121">
        <v>398.85</v>
      </c>
      <c r="I52" s="122">
        <f t="shared" si="1"/>
        <v>1.3295000000000001</v>
      </c>
      <c r="J52" s="120" t="e">
        <f t="shared" si="2"/>
        <v>#REF!</v>
      </c>
      <c r="L52" s="124"/>
      <c r="M52" s="124"/>
      <c r="N52" s="124"/>
      <c r="O52" s="124"/>
      <c r="P52" s="124"/>
      <c r="Q52" s="124"/>
    </row>
    <row r="53" spans="2:17">
      <c r="B53" s="16" t="s">
        <v>173</v>
      </c>
      <c r="C53" s="16"/>
      <c r="D53" s="39"/>
      <c r="E53" s="40"/>
      <c r="F53" s="85"/>
      <c r="G53" s="41"/>
      <c r="H53" s="89">
        <f>SUM(H50:H52)</f>
        <v>5878.3200000000006</v>
      </c>
      <c r="I53" s="89">
        <f>SUM(I50:I52)</f>
        <v>8.0262333333333338</v>
      </c>
      <c r="J53" s="90" t="e">
        <f>SUM(J50:J52)</f>
        <v>#REF!</v>
      </c>
    </row>
    <row r="54" spans="2:17">
      <c r="B54" s="52" t="s">
        <v>182</v>
      </c>
      <c r="C54" s="52"/>
      <c r="D54" s="79"/>
      <c r="E54" s="63"/>
      <c r="F54" s="53"/>
      <c r="G54" s="64"/>
      <c r="H54" s="54"/>
      <c r="I54" s="65"/>
      <c r="J54" s="64"/>
    </row>
    <row r="55" spans="2:17">
      <c r="B55" s="9" t="s">
        <v>171</v>
      </c>
      <c r="C55" s="7" t="s">
        <v>65</v>
      </c>
      <c r="D55" s="21">
        <v>800</v>
      </c>
      <c r="E55" s="31">
        <f>1/D55</f>
        <v>1.25E-3</v>
      </c>
      <c r="F55" s="47" t="e">
        <f>#REF!</f>
        <v>#REF!</v>
      </c>
      <c r="G55" s="20" t="e">
        <f t="shared" si="0"/>
        <v>#REF!</v>
      </c>
      <c r="H55" s="11">
        <v>1170</v>
      </c>
      <c r="I55" s="19">
        <f t="shared" si="1"/>
        <v>1.4624999999999999</v>
      </c>
      <c r="J55" s="20" t="e">
        <f t="shared" si="2"/>
        <v>#REF!</v>
      </c>
    </row>
    <row r="56" spans="2:17">
      <c r="B56" s="9" t="s">
        <v>221</v>
      </c>
      <c r="C56" s="7" t="s">
        <v>65</v>
      </c>
      <c r="D56" s="21">
        <v>1800</v>
      </c>
      <c r="E56" s="31">
        <f>1/D56</f>
        <v>5.5555555555555556E-4</v>
      </c>
      <c r="F56" s="47" t="e">
        <f>F55</f>
        <v>#REF!</v>
      </c>
      <c r="G56" s="20" t="e">
        <f t="shared" si="0"/>
        <v>#REF!</v>
      </c>
      <c r="H56" s="11">
        <v>303</v>
      </c>
      <c r="I56" s="19">
        <f t="shared" si="1"/>
        <v>0.16833333333333333</v>
      </c>
      <c r="J56" s="20" t="e">
        <f t="shared" si="2"/>
        <v>#REF!</v>
      </c>
    </row>
    <row r="57" spans="2:17">
      <c r="B57" s="9" t="s">
        <v>222</v>
      </c>
      <c r="C57" s="7" t="s">
        <v>65</v>
      </c>
      <c r="D57" s="21">
        <v>300</v>
      </c>
      <c r="E57" s="114">
        <f>(1/D57)*16*(1/188.76)</f>
        <v>2.8254573709119167E-4</v>
      </c>
      <c r="F57" s="47" t="e">
        <f>#REF!</f>
        <v>#REF!</v>
      </c>
      <c r="G57" s="20" t="e">
        <f t="shared" si="0"/>
        <v>#REF!</v>
      </c>
      <c r="H57" s="11">
        <v>53</v>
      </c>
      <c r="I57" s="19">
        <f t="shared" si="1"/>
        <v>0.17666666666666667</v>
      </c>
      <c r="J57" s="20" t="e">
        <f t="shared" si="2"/>
        <v>#REF!</v>
      </c>
    </row>
    <row r="58" spans="2:17">
      <c r="B58" s="16" t="s">
        <v>173</v>
      </c>
      <c r="C58" s="80"/>
      <c r="D58" s="39"/>
      <c r="E58" s="40"/>
      <c r="F58" s="85"/>
      <c r="G58" s="41"/>
      <c r="H58" s="91">
        <f>SUM(H55:H57)</f>
        <v>1526</v>
      </c>
      <c r="I58" s="91">
        <f>SUM(I55:I57)</f>
        <v>1.8075000000000001</v>
      </c>
      <c r="J58" s="28" t="e">
        <f>SUM(J55:J57)</f>
        <v>#REF!</v>
      </c>
    </row>
    <row r="59" spans="2:17">
      <c r="B59" s="52" t="s">
        <v>183</v>
      </c>
      <c r="C59" s="52"/>
      <c r="D59" s="79"/>
      <c r="E59" s="63"/>
      <c r="F59" s="53"/>
      <c r="G59" s="64"/>
      <c r="H59" s="54"/>
      <c r="I59" s="65"/>
      <c r="J59" s="64"/>
    </row>
    <row r="60" spans="2:17">
      <c r="B60" s="9" t="s">
        <v>171</v>
      </c>
      <c r="C60" s="7" t="s">
        <v>65</v>
      </c>
      <c r="D60" s="21">
        <v>800</v>
      </c>
      <c r="E60" s="31">
        <f>1/D60</f>
        <v>1.25E-3</v>
      </c>
      <c r="F60" s="47" t="e">
        <f>#REF!</f>
        <v>#REF!</v>
      </c>
      <c r="G60" s="20" t="e">
        <f t="shared" si="0"/>
        <v>#REF!</v>
      </c>
      <c r="H60" s="11">
        <v>1173</v>
      </c>
      <c r="I60" s="19">
        <f t="shared" si="1"/>
        <v>1.4662500000000001</v>
      </c>
      <c r="J60" s="20" t="e">
        <f t="shared" si="2"/>
        <v>#REF!</v>
      </c>
    </row>
    <row r="61" spans="2:17">
      <c r="B61" s="9" t="s">
        <v>221</v>
      </c>
      <c r="C61" s="7" t="s">
        <v>65</v>
      </c>
      <c r="D61" s="21">
        <v>1800</v>
      </c>
      <c r="E61" s="31">
        <f>1/D61</f>
        <v>5.5555555555555556E-4</v>
      </c>
      <c r="F61" s="47" t="e">
        <f>F60</f>
        <v>#REF!</v>
      </c>
      <c r="G61" s="20" t="e">
        <f t="shared" si="0"/>
        <v>#REF!</v>
      </c>
      <c r="H61" s="11">
        <v>6034</v>
      </c>
      <c r="I61" s="19">
        <f t="shared" si="1"/>
        <v>3.3522222222222222</v>
      </c>
      <c r="J61" s="20" t="e">
        <f t="shared" si="2"/>
        <v>#REF!</v>
      </c>
    </row>
    <row r="62" spans="2:17">
      <c r="B62" s="9" t="s">
        <v>222</v>
      </c>
      <c r="C62" s="7" t="s">
        <v>65</v>
      </c>
      <c r="D62" s="21">
        <v>300</v>
      </c>
      <c r="E62" s="114">
        <f>(1/D62)*16*(1/188.76)</f>
        <v>2.8254573709119167E-4</v>
      </c>
      <c r="F62" s="47" t="e">
        <f>#REF!</f>
        <v>#REF!</v>
      </c>
      <c r="G62" s="20" t="e">
        <f t="shared" si="0"/>
        <v>#REF!</v>
      </c>
      <c r="H62" s="11">
        <v>266</v>
      </c>
      <c r="I62" s="19">
        <f t="shared" si="1"/>
        <v>0.88666666666666671</v>
      </c>
      <c r="J62" s="20" t="e">
        <f t="shared" si="2"/>
        <v>#REF!</v>
      </c>
    </row>
    <row r="63" spans="2:17">
      <c r="B63" s="16" t="s">
        <v>173</v>
      </c>
      <c r="C63" s="80"/>
      <c r="D63" s="39"/>
      <c r="E63" s="40"/>
      <c r="F63" s="85"/>
      <c r="G63" s="41"/>
      <c r="H63" s="91">
        <f>SUM(H60:H62)</f>
        <v>7473</v>
      </c>
      <c r="I63" s="91">
        <f>SUM(I60:I62)</f>
        <v>5.7051388888888894</v>
      </c>
      <c r="J63" s="28" t="e">
        <f>SUM(J60:J62)</f>
        <v>#REF!</v>
      </c>
    </row>
    <row r="64" spans="2:17">
      <c r="B64" s="52" t="s">
        <v>225</v>
      </c>
      <c r="C64" s="52"/>
      <c r="D64" s="79"/>
      <c r="E64" s="63"/>
      <c r="F64" s="93"/>
      <c r="G64" s="64"/>
      <c r="H64" s="54"/>
      <c r="I64" s="65"/>
      <c r="J64" s="64"/>
    </row>
    <row r="65" spans="2:10">
      <c r="B65" s="61" t="s">
        <v>171</v>
      </c>
      <c r="C65" s="43" t="s">
        <v>65</v>
      </c>
      <c r="D65" s="48">
        <v>800</v>
      </c>
      <c r="E65" s="38">
        <f>1/D65</f>
        <v>1.25E-3</v>
      </c>
      <c r="F65" s="23" t="e">
        <f>#REF!</f>
        <v>#REF!</v>
      </c>
      <c r="G65" s="24" t="e">
        <f t="shared" si="0"/>
        <v>#REF!</v>
      </c>
      <c r="H65" s="62">
        <v>3150</v>
      </c>
      <c r="I65" s="45">
        <f t="shared" si="1"/>
        <v>3.9375</v>
      </c>
      <c r="J65" s="46" t="e">
        <f t="shared" si="2"/>
        <v>#REF!</v>
      </c>
    </row>
    <row r="66" spans="2:10">
      <c r="B66" s="10" t="s">
        <v>221</v>
      </c>
      <c r="C66" s="57" t="s">
        <v>65</v>
      </c>
      <c r="D66" s="34">
        <v>1800</v>
      </c>
      <c r="E66" s="35">
        <f>1/D66</f>
        <v>5.5555555555555556E-4</v>
      </c>
      <c r="F66" s="23" t="e">
        <f>F65</f>
        <v>#REF!</v>
      </c>
      <c r="G66" s="24" t="e">
        <f t="shared" si="0"/>
        <v>#REF!</v>
      </c>
      <c r="H66" s="92">
        <v>4000</v>
      </c>
      <c r="I66" s="36">
        <f t="shared" si="1"/>
        <v>2.2222222222222223</v>
      </c>
      <c r="J66" s="37" t="e">
        <f t="shared" si="2"/>
        <v>#REF!</v>
      </c>
    </row>
    <row r="67" spans="2:10">
      <c r="B67" s="9" t="s">
        <v>222</v>
      </c>
      <c r="C67" s="7" t="s">
        <v>65</v>
      </c>
      <c r="D67" s="21">
        <v>300</v>
      </c>
      <c r="E67" s="114">
        <f>(1/D67)*16*(1/188.76)</f>
        <v>2.8254573709119167E-4</v>
      </c>
      <c r="F67" s="47" t="e">
        <f>#REF!</f>
        <v>#REF!</v>
      </c>
      <c r="G67" s="20" t="e">
        <f t="shared" si="0"/>
        <v>#REF!</v>
      </c>
      <c r="H67" s="11">
        <v>224</v>
      </c>
      <c r="I67" s="19">
        <f t="shared" si="1"/>
        <v>0.7466666666666667</v>
      </c>
      <c r="J67" s="20" t="e">
        <f t="shared" si="2"/>
        <v>#REF!</v>
      </c>
    </row>
    <row r="68" spans="2:10">
      <c r="B68" s="16" t="s">
        <v>173</v>
      </c>
      <c r="C68" s="80"/>
      <c r="D68" s="39"/>
      <c r="E68" s="40"/>
      <c r="F68" s="85"/>
      <c r="G68" s="41"/>
      <c r="H68" s="91">
        <f>SUM(H65:H67)</f>
        <v>7374</v>
      </c>
      <c r="I68" s="91">
        <f>SUM(I65:I67)</f>
        <v>6.9063888888888894</v>
      </c>
      <c r="J68" s="28" t="e">
        <f>SUM(J65:J67)</f>
        <v>#REF!</v>
      </c>
    </row>
    <row r="69" spans="2:10">
      <c r="B69" s="52" t="s">
        <v>184</v>
      </c>
      <c r="C69" s="52"/>
      <c r="D69" s="79"/>
      <c r="E69" s="63"/>
      <c r="F69" s="53"/>
      <c r="G69" s="64"/>
      <c r="H69" s="54"/>
      <c r="I69" s="65"/>
      <c r="J69" s="64"/>
    </row>
    <row r="70" spans="2:10">
      <c r="B70" s="9" t="s">
        <v>171</v>
      </c>
      <c r="C70" s="7" t="s">
        <v>65</v>
      </c>
      <c r="D70" s="21">
        <v>800</v>
      </c>
      <c r="E70" s="31">
        <f>1/D70</f>
        <v>1.25E-3</v>
      </c>
      <c r="F70" s="47" t="e">
        <f>#REF!</f>
        <v>#REF!</v>
      </c>
      <c r="G70" s="20" t="e">
        <f t="shared" si="0"/>
        <v>#REF!</v>
      </c>
      <c r="H70" s="11">
        <v>1015</v>
      </c>
      <c r="I70" s="19">
        <f t="shared" si="1"/>
        <v>1.26875</v>
      </c>
      <c r="J70" s="20" t="e">
        <f t="shared" si="2"/>
        <v>#REF!</v>
      </c>
    </row>
    <row r="71" spans="2:10">
      <c r="B71" s="9" t="s">
        <v>221</v>
      </c>
      <c r="C71" s="7" t="s">
        <v>65</v>
      </c>
      <c r="D71" s="21">
        <v>1800</v>
      </c>
      <c r="E71" s="31">
        <f>1/D71</f>
        <v>5.5555555555555556E-4</v>
      </c>
      <c r="F71" s="47" t="e">
        <f>F70</f>
        <v>#REF!</v>
      </c>
      <c r="G71" s="20" t="e">
        <f t="shared" si="0"/>
        <v>#REF!</v>
      </c>
      <c r="H71" s="11">
        <v>372</v>
      </c>
      <c r="I71" s="19">
        <f t="shared" si="1"/>
        <v>0.20666666666666667</v>
      </c>
      <c r="J71" s="20" t="e">
        <f t="shared" si="2"/>
        <v>#REF!</v>
      </c>
    </row>
    <row r="72" spans="2:10">
      <c r="B72" s="9" t="s">
        <v>222</v>
      </c>
      <c r="C72" s="7" t="s">
        <v>65</v>
      </c>
      <c r="D72" s="21">
        <v>300</v>
      </c>
      <c r="E72" s="114">
        <f>(1/D72)*16*(1/188.76)</f>
        <v>2.8254573709119167E-4</v>
      </c>
      <c r="F72" s="47" t="e">
        <f>#REF!</f>
        <v>#REF!</v>
      </c>
      <c r="G72" s="20" t="e">
        <f t="shared" si="0"/>
        <v>#REF!</v>
      </c>
      <c r="H72" s="11">
        <v>55</v>
      </c>
      <c r="I72" s="19">
        <f t="shared" si="1"/>
        <v>0.18333333333333332</v>
      </c>
      <c r="J72" s="20" t="e">
        <f t="shared" si="2"/>
        <v>#REF!</v>
      </c>
    </row>
    <row r="73" spans="2:10">
      <c r="B73" s="16" t="s">
        <v>173</v>
      </c>
      <c r="C73" s="80"/>
      <c r="D73" s="39"/>
      <c r="E73" s="40"/>
      <c r="F73" s="85"/>
      <c r="G73" s="41"/>
      <c r="H73" s="14">
        <f>SUM(H70:H72)</f>
        <v>1442</v>
      </c>
      <c r="I73" s="14">
        <f>SUM(I70:I72)</f>
        <v>1.6587500000000002</v>
      </c>
      <c r="J73" s="94" t="e">
        <f>SUM(J70:J72)</f>
        <v>#REF!</v>
      </c>
    </row>
    <row r="74" spans="2:10">
      <c r="B74" s="52" t="s">
        <v>185</v>
      </c>
      <c r="C74" s="52"/>
      <c r="D74" s="79"/>
      <c r="E74" s="63"/>
      <c r="F74" s="53"/>
      <c r="G74" s="64"/>
      <c r="H74" s="54"/>
      <c r="I74" s="65"/>
      <c r="J74" s="64"/>
    </row>
    <row r="75" spans="2:10">
      <c r="B75" s="9" t="s">
        <v>171</v>
      </c>
      <c r="C75" s="7" t="s">
        <v>65</v>
      </c>
      <c r="D75" s="21">
        <v>800</v>
      </c>
      <c r="E75" s="31">
        <f>1/D75</f>
        <v>1.25E-3</v>
      </c>
      <c r="F75" s="47" t="e">
        <f>#REF!</f>
        <v>#REF!</v>
      </c>
      <c r="G75" s="20" t="e">
        <f t="shared" si="0"/>
        <v>#REF!</v>
      </c>
      <c r="H75" s="11">
        <v>4196</v>
      </c>
      <c r="I75" s="19">
        <f t="shared" si="1"/>
        <v>5.2450000000000001</v>
      </c>
      <c r="J75" s="20" t="e">
        <f t="shared" si="2"/>
        <v>#REF!</v>
      </c>
    </row>
    <row r="76" spans="2:10">
      <c r="B76" s="9" t="s">
        <v>221</v>
      </c>
      <c r="C76" s="7" t="s">
        <v>65</v>
      </c>
      <c r="D76" s="21">
        <v>1800</v>
      </c>
      <c r="E76" s="31">
        <f>1/D76</f>
        <v>5.5555555555555556E-4</v>
      </c>
      <c r="F76" s="47" t="e">
        <f>F75</f>
        <v>#REF!</v>
      </c>
      <c r="G76" s="20" t="e">
        <f t="shared" si="0"/>
        <v>#REF!</v>
      </c>
      <c r="H76" s="11">
        <v>3015</v>
      </c>
      <c r="I76" s="19">
        <f t="shared" si="1"/>
        <v>1.675</v>
      </c>
      <c r="J76" s="20" t="e">
        <f t="shared" si="2"/>
        <v>#REF!</v>
      </c>
    </row>
    <row r="77" spans="2:10">
      <c r="B77" s="9" t="s">
        <v>222</v>
      </c>
      <c r="C77" s="7" t="s">
        <v>65</v>
      </c>
      <c r="D77" s="21">
        <v>300</v>
      </c>
      <c r="E77" s="114">
        <f>(1/D77)*16*(1/188.76)</f>
        <v>2.8254573709119167E-4</v>
      </c>
      <c r="F77" s="47" t="e">
        <f>#REF!</f>
        <v>#REF!</v>
      </c>
      <c r="G77" s="20" t="e">
        <f t="shared" si="0"/>
        <v>#REF!</v>
      </c>
      <c r="H77" s="11">
        <v>1172</v>
      </c>
      <c r="I77" s="19">
        <f t="shared" si="1"/>
        <v>3.9066666666666667</v>
      </c>
      <c r="J77" s="20" t="e">
        <f t="shared" si="2"/>
        <v>#REF!</v>
      </c>
    </row>
    <row r="78" spans="2:10">
      <c r="B78" s="27" t="s">
        <v>173</v>
      </c>
      <c r="C78" s="80"/>
      <c r="D78" s="39"/>
      <c r="E78" s="40"/>
      <c r="F78" s="85"/>
      <c r="G78" s="41"/>
      <c r="H78" s="14">
        <f>SUM(H75:H77)</f>
        <v>8383</v>
      </c>
      <c r="I78" s="14">
        <f>SUM(I75:I77)</f>
        <v>10.826666666666666</v>
      </c>
      <c r="J78" s="94" t="e">
        <f>SUM(J75:J77)</f>
        <v>#REF!</v>
      </c>
    </row>
    <row r="79" spans="2:10">
      <c r="B79" s="52" t="s">
        <v>186</v>
      </c>
      <c r="C79" s="52"/>
      <c r="D79" s="79"/>
      <c r="E79" s="63"/>
      <c r="F79" s="53"/>
      <c r="G79" s="64"/>
      <c r="H79" s="54"/>
      <c r="I79" s="65"/>
      <c r="J79" s="64"/>
    </row>
    <row r="80" spans="2:10">
      <c r="B80" s="9" t="s">
        <v>171</v>
      </c>
      <c r="C80" s="7" t="s">
        <v>65</v>
      </c>
      <c r="D80" s="21">
        <v>800</v>
      </c>
      <c r="E80" s="31">
        <f>1/D80</f>
        <v>1.25E-3</v>
      </c>
      <c r="F80" s="47" t="e">
        <f>#REF!</f>
        <v>#REF!</v>
      </c>
      <c r="G80" s="20" t="e">
        <f t="shared" ref="G80:G117" si="3">F80*E80</f>
        <v>#REF!</v>
      </c>
      <c r="H80" s="11">
        <v>1692</v>
      </c>
      <c r="I80" s="19">
        <f t="shared" ref="I80:I117" si="4">H80/D80</f>
        <v>2.1150000000000002</v>
      </c>
      <c r="J80" s="20" t="e">
        <f t="shared" ref="J80:J117" si="5">G80*H80</f>
        <v>#REF!</v>
      </c>
    </row>
    <row r="81" spans="2:10">
      <c r="B81" s="9" t="s">
        <v>221</v>
      </c>
      <c r="C81" s="7" t="s">
        <v>65</v>
      </c>
      <c r="D81" s="21">
        <v>1800</v>
      </c>
      <c r="E81" s="31">
        <f>1/D81</f>
        <v>5.5555555555555556E-4</v>
      </c>
      <c r="F81" s="47" t="e">
        <f>F80</f>
        <v>#REF!</v>
      </c>
      <c r="G81" s="20" t="e">
        <f t="shared" si="3"/>
        <v>#REF!</v>
      </c>
      <c r="H81" s="11">
        <v>200</v>
      </c>
      <c r="I81" s="19">
        <f t="shared" si="4"/>
        <v>0.1111111111111111</v>
      </c>
      <c r="J81" s="20" t="e">
        <f t="shared" si="5"/>
        <v>#REF!</v>
      </c>
    </row>
    <row r="82" spans="2:10">
      <c r="B82" s="9" t="s">
        <v>222</v>
      </c>
      <c r="C82" s="7" t="s">
        <v>65</v>
      </c>
      <c r="D82" s="21">
        <v>300</v>
      </c>
      <c r="E82" s="114">
        <f>(1/D82)*16*(1/188.76)</f>
        <v>2.8254573709119167E-4</v>
      </c>
      <c r="F82" s="47" t="e">
        <f>#REF!</f>
        <v>#REF!</v>
      </c>
      <c r="G82" s="20" t="e">
        <f t="shared" si="3"/>
        <v>#REF!</v>
      </c>
      <c r="H82" s="11">
        <v>801</v>
      </c>
      <c r="I82" s="19">
        <f t="shared" si="4"/>
        <v>2.67</v>
      </c>
      <c r="J82" s="20" t="e">
        <f t="shared" si="5"/>
        <v>#REF!</v>
      </c>
    </row>
    <row r="83" spans="2:10">
      <c r="B83" s="16" t="s">
        <v>173</v>
      </c>
      <c r="C83" s="80"/>
      <c r="D83" s="39"/>
      <c r="E83" s="40"/>
      <c r="F83" s="85"/>
      <c r="G83" s="41"/>
      <c r="H83" s="14">
        <f>SUM(H80:H82)</f>
        <v>2693</v>
      </c>
      <c r="I83" s="14">
        <f>SUM(I80:I82)</f>
        <v>4.8961111111111109</v>
      </c>
      <c r="J83" s="94" t="e">
        <f>SUM(J80:J82)</f>
        <v>#REF!</v>
      </c>
    </row>
    <row r="84" spans="2:10">
      <c r="B84" s="52" t="s">
        <v>187</v>
      </c>
      <c r="C84" s="52"/>
      <c r="D84" s="79"/>
      <c r="E84" s="63"/>
      <c r="F84" s="54"/>
      <c r="G84" s="64"/>
      <c r="H84" s="54"/>
      <c r="I84" s="65"/>
      <c r="J84" s="64"/>
    </row>
    <row r="85" spans="2:10">
      <c r="B85" s="9" t="s">
        <v>171</v>
      </c>
      <c r="C85" s="7" t="s">
        <v>65</v>
      </c>
      <c r="D85" s="21">
        <v>800</v>
      </c>
      <c r="E85" s="31">
        <f>1/D85</f>
        <v>1.25E-3</v>
      </c>
      <c r="F85" s="47" t="e">
        <f>#REF!</f>
        <v>#REF!</v>
      </c>
      <c r="G85" s="20" t="e">
        <f t="shared" si="3"/>
        <v>#REF!</v>
      </c>
      <c r="H85" s="11">
        <v>2501</v>
      </c>
      <c r="I85" s="19">
        <f t="shared" si="4"/>
        <v>3.1262500000000002</v>
      </c>
      <c r="J85" s="20" t="e">
        <f t="shared" si="5"/>
        <v>#REF!</v>
      </c>
    </row>
    <row r="86" spans="2:10">
      <c r="B86" s="9" t="s">
        <v>221</v>
      </c>
      <c r="C86" s="7" t="s">
        <v>65</v>
      </c>
      <c r="D86" s="21">
        <v>1800</v>
      </c>
      <c r="E86" s="31">
        <f>1/D86</f>
        <v>5.5555555555555556E-4</v>
      </c>
      <c r="F86" s="47" t="e">
        <f>F85</f>
        <v>#REF!</v>
      </c>
      <c r="G86" s="20" t="e">
        <f t="shared" si="3"/>
        <v>#REF!</v>
      </c>
      <c r="H86" s="11">
        <v>283</v>
      </c>
      <c r="I86" s="19">
        <f t="shared" si="4"/>
        <v>0.15722222222222224</v>
      </c>
      <c r="J86" s="20" t="e">
        <f t="shared" si="5"/>
        <v>#REF!</v>
      </c>
    </row>
    <row r="87" spans="2:10">
      <c r="B87" s="9" t="s">
        <v>222</v>
      </c>
      <c r="C87" s="7" t="s">
        <v>65</v>
      </c>
      <c r="D87" s="21">
        <v>300</v>
      </c>
      <c r="E87" s="114">
        <f>(1/D87)*16*(1/188.76)</f>
        <v>2.8254573709119167E-4</v>
      </c>
      <c r="F87" s="47" t="e">
        <f>#REF!</f>
        <v>#REF!</v>
      </c>
      <c r="G87" s="20" t="e">
        <f t="shared" si="3"/>
        <v>#REF!</v>
      </c>
      <c r="H87" s="11">
        <v>326</v>
      </c>
      <c r="I87" s="19">
        <f t="shared" si="4"/>
        <v>1.0866666666666667</v>
      </c>
      <c r="J87" s="20" t="e">
        <f t="shared" si="5"/>
        <v>#REF!</v>
      </c>
    </row>
    <row r="88" spans="2:10">
      <c r="B88" s="16" t="s">
        <v>173</v>
      </c>
      <c r="C88" s="13"/>
      <c r="D88" s="39"/>
      <c r="E88" s="40"/>
      <c r="F88" s="23"/>
      <c r="G88" s="25"/>
      <c r="H88" s="14">
        <f>SUM(H85:H87)</f>
        <v>3110</v>
      </c>
      <c r="I88" s="14">
        <f>SUM(I85:I87)</f>
        <v>4.3701388888888895</v>
      </c>
      <c r="J88" s="94" t="e">
        <f>SUM(J85:J87)</f>
        <v>#REF!</v>
      </c>
    </row>
    <row r="89" spans="2:10">
      <c r="B89" s="52" t="s">
        <v>226</v>
      </c>
      <c r="C89" s="52"/>
      <c r="D89" s="79"/>
      <c r="E89" s="63"/>
      <c r="F89" s="54"/>
      <c r="G89" s="64"/>
      <c r="H89" s="54"/>
      <c r="I89" s="65"/>
      <c r="J89" s="64"/>
    </row>
    <row r="90" spans="2:10">
      <c r="B90" s="9" t="s">
        <v>171</v>
      </c>
      <c r="C90" s="7" t="s">
        <v>65</v>
      </c>
      <c r="D90" s="21">
        <v>800</v>
      </c>
      <c r="E90" s="31">
        <f>1/D90</f>
        <v>1.25E-3</v>
      </c>
      <c r="F90" s="47">
        <f>'STS-Republica'!N177</f>
        <v>0</v>
      </c>
      <c r="G90" s="20">
        <f t="shared" si="3"/>
        <v>0</v>
      </c>
      <c r="H90" s="11">
        <v>1068</v>
      </c>
      <c r="I90" s="19">
        <f t="shared" si="4"/>
        <v>1.335</v>
      </c>
      <c r="J90" s="20">
        <f t="shared" si="5"/>
        <v>0</v>
      </c>
    </row>
    <row r="91" spans="2:10">
      <c r="B91" s="9" t="s">
        <v>221</v>
      </c>
      <c r="C91" s="7" t="s">
        <v>65</v>
      </c>
      <c r="D91" s="21">
        <v>1800</v>
      </c>
      <c r="E91" s="31">
        <f>1/D91</f>
        <v>5.5555555555555556E-4</v>
      </c>
      <c r="F91" s="47"/>
      <c r="G91" s="20">
        <f t="shared" si="3"/>
        <v>0</v>
      </c>
      <c r="H91" s="11"/>
      <c r="I91" s="19">
        <f t="shared" si="4"/>
        <v>0</v>
      </c>
      <c r="J91" s="20">
        <f t="shared" si="5"/>
        <v>0</v>
      </c>
    </row>
    <row r="92" spans="2:10">
      <c r="B92" s="9" t="s">
        <v>222</v>
      </c>
      <c r="C92" s="7" t="s">
        <v>65</v>
      </c>
      <c r="D92" s="21">
        <v>300</v>
      </c>
      <c r="E92" s="114">
        <f>(1/D92)*16*(1/188.76)</f>
        <v>2.8254573709119167E-4</v>
      </c>
      <c r="F92" s="56"/>
      <c r="G92" s="20">
        <f t="shared" si="3"/>
        <v>0</v>
      </c>
      <c r="H92" s="11"/>
      <c r="I92" s="19">
        <f t="shared" si="4"/>
        <v>0</v>
      </c>
      <c r="J92" s="20">
        <f t="shared" si="5"/>
        <v>0</v>
      </c>
    </row>
    <row r="93" spans="2:10">
      <c r="B93" s="27" t="s">
        <v>173</v>
      </c>
      <c r="C93" s="80"/>
      <c r="D93" s="39"/>
      <c r="E93" s="40"/>
      <c r="F93" s="85"/>
      <c r="G93" s="41"/>
      <c r="H93" s="91">
        <f>SUM(H90:H92)</f>
        <v>1068</v>
      </c>
      <c r="I93" s="91">
        <f>SUM(I90:I92)</f>
        <v>1.335</v>
      </c>
      <c r="J93" s="28">
        <f>SUM(J90:J92)</f>
        <v>0</v>
      </c>
    </row>
    <row r="94" spans="2:10">
      <c r="B94" s="52" t="s">
        <v>188</v>
      </c>
      <c r="C94" s="52"/>
      <c r="D94" s="79"/>
      <c r="E94" s="63"/>
      <c r="F94" s="54"/>
      <c r="G94" s="64"/>
      <c r="H94" s="54"/>
      <c r="I94" s="65"/>
      <c r="J94" s="64"/>
    </row>
    <row r="95" spans="2:10">
      <c r="B95" s="61" t="s">
        <v>171</v>
      </c>
      <c r="C95" s="43" t="s">
        <v>65</v>
      </c>
      <c r="D95" s="48">
        <v>800</v>
      </c>
      <c r="E95" s="38">
        <f>1/D95</f>
        <v>1.25E-3</v>
      </c>
      <c r="F95" s="23" t="e">
        <f>#REF!</f>
        <v>#REF!</v>
      </c>
      <c r="G95" s="24" t="e">
        <f t="shared" si="3"/>
        <v>#REF!</v>
      </c>
      <c r="H95" s="62">
        <v>95</v>
      </c>
      <c r="I95" s="45">
        <f t="shared" si="4"/>
        <v>0.11874999999999999</v>
      </c>
      <c r="J95" s="46" t="e">
        <f t="shared" si="5"/>
        <v>#REF!</v>
      </c>
    </row>
    <row r="96" spans="2:10">
      <c r="B96" s="10" t="s">
        <v>221</v>
      </c>
      <c r="C96" s="57" t="s">
        <v>65</v>
      </c>
      <c r="D96" s="34">
        <v>1800</v>
      </c>
      <c r="E96" s="35">
        <f>1/D96</f>
        <v>5.5555555555555556E-4</v>
      </c>
      <c r="F96" s="23" t="e">
        <f>F95</f>
        <v>#REF!</v>
      </c>
      <c r="G96" s="24" t="e">
        <f t="shared" si="3"/>
        <v>#REF!</v>
      </c>
      <c r="H96" s="92">
        <v>1565</v>
      </c>
      <c r="I96" s="36">
        <f t="shared" si="4"/>
        <v>0.86944444444444446</v>
      </c>
      <c r="J96" s="37" t="e">
        <f t="shared" si="5"/>
        <v>#REF!</v>
      </c>
    </row>
    <row r="97" spans="2:10">
      <c r="B97" s="9" t="s">
        <v>222</v>
      </c>
      <c r="C97" s="7" t="s">
        <v>65</v>
      </c>
      <c r="D97" s="21">
        <v>300</v>
      </c>
      <c r="E97" s="114">
        <f>(1/D97)*16*(1/188.76)</f>
        <v>2.8254573709119167E-4</v>
      </c>
      <c r="F97" s="47" t="e">
        <f>#REF!</f>
        <v>#REF!</v>
      </c>
      <c r="G97" s="20" t="e">
        <f t="shared" si="3"/>
        <v>#REF!</v>
      </c>
      <c r="H97" s="11">
        <v>9</v>
      </c>
      <c r="I97" s="19">
        <f t="shared" si="4"/>
        <v>0.03</v>
      </c>
      <c r="J97" s="20" t="e">
        <f t="shared" si="5"/>
        <v>#REF!</v>
      </c>
    </row>
    <row r="98" spans="2:10">
      <c r="B98" s="16" t="s">
        <v>173</v>
      </c>
      <c r="C98" s="13"/>
      <c r="E98" s="40"/>
      <c r="G98" s="25"/>
      <c r="H98" s="14">
        <f>SUM(H95:H97)</f>
        <v>1669</v>
      </c>
      <c r="I98" s="14">
        <f>SUM(I95:I97)</f>
        <v>1.0181944444444444</v>
      </c>
      <c r="J98" s="94" t="e">
        <f>SUM(J95:J97)</f>
        <v>#REF!</v>
      </c>
    </row>
    <row r="99" spans="2:10">
      <c r="B99" s="52" t="s">
        <v>189</v>
      </c>
      <c r="C99" s="52"/>
      <c r="D99" s="79"/>
      <c r="E99" s="63"/>
      <c r="F99" s="54"/>
      <c r="G99" s="64"/>
      <c r="H99" s="54"/>
      <c r="I99" s="65"/>
      <c r="J99" s="64"/>
    </row>
    <row r="100" spans="2:10">
      <c r="B100" s="95" t="s">
        <v>171</v>
      </c>
      <c r="C100" s="96" t="s">
        <v>65</v>
      </c>
      <c r="D100" s="97">
        <v>800</v>
      </c>
      <c r="E100" s="76">
        <f>1/D100</f>
        <v>1.25E-3</v>
      </c>
      <c r="F100" s="23" t="e">
        <f>#REF!</f>
        <v>#REF!</v>
      </c>
      <c r="G100" s="24" t="e">
        <f t="shared" si="3"/>
        <v>#REF!</v>
      </c>
      <c r="H100" s="98">
        <v>1272</v>
      </c>
      <c r="I100" s="77">
        <f t="shared" si="4"/>
        <v>1.59</v>
      </c>
      <c r="J100" s="78" t="e">
        <f t="shared" si="5"/>
        <v>#REF!</v>
      </c>
    </row>
    <row r="101" spans="2:10">
      <c r="B101" s="9" t="s">
        <v>221</v>
      </c>
      <c r="C101" s="7" t="s">
        <v>65</v>
      </c>
      <c r="D101" s="21">
        <v>1800</v>
      </c>
      <c r="E101" s="31">
        <f>1/D101</f>
        <v>5.5555555555555556E-4</v>
      </c>
      <c r="F101" s="47" t="e">
        <f>F100</f>
        <v>#REF!</v>
      </c>
      <c r="G101" s="20" t="e">
        <f t="shared" si="3"/>
        <v>#REF!</v>
      </c>
      <c r="H101" s="11">
        <v>516</v>
      </c>
      <c r="I101" s="19">
        <f t="shared" si="4"/>
        <v>0.28666666666666668</v>
      </c>
      <c r="J101" s="20" t="e">
        <f t="shared" si="5"/>
        <v>#REF!</v>
      </c>
    </row>
    <row r="102" spans="2:10">
      <c r="B102" s="9" t="s">
        <v>222</v>
      </c>
      <c r="C102" s="7" t="s">
        <v>65</v>
      </c>
      <c r="D102" s="21">
        <v>300</v>
      </c>
      <c r="E102" s="114">
        <f>(1/D102)*16*(1/188.76)</f>
        <v>2.8254573709119167E-4</v>
      </c>
      <c r="F102" s="47" t="e">
        <f>#REF!</f>
        <v>#REF!</v>
      </c>
      <c r="G102" s="20" t="e">
        <f t="shared" si="3"/>
        <v>#REF!</v>
      </c>
      <c r="H102" s="11">
        <v>223</v>
      </c>
      <c r="I102" s="19">
        <f t="shared" si="4"/>
        <v>0.74333333333333329</v>
      </c>
      <c r="J102" s="20" t="e">
        <f t="shared" si="5"/>
        <v>#REF!</v>
      </c>
    </row>
    <row r="103" spans="2:10">
      <c r="B103" s="16" t="s">
        <v>173</v>
      </c>
      <c r="C103" s="13"/>
      <c r="D103" s="39"/>
      <c r="E103" s="40"/>
      <c r="F103" s="85"/>
      <c r="G103" s="41"/>
      <c r="H103" s="14">
        <f>SUM(H100:H102)</f>
        <v>2011</v>
      </c>
      <c r="I103" s="14">
        <f>SUM(I100:I102)</f>
        <v>2.62</v>
      </c>
      <c r="J103" s="94" t="e">
        <f>SUM(J100:J102)</f>
        <v>#REF!</v>
      </c>
    </row>
    <row r="104" spans="2:10">
      <c r="B104" s="52" t="s">
        <v>227</v>
      </c>
      <c r="C104" s="52"/>
      <c r="D104" s="79"/>
      <c r="E104" s="63"/>
      <c r="F104" s="54"/>
      <c r="G104" s="64"/>
      <c r="H104" s="54"/>
      <c r="I104" s="65"/>
      <c r="J104" s="64"/>
    </row>
    <row r="105" spans="2:10">
      <c r="B105" s="9" t="s">
        <v>171</v>
      </c>
      <c r="C105" s="7" t="s">
        <v>65</v>
      </c>
      <c r="D105" s="21">
        <v>800</v>
      </c>
      <c r="E105" s="31">
        <f>1/D105</f>
        <v>1.25E-3</v>
      </c>
      <c r="F105" s="47" t="e">
        <f>#REF!</f>
        <v>#REF!</v>
      </c>
      <c r="G105" s="20" t="e">
        <f t="shared" si="3"/>
        <v>#REF!</v>
      </c>
      <c r="H105" s="11">
        <v>1281</v>
      </c>
      <c r="I105" s="19">
        <f t="shared" si="4"/>
        <v>1.6012500000000001</v>
      </c>
      <c r="J105" s="20" t="e">
        <f t="shared" si="5"/>
        <v>#REF!</v>
      </c>
    </row>
    <row r="106" spans="2:10">
      <c r="B106" s="9" t="s">
        <v>221</v>
      </c>
      <c r="C106" s="7" t="s">
        <v>65</v>
      </c>
      <c r="D106" s="21">
        <v>1800</v>
      </c>
      <c r="E106" s="31">
        <f>1/D106</f>
        <v>5.5555555555555556E-4</v>
      </c>
      <c r="F106" s="47" t="e">
        <f>F105</f>
        <v>#REF!</v>
      </c>
      <c r="G106" s="20" t="e">
        <f t="shared" si="3"/>
        <v>#REF!</v>
      </c>
      <c r="H106" s="11">
        <v>1852</v>
      </c>
      <c r="I106" s="19">
        <f t="shared" si="4"/>
        <v>1.028888888888889</v>
      </c>
      <c r="J106" s="20" t="e">
        <f t="shared" si="5"/>
        <v>#REF!</v>
      </c>
    </row>
    <row r="107" spans="2:10">
      <c r="B107" s="9" t="s">
        <v>222</v>
      </c>
      <c r="C107" s="7" t="s">
        <v>65</v>
      </c>
      <c r="D107" s="21">
        <v>300</v>
      </c>
      <c r="E107" s="114">
        <f>(1/D107)*16*(1/188.76)</f>
        <v>2.8254573709119167E-4</v>
      </c>
      <c r="F107" s="47" t="e">
        <f>#REF!</f>
        <v>#REF!</v>
      </c>
      <c r="G107" s="20" t="e">
        <f t="shared" si="3"/>
        <v>#REF!</v>
      </c>
      <c r="H107" s="11">
        <v>293</v>
      </c>
      <c r="I107" s="19">
        <f t="shared" si="4"/>
        <v>0.97666666666666668</v>
      </c>
      <c r="J107" s="20" t="e">
        <f t="shared" si="5"/>
        <v>#REF!</v>
      </c>
    </row>
    <row r="108" spans="2:10">
      <c r="B108" s="16" t="s">
        <v>173</v>
      </c>
      <c r="C108" s="13"/>
      <c r="D108" s="30"/>
      <c r="E108" s="40"/>
      <c r="G108" s="25"/>
      <c r="H108" s="14">
        <f>SUM(H105:H107)</f>
        <v>3426</v>
      </c>
      <c r="I108" s="14">
        <f>SUM(I105:I107)</f>
        <v>3.6068055555555558</v>
      </c>
      <c r="J108" s="94" t="e">
        <f>SUM(J105:J107)</f>
        <v>#REF!</v>
      </c>
    </row>
    <row r="109" spans="2:10">
      <c r="B109" s="52" t="s">
        <v>190</v>
      </c>
      <c r="C109" s="52"/>
      <c r="D109" s="99"/>
      <c r="E109" s="63"/>
      <c r="F109" s="54"/>
      <c r="G109" s="64"/>
      <c r="H109" s="54"/>
      <c r="I109" s="65"/>
      <c r="J109" s="64"/>
    </row>
    <row r="110" spans="2:10">
      <c r="B110" s="9" t="s">
        <v>171</v>
      </c>
      <c r="C110" s="7" t="s">
        <v>65</v>
      </c>
      <c r="D110" s="21">
        <v>800</v>
      </c>
      <c r="E110" s="31">
        <f>1/D110</f>
        <v>1.25E-3</v>
      </c>
      <c r="F110" s="47" t="e">
        <f>#REF!</f>
        <v>#REF!</v>
      </c>
      <c r="G110" s="20" t="e">
        <f t="shared" si="3"/>
        <v>#REF!</v>
      </c>
      <c r="H110" s="11">
        <v>580</v>
      </c>
      <c r="I110" s="19">
        <f t="shared" si="4"/>
        <v>0.72499999999999998</v>
      </c>
      <c r="J110" s="20" t="e">
        <f t="shared" si="5"/>
        <v>#REF!</v>
      </c>
    </row>
    <row r="111" spans="2:10">
      <c r="B111" s="9" t="s">
        <v>221</v>
      </c>
      <c r="C111" s="7" t="s">
        <v>65</v>
      </c>
      <c r="D111" s="21">
        <v>1800</v>
      </c>
      <c r="E111" s="31">
        <f>1/D111</f>
        <v>5.5555555555555556E-4</v>
      </c>
      <c r="F111" s="47" t="e">
        <f>F110</f>
        <v>#REF!</v>
      </c>
      <c r="G111" s="20" t="e">
        <f t="shared" si="3"/>
        <v>#REF!</v>
      </c>
      <c r="H111" s="11">
        <v>375</v>
      </c>
      <c r="I111" s="19">
        <f t="shared" si="4"/>
        <v>0.20833333333333334</v>
      </c>
      <c r="J111" s="20" t="e">
        <f t="shared" si="5"/>
        <v>#REF!</v>
      </c>
    </row>
    <row r="112" spans="2:10">
      <c r="B112" s="9" t="s">
        <v>222</v>
      </c>
      <c r="C112" s="7" t="s">
        <v>65</v>
      </c>
      <c r="D112" s="21">
        <v>380</v>
      </c>
      <c r="E112" s="114">
        <f>(1/D112)*16*(1/188.76)</f>
        <v>2.2306242401936183E-4</v>
      </c>
      <c r="F112" s="47" t="e">
        <f>#REF!</f>
        <v>#REF!</v>
      </c>
      <c r="G112" s="20" t="e">
        <f t="shared" si="3"/>
        <v>#REF!</v>
      </c>
      <c r="H112" s="11">
        <v>100</v>
      </c>
      <c r="I112" s="19">
        <f t="shared" si="4"/>
        <v>0.26315789473684209</v>
      </c>
      <c r="J112" s="20" t="e">
        <f t="shared" si="5"/>
        <v>#REF!</v>
      </c>
    </row>
    <row r="113" spans="2:10">
      <c r="B113" s="27" t="s">
        <v>173</v>
      </c>
      <c r="C113" s="80"/>
      <c r="D113" s="39"/>
      <c r="E113" s="40"/>
      <c r="F113" s="85"/>
      <c r="G113" s="41"/>
      <c r="H113" s="91">
        <f>SUM(H110:H112)</f>
        <v>1055</v>
      </c>
      <c r="I113" s="91">
        <f>SUM(I110:I112)</f>
        <v>1.1964912280701754</v>
      </c>
      <c r="J113" s="28" t="e">
        <f>SUM(J110:J112)</f>
        <v>#REF!</v>
      </c>
    </row>
    <row r="114" spans="2:10">
      <c r="B114" s="52" t="s">
        <v>191</v>
      </c>
      <c r="C114" s="52"/>
      <c r="D114" s="79"/>
      <c r="E114" s="63"/>
      <c r="F114" s="54"/>
      <c r="G114" s="64"/>
      <c r="H114" s="54"/>
      <c r="I114" s="65"/>
      <c r="J114" s="64"/>
    </row>
    <row r="115" spans="2:10">
      <c r="B115" s="9" t="s">
        <v>171</v>
      </c>
      <c r="C115" s="7" t="s">
        <v>65</v>
      </c>
      <c r="D115" s="21">
        <v>1100</v>
      </c>
      <c r="E115" s="31">
        <f>1/D115</f>
        <v>9.0909090909090909E-4</v>
      </c>
      <c r="F115" s="47" t="e">
        <f>#REF!</f>
        <v>#REF!</v>
      </c>
      <c r="G115" s="20" t="e">
        <f t="shared" si="3"/>
        <v>#REF!</v>
      </c>
      <c r="H115" s="11">
        <v>2713</v>
      </c>
      <c r="I115" s="19">
        <f t="shared" si="4"/>
        <v>2.4663636363636363</v>
      </c>
      <c r="J115" s="20" t="e">
        <f t="shared" si="5"/>
        <v>#REF!</v>
      </c>
    </row>
    <row r="116" spans="2:10">
      <c r="B116" s="9" t="s">
        <v>221</v>
      </c>
      <c r="C116" s="7" t="s">
        <v>65</v>
      </c>
      <c r="D116" s="21">
        <v>2500</v>
      </c>
      <c r="E116" s="31">
        <f>1/D116</f>
        <v>4.0000000000000002E-4</v>
      </c>
      <c r="F116" s="47" t="e">
        <f>F115</f>
        <v>#REF!</v>
      </c>
      <c r="G116" s="20" t="e">
        <f t="shared" si="3"/>
        <v>#REF!</v>
      </c>
      <c r="H116" s="11">
        <v>4700</v>
      </c>
      <c r="I116" s="19">
        <f t="shared" si="4"/>
        <v>1.88</v>
      </c>
      <c r="J116" s="20" t="e">
        <f t="shared" si="5"/>
        <v>#REF!</v>
      </c>
    </row>
    <row r="117" spans="2:10">
      <c r="B117" s="9" t="s">
        <v>222</v>
      </c>
      <c r="C117" s="7" t="s">
        <v>65</v>
      </c>
      <c r="D117" s="21">
        <v>380</v>
      </c>
      <c r="E117" s="114">
        <f>(1/D117)*30*(1/188.76)</f>
        <v>4.1824204503630345E-4</v>
      </c>
      <c r="F117" s="47" t="e">
        <f>#REF!</f>
        <v>#REF!</v>
      </c>
      <c r="G117" s="20" t="e">
        <f t="shared" si="3"/>
        <v>#REF!</v>
      </c>
      <c r="H117" s="11">
        <v>240</v>
      </c>
      <c r="I117" s="19">
        <f t="shared" si="4"/>
        <v>0.63157894736842102</v>
      </c>
      <c r="J117" s="20" t="e">
        <f t="shared" si="5"/>
        <v>#REF!</v>
      </c>
    </row>
    <row r="118" spans="2:10">
      <c r="B118" s="27" t="s">
        <v>173</v>
      </c>
      <c r="C118" s="80"/>
      <c r="D118" s="39"/>
      <c r="E118" s="40"/>
      <c r="F118" s="85"/>
      <c r="G118" s="41"/>
      <c r="H118" s="91">
        <f>SUM(H115:H117)</f>
        <v>7653</v>
      </c>
      <c r="I118" s="91">
        <f>SUM(I115:I117)</f>
        <v>4.977942583732057</v>
      </c>
      <c r="J118" s="28" t="e">
        <f>SUM(J115:J117)</f>
        <v>#REF!</v>
      </c>
    </row>
    <row r="119" spans="2:10" ht="49.5" customHeight="1">
      <c r="B119" s="12"/>
      <c r="C119" s="13"/>
      <c r="G119" s="100"/>
      <c r="H119" s="14"/>
      <c r="I119" s="126">
        <f>SUM(I118,I113,I108,I103,I98,I93,I88,I83,I78,I73,I68,I63,I58,I53,I48,I43,I38,I33,I28,I23,I18)</f>
        <v>97.006136240656787</v>
      </c>
      <c r="J119" s="127" t="e">
        <f>SUM(J118,J113,J108,J103,J98,J93,J88,J83,J78,J73,J68,J63,J58,J53,J48,J43,J38,J33,J28,J23,J18)</f>
        <v>#REF!</v>
      </c>
    </row>
    <row r="120" spans="2:10">
      <c r="B120" s="12"/>
      <c r="C120" s="13"/>
      <c r="G120" s="100"/>
      <c r="H120" s="14"/>
    </row>
    <row r="121" spans="2:10">
      <c r="B121" s="12"/>
      <c r="C121" s="13"/>
      <c r="H121" s="14"/>
    </row>
    <row r="122" spans="2:10">
      <c r="B122" s="12"/>
      <c r="C122" s="13"/>
      <c r="H122" s="14"/>
    </row>
    <row r="123" spans="2:10" ht="15">
      <c r="B123" s="12"/>
      <c r="C123" s="1"/>
      <c r="H123" s="2"/>
    </row>
    <row r="124" spans="2:10" ht="15">
      <c r="B124" s="1"/>
      <c r="C124" s="1"/>
      <c r="H124" s="2"/>
    </row>
  </sheetData>
  <mergeCells count="27">
    <mergeCell ref="P5:P6"/>
    <mergeCell ref="B10:B12"/>
    <mergeCell ref="C10:C12"/>
    <mergeCell ref="H10:H11"/>
    <mergeCell ref="D10:D11"/>
    <mergeCell ref="F10:F12"/>
    <mergeCell ref="E10:E11"/>
    <mergeCell ref="L2:L4"/>
    <mergeCell ref="L5:L6"/>
    <mergeCell ref="N5:N6"/>
    <mergeCell ref="J10:J11"/>
    <mergeCell ref="F4:G4"/>
    <mergeCell ref="F5:G5"/>
    <mergeCell ref="F6:G6"/>
    <mergeCell ref="F7:G7"/>
    <mergeCell ref="F3:G3"/>
    <mergeCell ref="G10:G12"/>
    <mergeCell ref="B2:C2"/>
    <mergeCell ref="B3:C3"/>
    <mergeCell ref="I10:I11"/>
    <mergeCell ref="D2:E2"/>
    <mergeCell ref="F2:G2"/>
    <mergeCell ref="D3:E3"/>
    <mergeCell ref="D4:E4"/>
    <mergeCell ref="D5:E5"/>
    <mergeCell ref="D6:E6"/>
    <mergeCell ref="D7:E7"/>
  </mergeCell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AD501A-DC45-49AF-9634-316A29CD9C5D}">
  <sheetPr codeName="Planilha2"/>
  <dimension ref="A1:X57"/>
  <sheetViews>
    <sheetView showGridLines="0" zoomScale="89" zoomScaleNormal="89" workbookViewId="0">
      <selection activeCell="Q33" sqref="Q33"/>
    </sheetView>
  </sheetViews>
  <sheetFormatPr defaultRowHeight="15"/>
  <cols>
    <col min="1" max="1" width="19.5" style="486" customWidth="1"/>
    <col min="2" max="2" width="9" style="486"/>
    <col min="3" max="3" width="7.75" style="486" customWidth="1"/>
    <col min="4" max="4" width="8.125" style="486" customWidth="1"/>
    <col min="5" max="6" width="9.25" style="482" bestFit="1" customWidth="1"/>
    <col min="7" max="7" width="8.125" style="482" bestFit="1" customWidth="1"/>
    <col min="8" max="8" width="8.5" style="482" bestFit="1" customWidth="1"/>
    <col min="9" max="9" width="8.75" style="482" bestFit="1" customWidth="1"/>
    <col min="10" max="10" width="9.5" style="482" bestFit="1" customWidth="1"/>
    <col min="11" max="12" width="9.25" style="482" bestFit="1" customWidth="1"/>
    <col min="13" max="13" width="9.125" style="486" customWidth="1"/>
    <col min="14" max="14" width="11.125" style="486" customWidth="1"/>
    <col min="15" max="15" width="9.25" style="486" customWidth="1"/>
    <col min="16" max="16" width="12.875" style="486" customWidth="1"/>
    <col min="17" max="17" width="9" style="486"/>
    <col min="18" max="20" width="10" style="486" bestFit="1" customWidth="1"/>
    <col min="21" max="21" width="11.125" style="486" bestFit="1" customWidth="1"/>
    <col min="22" max="22" width="11.5" style="486" bestFit="1" customWidth="1"/>
    <col min="23" max="24" width="10.75" style="486" bestFit="1" customWidth="1"/>
    <col min="25" max="256" width="9" style="486"/>
    <col min="257" max="257" width="19.5" style="486" customWidth="1"/>
    <col min="258" max="259" width="9" style="486"/>
    <col min="260" max="260" width="0" style="486" hidden="1" customWidth="1"/>
    <col min="261" max="261" width="11.75" style="486" customWidth="1"/>
    <col min="262" max="262" width="11.25" style="486" customWidth="1"/>
    <col min="263" max="263" width="13.625" style="486" customWidth="1"/>
    <col min="264" max="264" width="10.125" style="486" customWidth="1"/>
    <col min="265" max="267" width="11.625" style="486" customWidth="1"/>
    <col min="268" max="268" width="11" style="486" customWidth="1"/>
    <col min="269" max="512" width="9" style="486"/>
    <col min="513" max="513" width="19.5" style="486" customWidth="1"/>
    <col min="514" max="515" width="9" style="486"/>
    <col min="516" max="516" width="0" style="486" hidden="1" customWidth="1"/>
    <col min="517" max="517" width="11.75" style="486" customWidth="1"/>
    <col min="518" max="518" width="11.25" style="486" customWidth="1"/>
    <col min="519" max="519" width="13.625" style="486" customWidth="1"/>
    <col min="520" max="520" width="10.125" style="486" customWidth="1"/>
    <col min="521" max="523" width="11.625" style="486" customWidth="1"/>
    <col min="524" max="524" width="11" style="486" customWidth="1"/>
    <col min="525" max="768" width="9" style="486"/>
    <col min="769" max="769" width="19.5" style="486" customWidth="1"/>
    <col min="770" max="771" width="9" style="486"/>
    <col min="772" max="772" width="0" style="486" hidden="1" customWidth="1"/>
    <col min="773" max="773" width="11.75" style="486" customWidth="1"/>
    <col min="774" max="774" width="11.25" style="486" customWidth="1"/>
    <col min="775" max="775" width="13.625" style="486" customWidth="1"/>
    <col min="776" max="776" width="10.125" style="486" customWidth="1"/>
    <col min="777" max="779" width="11.625" style="486" customWidth="1"/>
    <col min="780" max="780" width="11" style="486" customWidth="1"/>
    <col min="781" max="1024" width="9" style="486"/>
    <col min="1025" max="1025" width="19.5" style="486" customWidth="1"/>
    <col min="1026" max="1027" width="9" style="486"/>
    <col min="1028" max="1028" width="0" style="486" hidden="1" customWidth="1"/>
    <col min="1029" max="1029" width="11.75" style="486" customWidth="1"/>
    <col min="1030" max="1030" width="11.25" style="486" customWidth="1"/>
    <col min="1031" max="1031" width="13.625" style="486" customWidth="1"/>
    <col min="1032" max="1032" width="10.125" style="486" customWidth="1"/>
    <col min="1033" max="1035" width="11.625" style="486" customWidth="1"/>
    <col min="1036" max="1036" width="11" style="486" customWidth="1"/>
    <col min="1037" max="1280" width="9" style="486"/>
    <col min="1281" max="1281" width="19.5" style="486" customWidth="1"/>
    <col min="1282" max="1283" width="9" style="486"/>
    <col min="1284" max="1284" width="0" style="486" hidden="1" customWidth="1"/>
    <col min="1285" max="1285" width="11.75" style="486" customWidth="1"/>
    <col min="1286" max="1286" width="11.25" style="486" customWidth="1"/>
    <col min="1287" max="1287" width="13.625" style="486" customWidth="1"/>
    <col min="1288" max="1288" width="10.125" style="486" customWidth="1"/>
    <col min="1289" max="1291" width="11.625" style="486" customWidth="1"/>
    <col min="1292" max="1292" width="11" style="486" customWidth="1"/>
    <col min="1293" max="1536" width="9" style="486"/>
    <col min="1537" max="1537" width="19.5" style="486" customWidth="1"/>
    <col min="1538" max="1539" width="9" style="486"/>
    <col min="1540" max="1540" width="0" style="486" hidden="1" customWidth="1"/>
    <col min="1541" max="1541" width="11.75" style="486" customWidth="1"/>
    <col min="1542" max="1542" width="11.25" style="486" customWidth="1"/>
    <col min="1543" max="1543" width="13.625" style="486" customWidth="1"/>
    <col min="1544" max="1544" width="10.125" style="486" customWidth="1"/>
    <col min="1545" max="1547" width="11.625" style="486" customWidth="1"/>
    <col min="1548" max="1548" width="11" style="486" customWidth="1"/>
    <col min="1549" max="1792" width="9" style="486"/>
    <col min="1793" max="1793" width="19.5" style="486" customWidth="1"/>
    <col min="1794" max="1795" width="9" style="486"/>
    <col min="1796" max="1796" width="0" style="486" hidden="1" customWidth="1"/>
    <col min="1797" max="1797" width="11.75" style="486" customWidth="1"/>
    <col min="1798" max="1798" width="11.25" style="486" customWidth="1"/>
    <col min="1799" max="1799" width="13.625" style="486" customWidth="1"/>
    <col min="1800" max="1800" width="10.125" style="486" customWidth="1"/>
    <col min="1801" max="1803" width="11.625" style="486" customWidth="1"/>
    <col min="1804" max="1804" width="11" style="486" customWidth="1"/>
    <col min="1805" max="2048" width="9" style="486"/>
    <col min="2049" max="2049" width="19.5" style="486" customWidth="1"/>
    <col min="2050" max="2051" width="9" style="486"/>
    <col min="2052" max="2052" width="0" style="486" hidden="1" customWidth="1"/>
    <col min="2053" max="2053" width="11.75" style="486" customWidth="1"/>
    <col min="2054" max="2054" width="11.25" style="486" customWidth="1"/>
    <col min="2055" max="2055" width="13.625" style="486" customWidth="1"/>
    <col min="2056" max="2056" width="10.125" style="486" customWidth="1"/>
    <col min="2057" max="2059" width="11.625" style="486" customWidth="1"/>
    <col min="2060" max="2060" width="11" style="486" customWidth="1"/>
    <col min="2061" max="2304" width="9" style="486"/>
    <col min="2305" max="2305" width="19.5" style="486" customWidth="1"/>
    <col min="2306" max="2307" width="9" style="486"/>
    <col min="2308" max="2308" width="0" style="486" hidden="1" customWidth="1"/>
    <col min="2309" max="2309" width="11.75" style="486" customWidth="1"/>
    <col min="2310" max="2310" width="11.25" style="486" customWidth="1"/>
    <col min="2311" max="2311" width="13.625" style="486" customWidth="1"/>
    <col min="2312" max="2312" width="10.125" style="486" customWidth="1"/>
    <col min="2313" max="2315" width="11.625" style="486" customWidth="1"/>
    <col min="2316" max="2316" width="11" style="486" customWidth="1"/>
    <col min="2317" max="2560" width="9" style="486"/>
    <col min="2561" max="2561" width="19.5" style="486" customWidth="1"/>
    <col min="2562" max="2563" width="9" style="486"/>
    <col min="2564" max="2564" width="0" style="486" hidden="1" customWidth="1"/>
    <col min="2565" max="2565" width="11.75" style="486" customWidth="1"/>
    <col min="2566" max="2566" width="11.25" style="486" customWidth="1"/>
    <col min="2567" max="2567" width="13.625" style="486" customWidth="1"/>
    <col min="2568" max="2568" width="10.125" style="486" customWidth="1"/>
    <col min="2569" max="2571" width="11.625" style="486" customWidth="1"/>
    <col min="2572" max="2572" width="11" style="486" customWidth="1"/>
    <col min="2573" max="2816" width="9" style="486"/>
    <col min="2817" max="2817" width="19.5" style="486" customWidth="1"/>
    <col min="2818" max="2819" width="9" style="486"/>
    <col min="2820" max="2820" width="0" style="486" hidden="1" customWidth="1"/>
    <col min="2821" max="2821" width="11.75" style="486" customWidth="1"/>
    <col min="2822" max="2822" width="11.25" style="486" customWidth="1"/>
    <col min="2823" max="2823" width="13.625" style="486" customWidth="1"/>
    <col min="2824" max="2824" width="10.125" style="486" customWidth="1"/>
    <col min="2825" max="2827" width="11.625" style="486" customWidth="1"/>
    <col min="2828" max="2828" width="11" style="486" customWidth="1"/>
    <col min="2829" max="3072" width="9" style="486"/>
    <col min="3073" max="3073" width="19.5" style="486" customWidth="1"/>
    <col min="3074" max="3075" width="9" style="486"/>
    <col min="3076" max="3076" width="0" style="486" hidden="1" customWidth="1"/>
    <col min="3077" max="3077" width="11.75" style="486" customWidth="1"/>
    <col min="3078" max="3078" width="11.25" style="486" customWidth="1"/>
    <col min="3079" max="3079" width="13.625" style="486" customWidth="1"/>
    <col min="3080" max="3080" width="10.125" style="486" customWidth="1"/>
    <col min="3081" max="3083" width="11.625" style="486" customWidth="1"/>
    <col min="3084" max="3084" width="11" style="486" customWidth="1"/>
    <col min="3085" max="3328" width="9" style="486"/>
    <col min="3329" max="3329" width="19.5" style="486" customWidth="1"/>
    <col min="3330" max="3331" width="9" style="486"/>
    <col min="3332" max="3332" width="0" style="486" hidden="1" customWidth="1"/>
    <col min="3333" max="3333" width="11.75" style="486" customWidth="1"/>
    <col min="3334" max="3334" width="11.25" style="486" customWidth="1"/>
    <col min="3335" max="3335" width="13.625" style="486" customWidth="1"/>
    <col min="3336" max="3336" width="10.125" style="486" customWidth="1"/>
    <col min="3337" max="3339" width="11.625" style="486" customWidth="1"/>
    <col min="3340" max="3340" width="11" style="486" customWidth="1"/>
    <col min="3341" max="3584" width="9" style="486"/>
    <col min="3585" max="3585" width="19.5" style="486" customWidth="1"/>
    <col min="3586" max="3587" width="9" style="486"/>
    <col min="3588" max="3588" width="0" style="486" hidden="1" customWidth="1"/>
    <col min="3589" max="3589" width="11.75" style="486" customWidth="1"/>
    <col min="3590" max="3590" width="11.25" style="486" customWidth="1"/>
    <col min="3591" max="3591" width="13.625" style="486" customWidth="1"/>
    <col min="3592" max="3592" width="10.125" style="486" customWidth="1"/>
    <col min="3593" max="3595" width="11.625" style="486" customWidth="1"/>
    <col min="3596" max="3596" width="11" style="486" customWidth="1"/>
    <col min="3597" max="3840" width="9" style="486"/>
    <col min="3841" max="3841" width="19.5" style="486" customWidth="1"/>
    <col min="3842" max="3843" width="9" style="486"/>
    <col min="3844" max="3844" width="0" style="486" hidden="1" customWidth="1"/>
    <col min="3845" max="3845" width="11.75" style="486" customWidth="1"/>
    <col min="3846" max="3846" width="11.25" style="486" customWidth="1"/>
    <col min="3847" max="3847" width="13.625" style="486" customWidth="1"/>
    <col min="3848" max="3848" width="10.125" style="486" customWidth="1"/>
    <col min="3849" max="3851" width="11.625" style="486" customWidth="1"/>
    <col min="3852" max="3852" width="11" style="486" customWidth="1"/>
    <col min="3853" max="4096" width="9" style="486"/>
    <col min="4097" max="4097" width="19.5" style="486" customWidth="1"/>
    <col min="4098" max="4099" width="9" style="486"/>
    <col min="4100" max="4100" width="0" style="486" hidden="1" customWidth="1"/>
    <col min="4101" max="4101" width="11.75" style="486" customWidth="1"/>
    <col min="4102" max="4102" width="11.25" style="486" customWidth="1"/>
    <col min="4103" max="4103" width="13.625" style="486" customWidth="1"/>
    <col min="4104" max="4104" width="10.125" style="486" customWidth="1"/>
    <col min="4105" max="4107" width="11.625" style="486" customWidth="1"/>
    <col min="4108" max="4108" width="11" style="486" customWidth="1"/>
    <col min="4109" max="4352" width="9" style="486"/>
    <col min="4353" max="4353" width="19.5" style="486" customWidth="1"/>
    <col min="4354" max="4355" width="9" style="486"/>
    <col min="4356" max="4356" width="0" style="486" hidden="1" customWidth="1"/>
    <col min="4357" max="4357" width="11.75" style="486" customWidth="1"/>
    <col min="4358" max="4358" width="11.25" style="486" customWidth="1"/>
    <col min="4359" max="4359" width="13.625" style="486" customWidth="1"/>
    <col min="4360" max="4360" width="10.125" style="486" customWidth="1"/>
    <col min="4361" max="4363" width="11.625" style="486" customWidth="1"/>
    <col min="4364" max="4364" width="11" style="486" customWidth="1"/>
    <col min="4365" max="4608" width="9" style="486"/>
    <col min="4609" max="4609" width="19.5" style="486" customWidth="1"/>
    <col min="4610" max="4611" width="9" style="486"/>
    <col min="4612" max="4612" width="0" style="486" hidden="1" customWidth="1"/>
    <col min="4613" max="4613" width="11.75" style="486" customWidth="1"/>
    <col min="4614" max="4614" width="11.25" style="486" customWidth="1"/>
    <col min="4615" max="4615" width="13.625" style="486" customWidth="1"/>
    <col min="4616" max="4616" width="10.125" style="486" customWidth="1"/>
    <col min="4617" max="4619" width="11.625" style="486" customWidth="1"/>
    <col min="4620" max="4620" width="11" style="486" customWidth="1"/>
    <col min="4621" max="4864" width="9" style="486"/>
    <col min="4865" max="4865" width="19.5" style="486" customWidth="1"/>
    <col min="4866" max="4867" width="9" style="486"/>
    <col min="4868" max="4868" width="0" style="486" hidden="1" customWidth="1"/>
    <col min="4869" max="4869" width="11.75" style="486" customWidth="1"/>
    <col min="4870" max="4870" width="11.25" style="486" customWidth="1"/>
    <col min="4871" max="4871" width="13.625" style="486" customWidth="1"/>
    <col min="4872" max="4872" width="10.125" style="486" customWidth="1"/>
    <col min="4873" max="4875" width="11.625" style="486" customWidth="1"/>
    <col min="4876" max="4876" width="11" style="486" customWidth="1"/>
    <col min="4877" max="5120" width="9" style="486"/>
    <col min="5121" max="5121" width="19.5" style="486" customWidth="1"/>
    <col min="5122" max="5123" width="9" style="486"/>
    <col min="5124" max="5124" width="0" style="486" hidden="1" customWidth="1"/>
    <col min="5125" max="5125" width="11.75" style="486" customWidth="1"/>
    <col min="5126" max="5126" width="11.25" style="486" customWidth="1"/>
    <col min="5127" max="5127" width="13.625" style="486" customWidth="1"/>
    <col min="5128" max="5128" width="10.125" style="486" customWidth="1"/>
    <col min="5129" max="5131" width="11.625" style="486" customWidth="1"/>
    <col min="5132" max="5132" width="11" style="486" customWidth="1"/>
    <col min="5133" max="5376" width="9" style="486"/>
    <col min="5377" max="5377" width="19.5" style="486" customWidth="1"/>
    <col min="5378" max="5379" width="9" style="486"/>
    <col min="5380" max="5380" width="0" style="486" hidden="1" customWidth="1"/>
    <col min="5381" max="5381" width="11.75" style="486" customWidth="1"/>
    <col min="5382" max="5382" width="11.25" style="486" customWidth="1"/>
    <col min="5383" max="5383" width="13.625" style="486" customWidth="1"/>
    <col min="5384" max="5384" width="10.125" style="486" customWidth="1"/>
    <col min="5385" max="5387" width="11.625" style="486" customWidth="1"/>
    <col min="5388" max="5388" width="11" style="486" customWidth="1"/>
    <col min="5389" max="5632" width="9" style="486"/>
    <col min="5633" max="5633" width="19.5" style="486" customWidth="1"/>
    <col min="5634" max="5635" width="9" style="486"/>
    <col min="5636" max="5636" width="0" style="486" hidden="1" customWidth="1"/>
    <col min="5637" max="5637" width="11.75" style="486" customWidth="1"/>
    <col min="5638" max="5638" width="11.25" style="486" customWidth="1"/>
    <col min="5639" max="5639" width="13.625" style="486" customWidth="1"/>
    <col min="5640" max="5640" width="10.125" style="486" customWidth="1"/>
    <col min="5641" max="5643" width="11.625" style="486" customWidth="1"/>
    <col min="5644" max="5644" width="11" style="486" customWidth="1"/>
    <col min="5645" max="5888" width="9" style="486"/>
    <col min="5889" max="5889" width="19.5" style="486" customWidth="1"/>
    <col min="5890" max="5891" width="9" style="486"/>
    <col min="5892" max="5892" width="0" style="486" hidden="1" customWidth="1"/>
    <col min="5893" max="5893" width="11.75" style="486" customWidth="1"/>
    <col min="5894" max="5894" width="11.25" style="486" customWidth="1"/>
    <col min="5895" max="5895" width="13.625" style="486" customWidth="1"/>
    <col min="5896" max="5896" width="10.125" style="486" customWidth="1"/>
    <col min="5897" max="5899" width="11.625" style="486" customWidth="1"/>
    <col min="5900" max="5900" width="11" style="486" customWidth="1"/>
    <col min="5901" max="6144" width="9" style="486"/>
    <col min="6145" max="6145" width="19.5" style="486" customWidth="1"/>
    <col min="6146" max="6147" width="9" style="486"/>
    <col min="6148" max="6148" width="0" style="486" hidden="1" customWidth="1"/>
    <col min="6149" max="6149" width="11.75" style="486" customWidth="1"/>
    <col min="6150" max="6150" width="11.25" style="486" customWidth="1"/>
    <col min="6151" max="6151" width="13.625" style="486" customWidth="1"/>
    <col min="6152" max="6152" width="10.125" style="486" customWidth="1"/>
    <col min="6153" max="6155" width="11.625" style="486" customWidth="1"/>
    <col min="6156" max="6156" width="11" style="486" customWidth="1"/>
    <col min="6157" max="6400" width="9" style="486"/>
    <col min="6401" max="6401" width="19.5" style="486" customWidth="1"/>
    <col min="6402" max="6403" width="9" style="486"/>
    <col min="6404" max="6404" width="0" style="486" hidden="1" customWidth="1"/>
    <col min="6405" max="6405" width="11.75" style="486" customWidth="1"/>
    <col min="6406" max="6406" width="11.25" style="486" customWidth="1"/>
    <col min="6407" max="6407" width="13.625" style="486" customWidth="1"/>
    <col min="6408" max="6408" width="10.125" style="486" customWidth="1"/>
    <col min="6409" max="6411" width="11.625" style="486" customWidth="1"/>
    <col min="6412" max="6412" width="11" style="486" customWidth="1"/>
    <col min="6413" max="6656" width="9" style="486"/>
    <col min="6657" max="6657" width="19.5" style="486" customWidth="1"/>
    <col min="6658" max="6659" width="9" style="486"/>
    <col min="6660" max="6660" width="0" style="486" hidden="1" customWidth="1"/>
    <col min="6661" max="6661" width="11.75" style="486" customWidth="1"/>
    <col min="6662" max="6662" width="11.25" style="486" customWidth="1"/>
    <col min="6663" max="6663" width="13.625" style="486" customWidth="1"/>
    <col min="6664" max="6664" width="10.125" style="486" customWidth="1"/>
    <col min="6665" max="6667" width="11.625" style="486" customWidth="1"/>
    <col min="6668" max="6668" width="11" style="486" customWidth="1"/>
    <col min="6669" max="6912" width="9" style="486"/>
    <col min="6913" max="6913" width="19.5" style="486" customWidth="1"/>
    <col min="6914" max="6915" width="9" style="486"/>
    <col min="6916" max="6916" width="0" style="486" hidden="1" customWidth="1"/>
    <col min="6917" max="6917" width="11.75" style="486" customWidth="1"/>
    <col min="6918" max="6918" width="11.25" style="486" customWidth="1"/>
    <col min="6919" max="6919" width="13.625" style="486" customWidth="1"/>
    <col min="6920" max="6920" width="10.125" style="486" customWidth="1"/>
    <col min="6921" max="6923" width="11.625" style="486" customWidth="1"/>
    <col min="6924" max="6924" width="11" style="486" customWidth="1"/>
    <col min="6925" max="7168" width="9" style="486"/>
    <col min="7169" max="7169" width="19.5" style="486" customWidth="1"/>
    <col min="7170" max="7171" width="9" style="486"/>
    <col min="7172" max="7172" width="0" style="486" hidden="1" customWidth="1"/>
    <col min="7173" max="7173" width="11.75" style="486" customWidth="1"/>
    <col min="7174" max="7174" width="11.25" style="486" customWidth="1"/>
    <col min="7175" max="7175" width="13.625" style="486" customWidth="1"/>
    <col min="7176" max="7176" width="10.125" style="486" customWidth="1"/>
    <col min="7177" max="7179" width="11.625" style="486" customWidth="1"/>
    <col min="7180" max="7180" width="11" style="486" customWidth="1"/>
    <col min="7181" max="7424" width="9" style="486"/>
    <col min="7425" max="7425" width="19.5" style="486" customWidth="1"/>
    <col min="7426" max="7427" width="9" style="486"/>
    <col min="7428" max="7428" width="0" style="486" hidden="1" customWidth="1"/>
    <col min="7429" max="7429" width="11.75" style="486" customWidth="1"/>
    <col min="7430" max="7430" width="11.25" style="486" customWidth="1"/>
    <col min="7431" max="7431" width="13.625" style="486" customWidth="1"/>
    <col min="7432" max="7432" width="10.125" style="486" customWidth="1"/>
    <col min="7433" max="7435" width="11.625" style="486" customWidth="1"/>
    <col min="7436" max="7436" width="11" style="486" customWidth="1"/>
    <col min="7437" max="7680" width="9" style="486"/>
    <col min="7681" max="7681" width="19.5" style="486" customWidth="1"/>
    <col min="7682" max="7683" width="9" style="486"/>
    <col min="7684" max="7684" width="0" style="486" hidden="1" customWidth="1"/>
    <col min="7685" max="7685" width="11.75" style="486" customWidth="1"/>
    <col min="7686" max="7686" width="11.25" style="486" customWidth="1"/>
    <col min="7687" max="7687" width="13.625" style="486" customWidth="1"/>
    <col min="7688" max="7688" width="10.125" style="486" customWidth="1"/>
    <col min="7689" max="7691" width="11.625" style="486" customWidth="1"/>
    <col min="7692" max="7692" width="11" style="486" customWidth="1"/>
    <col min="7693" max="7936" width="9" style="486"/>
    <col min="7937" max="7937" width="19.5" style="486" customWidth="1"/>
    <col min="7938" max="7939" width="9" style="486"/>
    <col min="7940" max="7940" width="0" style="486" hidden="1" customWidth="1"/>
    <col min="7941" max="7941" width="11.75" style="486" customWidth="1"/>
    <col min="7942" max="7942" width="11.25" style="486" customWidth="1"/>
    <col min="7943" max="7943" width="13.625" style="486" customWidth="1"/>
    <col min="7944" max="7944" width="10.125" style="486" customWidth="1"/>
    <col min="7945" max="7947" width="11.625" style="486" customWidth="1"/>
    <col min="7948" max="7948" width="11" style="486" customWidth="1"/>
    <col min="7949" max="8192" width="9" style="486"/>
    <col min="8193" max="8193" width="19.5" style="486" customWidth="1"/>
    <col min="8194" max="8195" width="9" style="486"/>
    <col min="8196" max="8196" width="0" style="486" hidden="1" customWidth="1"/>
    <col min="8197" max="8197" width="11.75" style="486" customWidth="1"/>
    <col min="8198" max="8198" width="11.25" style="486" customWidth="1"/>
    <col min="8199" max="8199" width="13.625" style="486" customWidth="1"/>
    <col min="8200" max="8200" width="10.125" style="486" customWidth="1"/>
    <col min="8201" max="8203" width="11.625" style="486" customWidth="1"/>
    <col min="8204" max="8204" width="11" style="486" customWidth="1"/>
    <col min="8205" max="8448" width="9" style="486"/>
    <col min="8449" max="8449" width="19.5" style="486" customWidth="1"/>
    <col min="8450" max="8451" width="9" style="486"/>
    <col min="8452" max="8452" width="0" style="486" hidden="1" customWidth="1"/>
    <col min="8453" max="8453" width="11.75" style="486" customWidth="1"/>
    <col min="8454" max="8454" width="11.25" style="486" customWidth="1"/>
    <col min="8455" max="8455" width="13.625" style="486" customWidth="1"/>
    <col min="8456" max="8456" width="10.125" style="486" customWidth="1"/>
    <col min="8457" max="8459" width="11.625" style="486" customWidth="1"/>
    <col min="8460" max="8460" width="11" style="486" customWidth="1"/>
    <col min="8461" max="8704" width="9" style="486"/>
    <col min="8705" max="8705" width="19.5" style="486" customWidth="1"/>
    <col min="8706" max="8707" width="9" style="486"/>
    <col min="8708" max="8708" width="0" style="486" hidden="1" customWidth="1"/>
    <col min="8709" max="8709" width="11.75" style="486" customWidth="1"/>
    <col min="8710" max="8710" width="11.25" style="486" customWidth="1"/>
    <col min="8711" max="8711" width="13.625" style="486" customWidth="1"/>
    <col min="8712" max="8712" width="10.125" style="486" customWidth="1"/>
    <col min="8713" max="8715" width="11.625" style="486" customWidth="1"/>
    <col min="8716" max="8716" width="11" style="486" customWidth="1"/>
    <col min="8717" max="8960" width="9" style="486"/>
    <col min="8961" max="8961" width="19.5" style="486" customWidth="1"/>
    <col min="8962" max="8963" width="9" style="486"/>
    <col min="8964" max="8964" width="0" style="486" hidden="1" customWidth="1"/>
    <col min="8965" max="8965" width="11.75" style="486" customWidth="1"/>
    <col min="8966" max="8966" width="11.25" style="486" customWidth="1"/>
    <col min="8967" max="8967" width="13.625" style="486" customWidth="1"/>
    <col min="8968" max="8968" width="10.125" style="486" customWidth="1"/>
    <col min="8969" max="8971" width="11.625" style="486" customWidth="1"/>
    <col min="8972" max="8972" width="11" style="486" customWidth="1"/>
    <col min="8973" max="9216" width="9" style="486"/>
    <col min="9217" max="9217" width="19.5" style="486" customWidth="1"/>
    <col min="9218" max="9219" width="9" style="486"/>
    <col min="9220" max="9220" width="0" style="486" hidden="1" customWidth="1"/>
    <col min="9221" max="9221" width="11.75" style="486" customWidth="1"/>
    <col min="9222" max="9222" width="11.25" style="486" customWidth="1"/>
    <col min="9223" max="9223" width="13.625" style="486" customWidth="1"/>
    <col min="9224" max="9224" width="10.125" style="486" customWidth="1"/>
    <col min="9225" max="9227" width="11.625" style="486" customWidth="1"/>
    <col min="9228" max="9228" width="11" style="486" customWidth="1"/>
    <col min="9229" max="9472" width="9" style="486"/>
    <col min="9473" max="9473" width="19.5" style="486" customWidth="1"/>
    <col min="9474" max="9475" width="9" style="486"/>
    <col min="9476" max="9476" width="0" style="486" hidden="1" customWidth="1"/>
    <col min="9477" max="9477" width="11.75" style="486" customWidth="1"/>
    <col min="9478" max="9478" width="11.25" style="486" customWidth="1"/>
    <col min="9479" max="9479" width="13.625" style="486" customWidth="1"/>
    <col min="9480" max="9480" width="10.125" style="486" customWidth="1"/>
    <col min="9481" max="9483" width="11.625" style="486" customWidth="1"/>
    <col min="9484" max="9484" width="11" style="486" customWidth="1"/>
    <col min="9485" max="9728" width="9" style="486"/>
    <col min="9729" max="9729" width="19.5" style="486" customWidth="1"/>
    <col min="9730" max="9731" width="9" style="486"/>
    <col min="9732" max="9732" width="0" style="486" hidden="1" customWidth="1"/>
    <col min="9733" max="9733" width="11.75" style="486" customWidth="1"/>
    <col min="9734" max="9734" width="11.25" style="486" customWidth="1"/>
    <col min="9735" max="9735" width="13.625" style="486" customWidth="1"/>
    <col min="9736" max="9736" width="10.125" style="486" customWidth="1"/>
    <col min="9737" max="9739" width="11.625" style="486" customWidth="1"/>
    <col min="9740" max="9740" width="11" style="486" customWidth="1"/>
    <col min="9741" max="9984" width="9" style="486"/>
    <col min="9985" max="9985" width="19.5" style="486" customWidth="1"/>
    <col min="9986" max="9987" width="9" style="486"/>
    <col min="9988" max="9988" width="0" style="486" hidden="1" customWidth="1"/>
    <col min="9989" max="9989" width="11.75" style="486" customWidth="1"/>
    <col min="9990" max="9990" width="11.25" style="486" customWidth="1"/>
    <col min="9991" max="9991" width="13.625" style="486" customWidth="1"/>
    <col min="9992" max="9992" width="10.125" style="486" customWidth="1"/>
    <col min="9993" max="9995" width="11.625" style="486" customWidth="1"/>
    <col min="9996" max="9996" width="11" style="486" customWidth="1"/>
    <col min="9997" max="10240" width="9" style="486"/>
    <col min="10241" max="10241" width="19.5" style="486" customWidth="1"/>
    <col min="10242" max="10243" width="9" style="486"/>
    <col min="10244" max="10244" width="0" style="486" hidden="1" customWidth="1"/>
    <col min="10245" max="10245" width="11.75" style="486" customWidth="1"/>
    <col min="10246" max="10246" width="11.25" style="486" customWidth="1"/>
    <col min="10247" max="10247" width="13.625" style="486" customWidth="1"/>
    <col min="10248" max="10248" width="10.125" style="486" customWidth="1"/>
    <col min="10249" max="10251" width="11.625" style="486" customWidth="1"/>
    <col min="10252" max="10252" width="11" style="486" customWidth="1"/>
    <col min="10253" max="10496" width="9" style="486"/>
    <col min="10497" max="10497" width="19.5" style="486" customWidth="1"/>
    <col min="10498" max="10499" width="9" style="486"/>
    <col min="10500" max="10500" width="0" style="486" hidden="1" customWidth="1"/>
    <col min="10501" max="10501" width="11.75" style="486" customWidth="1"/>
    <col min="10502" max="10502" width="11.25" style="486" customWidth="1"/>
    <col min="10503" max="10503" width="13.625" style="486" customWidth="1"/>
    <col min="10504" max="10504" width="10.125" style="486" customWidth="1"/>
    <col min="10505" max="10507" width="11.625" style="486" customWidth="1"/>
    <col min="10508" max="10508" width="11" style="486" customWidth="1"/>
    <col min="10509" max="10752" width="9" style="486"/>
    <col min="10753" max="10753" width="19.5" style="486" customWidth="1"/>
    <col min="10754" max="10755" width="9" style="486"/>
    <col min="10756" max="10756" width="0" style="486" hidden="1" customWidth="1"/>
    <col min="10757" max="10757" width="11.75" style="486" customWidth="1"/>
    <col min="10758" max="10758" width="11.25" style="486" customWidth="1"/>
    <col min="10759" max="10759" width="13.625" style="486" customWidth="1"/>
    <col min="10760" max="10760" width="10.125" style="486" customWidth="1"/>
    <col min="10761" max="10763" width="11.625" style="486" customWidth="1"/>
    <col min="10764" max="10764" width="11" style="486" customWidth="1"/>
    <col min="10765" max="11008" width="9" style="486"/>
    <col min="11009" max="11009" width="19.5" style="486" customWidth="1"/>
    <col min="11010" max="11011" width="9" style="486"/>
    <col min="11012" max="11012" width="0" style="486" hidden="1" customWidth="1"/>
    <col min="11013" max="11013" width="11.75" style="486" customWidth="1"/>
    <col min="11014" max="11014" width="11.25" style="486" customWidth="1"/>
    <col min="11015" max="11015" width="13.625" style="486" customWidth="1"/>
    <col min="11016" max="11016" width="10.125" style="486" customWidth="1"/>
    <col min="11017" max="11019" width="11.625" style="486" customWidth="1"/>
    <col min="11020" max="11020" width="11" style="486" customWidth="1"/>
    <col min="11021" max="11264" width="9" style="486"/>
    <col min="11265" max="11265" width="19.5" style="486" customWidth="1"/>
    <col min="11266" max="11267" width="9" style="486"/>
    <col min="11268" max="11268" width="0" style="486" hidden="1" customWidth="1"/>
    <col min="11269" max="11269" width="11.75" style="486" customWidth="1"/>
    <col min="11270" max="11270" width="11.25" style="486" customWidth="1"/>
    <col min="11271" max="11271" width="13.625" style="486" customWidth="1"/>
    <col min="11272" max="11272" width="10.125" style="486" customWidth="1"/>
    <col min="11273" max="11275" width="11.625" style="486" customWidth="1"/>
    <col min="11276" max="11276" width="11" style="486" customWidth="1"/>
    <col min="11277" max="11520" width="9" style="486"/>
    <col min="11521" max="11521" width="19.5" style="486" customWidth="1"/>
    <col min="11522" max="11523" width="9" style="486"/>
    <col min="11524" max="11524" width="0" style="486" hidden="1" customWidth="1"/>
    <col min="11525" max="11525" width="11.75" style="486" customWidth="1"/>
    <col min="11526" max="11526" width="11.25" style="486" customWidth="1"/>
    <col min="11527" max="11527" width="13.625" style="486" customWidth="1"/>
    <col min="11528" max="11528" width="10.125" style="486" customWidth="1"/>
    <col min="11529" max="11531" width="11.625" style="486" customWidth="1"/>
    <col min="11532" max="11532" width="11" style="486" customWidth="1"/>
    <col min="11533" max="11776" width="9" style="486"/>
    <col min="11777" max="11777" width="19.5" style="486" customWidth="1"/>
    <col min="11778" max="11779" width="9" style="486"/>
    <col min="11780" max="11780" width="0" style="486" hidden="1" customWidth="1"/>
    <col min="11781" max="11781" width="11.75" style="486" customWidth="1"/>
    <col min="11782" max="11782" width="11.25" style="486" customWidth="1"/>
    <col min="11783" max="11783" width="13.625" style="486" customWidth="1"/>
    <col min="11784" max="11784" width="10.125" style="486" customWidth="1"/>
    <col min="11785" max="11787" width="11.625" style="486" customWidth="1"/>
    <col min="11788" max="11788" width="11" style="486" customWidth="1"/>
    <col min="11789" max="12032" width="9" style="486"/>
    <col min="12033" max="12033" width="19.5" style="486" customWidth="1"/>
    <col min="12034" max="12035" width="9" style="486"/>
    <col min="12036" max="12036" width="0" style="486" hidden="1" customWidth="1"/>
    <col min="12037" max="12037" width="11.75" style="486" customWidth="1"/>
    <col min="12038" max="12038" width="11.25" style="486" customWidth="1"/>
    <col min="12039" max="12039" width="13.625" style="486" customWidth="1"/>
    <col min="12040" max="12040" width="10.125" style="486" customWidth="1"/>
    <col min="12041" max="12043" width="11.625" style="486" customWidth="1"/>
    <col min="12044" max="12044" width="11" style="486" customWidth="1"/>
    <col min="12045" max="12288" width="9" style="486"/>
    <col min="12289" max="12289" width="19.5" style="486" customWidth="1"/>
    <col min="12290" max="12291" width="9" style="486"/>
    <col min="12292" max="12292" width="0" style="486" hidden="1" customWidth="1"/>
    <col min="12293" max="12293" width="11.75" style="486" customWidth="1"/>
    <col min="12294" max="12294" width="11.25" style="486" customWidth="1"/>
    <col min="12295" max="12295" width="13.625" style="486" customWidth="1"/>
    <col min="12296" max="12296" width="10.125" style="486" customWidth="1"/>
    <col min="12297" max="12299" width="11.625" style="486" customWidth="1"/>
    <col min="12300" max="12300" width="11" style="486" customWidth="1"/>
    <col min="12301" max="12544" width="9" style="486"/>
    <col min="12545" max="12545" width="19.5" style="486" customWidth="1"/>
    <col min="12546" max="12547" width="9" style="486"/>
    <col min="12548" max="12548" width="0" style="486" hidden="1" customWidth="1"/>
    <col min="12549" max="12549" width="11.75" style="486" customWidth="1"/>
    <col min="12550" max="12550" width="11.25" style="486" customWidth="1"/>
    <col min="12551" max="12551" width="13.625" style="486" customWidth="1"/>
    <col min="12552" max="12552" width="10.125" style="486" customWidth="1"/>
    <col min="12553" max="12555" width="11.625" style="486" customWidth="1"/>
    <col min="12556" max="12556" width="11" style="486" customWidth="1"/>
    <col min="12557" max="12800" width="9" style="486"/>
    <col min="12801" max="12801" width="19.5" style="486" customWidth="1"/>
    <col min="12802" max="12803" width="9" style="486"/>
    <col min="12804" max="12804" width="0" style="486" hidden="1" customWidth="1"/>
    <col min="12805" max="12805" width="11.75" style="486" customWidth="1"/>
    <col min="12806" max="12806" width="11.25" style="486" customWidth="1"/>
    <col min="12807" max="12807" width="13.625" style="486" customWidth="1"/>
    <col min="12808" max="12808" width="10.125" style="486" customWidth="1"/>
    <col min="12809" max="12811" width="11.625" style="486" customWidth="1"/>
    <col min="12812" max="12812" width="11" style="486" customWidth="1"/>
    <col min="12813" max="13056" width="9" style="486"/>
    <col min="13057" max="13057" width="19.5" style="486" customWidth="1"/>
    <col min="13058" max="13059" width="9" style="486"/>
    <col min="13060" max="13060" width="0" style="486" hidden="1" customWidth="1"/>
    <col min="13061" max="13061" width="11.75" style="486" customWidth="1"/>
    <col min="13062" max="13062" width="11.25" style="486" customWidth="1"/>
    <col min="13063" max="13063" width="13.625" style="486" customWidth="1"/>
    <col min="13064" max="13064" width="10.125" style="486" customWidth="1"/>
    <col min="13065" max="13067" width="11.625" style="486" customWidth="1"/>
    <col min="13068" max="13068" width="11" style="486" customWidth="1"/>
    <col min="13069" max="13312" width="9" style="486"/>
    <col min="13313" max="13313" width="19.5" style="486" customWidth="1"/>
    <col min="13314" max="13315" width="9" style="486"/>
    <col min="13316" max="13316" width="0" style="486" hidden="1" customWidth="1"/>
    <col min="13317" max="13317" width="11.75" style="486" customWidth="1"/>
    <col min="13318" max="13318" width="11.25" style="486" customWidth="1"/>
    <col min="13319" max="13319" width="13.625" style="486" customWidth="1"/>
    <col min="13320" max="13320" width="10.125" style="486" customWidth="1"/>
    <col min="13321" max="13323" width="11.625" style="486" customWidth="1"/>
    <col min="13324" max="13324" width="11" style="486" customWidth="1"/>
    <col min="13325" max="13568" width="9" style="486"/>
    <col min="13569" max="13569" width="19.5" style="486" customWidth="1"/>
    <col min="13570" max="13571" width="9" style="486"/>
    <col min="13572" max="13572" width="0" style="486" hidden="1" customWidth="1"/>
    <col min="13573" max="13573" width="11.75" style="486" customWidth="1"/>
    <col min="13574" max="13574" width="11.25" style="486" customWidth="1"/>
    <col min="13575" max="13575" width="13.625" style="486" customWidth="1"/>
    <col min="13576" max="13576" width="10.125" style="486" customWidth="1"/>
    <col min="13577" max="13579" width="11.625" style="486" customWidth="1"/>
    <col min="13580" max="13580" width="11" style="486" customWidth="1"/>
    <col min="13581" max="13824" width="9" style="486"/>
    <col min="13825" max="13825" width="19.5" style="486" customWidth="1"/>
    <col min="13826" max="13827" width="9" style="486"/>
    <col min="13828" max="13828" width="0" style="486" hidden="1" customWidth="1"/>
    <col min="13829" max="13829" width="11.75" style="486" customWidth="1"/>
    <col min="13830" max="13830" width="11.25" style="486" customWidth="1"/>
    <col min="13831" max="13831" width="13.625" style="486" customWidth="1"/>
    <col min="13832" max="13832" width="10.125" style="486" customWidth="1"/>
    <col min="13833" max="13835" width="11.625" style="486" customWidth="1"/>
    <col min="13836" max="13836" width="11" style="486" customWidth="1"/>
    <col min="13837" max="14080" width="9" style="486"/>
    <col min="14081" max="14081" width="19.5" style="486" customWidth="1"/>
    <col min="14082" max="14083" width="9" style="486"/>
    <col min="14084" max="14084" width="0" style="486" hidden="1" customWidth="1"/>
    <col min="14085" max="14085" width="11.75" style="486" customWidth="1"/>
    <col min="14086" max="14086" width="11.25" style="486" customWidth="1"/>
    <col min="14087" max="14087" width="13.625" style="486" customWidth="1"/>
    <col min="14088" max="14088" width="10.125" style="486" customWidth="1"/>
    <col min="14089" max="14091" width="11.625" style="486" customWidth="1"/>
    <col min="14092" max="14092" width="11" style="486" customWidth="1"/>
    <col min="14093" max="14336" width="9" style="486"/>
    <col min="14337" max="14337" width="19.5" style="486" customWidth="1"/>
    <col min="14338" max="14339" width="9" style="486"/>
    <col min="14340" max="14340" width="0" style="486" hidden="1" customWidth="1"/>
    <col min="14341" max="14341" width="11.75" style="486" customWidth="1"/>
    <col min="14342" max="14342" width="11.25" style="486" customWidth="1"/>
    <col min="14343" max="14343" width="13.625" style="486" customWidth="1"/>
    <col min="14344" max="14344" width="10.125" style="486" customWidth="1"/>
    <col min="14345" max="14347" width="11.625" style="486" customWidth="1"/>
    <col min="14348" max="14348" width="11" style="486" customWidth="1"/>
    <col min="14349" max="14592" width="9" style="486"/>
    <col min="14593" max="14593" width="19.5" style="486" customWidth="1"/>
    <col min="14594" max="14595" width="9" style="486"/>
    <col min="14596" max="14596" width="0" style="486" hidden="1" customWidth="1"/>
    <col min="14597" max="14597" width="11.75" style="486" customWidth="1"/>
    <col min="14598" max="14598" width="11.25" style="486" customWidth="1"/>
    <col min="14599" max="14599" width="13.625" style="486" customWidth="1"/>
    <col min="14600" max="14600" width="10.125" style="486" customWidth="1"/>
    <col min="14601" max="14603" width="11.625" style="486" customWidth="1"/>
    <col min="14604" max="14604" width="11" style="486" customWidth="1"/>
    <col min="14605" max="14848" width="9" style="486"/>
    <col min="14849" max="14849" width="19.5" style="486" customWidth="1"/>
    <col min="14850" max="14851" width="9" style="486"/>
    <col min="14852" max="14852" width="0" style="486" hidden="1" customWidth="1"/>
    <col min="14853" max="14853" width="11.75" style="486" customWidth="1"/>
    <col min="14854" max="14854" width="11.25" style="486" customWidth="1"/>
    <col min="14855" max="14855" width="13.625" style="486" customWidth="1"/>
    <col min="14856" max="14856" width="10.125" style="486" customWidth="1"/>
    <col min="14857" max="14859" width="11.625" style="486" customWidth="1"/>
    <col min="14860" max="14860" width="11" style="486" customWidth="1"/>
    <col min="14861" max="15104" width="9" style="486"/>
    <col min="15105" max="15105" width="19.5" style="486" customWidth="1"/>
    <col min="15106" max="15107" width="9" style="486"/>
    <col min="15108" max="15108" width="0" style="486" hidden="1" customWidth="1"/>
    <col min="15109" max="15109" width="11.75" style="486" customWidth="1"/>
    <col min="15110" max="15110" width="11.25" style="486" customWidth="1"/>
    <col min="15111" max="15111" width="13.625" style="486" customWidth="1"/>
    <col min="15112" max="15112" width="10.125" style="486" customWidth="1"/>
    <col min="15113" max="15115" width="11.625" style="486" customWidth="1"/>
    <col min="15116" max="15116" width="11" style="486" customWidth="1"/>
    <col min="15117" max="15360" width="9" style="486"/>
    <col min="15361" max="15361" width="19.5" style="486" customWidth="1"/>
    <col min="15362" max="15363" width="9" style="486"/>
    <col min="15364" max="15364" width="0" style="486" hidden="1" customWidth="1"/>
    <col min="15365" max="15365" width="11.75" style="486" customWidth="1"/>
    <col min="15366" max="15366" width="11.25" style="486" customWidth="1"/>
    <col min="15367" max="15367" width="13.625" style="486" customWidth="1"/>
    <col min="15368" max="15368" width="10.125" style="486" customWidth="1"/>
    <col min="15369" max="15371" width="11.625" style="486" customWidth="1"/>
    <col min="15372" max="15372" width="11" style="486" customWidth="1"/>
    <col min="15373" max="15616" width="9" style="486"/>
    <col min="15617" max="15617" width="19.5" style="486" customWidth="1"/>
    <col min="15618" max="15619" width="9" style="486"/>
    <col min="15620" max="15620" width="0" style="486" hidden="1" customWidth="1"/>
    <col min="15621" max="15621" width="11.75" style="486" customWidth="1"/>
    <col min="15622" max="15622" width="11.25" style="486" customWidth="1"/>
    <col min="15623" max="15623" width="13.625" style="486" customWidth="1"/>
    <col min="15624" max="15624" width="10.125" style="486" customWidth="1"/>
    <col min="15625" max="15627" width="11.625" style="486" customWidth="1"/>
    <col min="15628" max="15628" width="11" style="486" customWidth="1"/>
    <col min="15629" max="15872" width="9" style="486"/>
    <col min="15873" max="15873" width="19.5" style="486" customWidth="1"/>
    <col min="15874" max="15875" width="9" style="486"/>
    <col min="15876" max="15876" width="0" style="486" hidden="1" customWidth="1"/>
    <col min="15877" max="15877" width="11.75" style="486" customWidth="1"/>
    <col min="15878" max="15878" width="11.25" style="486" customWidth="1"/>
    <col min="15879" max="15879" width="13.625" style="486" customWidth="1"/>
    <col min="15880" max="15880" width="10.125" style="486" customWidth="1"/>
    <col min="15881" max="15883" width="11.625" style="486" customWidth="1"/>
    <col min="15884" max="15884" width="11" style="486" customWidth="1"/>
    <col min="15885" max="16128" width="9" style="486"/>
    <col min="16129" max="16129" width="19.5" style="486" customWidth="1"/>
    <col min="16130" max="16131" width="9" style="486"/>
    <col min="16132" max="16132" width="0" style="486" hidden="1" customWidth="1"/>
    <col min="16133" max="16133" width="11.75" style="486" customWidth="1"/>
    <col min="16134" max="16134" width="11.25" style="486" customWidth="1"/>
    <col min="16135" max="16135" width="13.625" style="486" customWidth="1"/>
    <col min="16136" max="16136" width="10.125" style="486" customWidth="1"/>
    <col min="16137" max="16139" width="11.625" style="486" customWidth="1"/>
    <col min="16140" max="16140" width="11" style="486" customWidth="1"/>
    <col min="16141" max="16384" width="9" style="486"/>
  </cols>
  <sheetData>
    <row r="1" spans="1:24" s="489" customFormat="1" ht="18.75" customHeight="1">
      <c r="A1" s="999" t="s">
        <v>439</v>
      </c>
      <c r="B1" s="999"/>
      <c r="C1" s="999"/>
      <c r="D1" s="999"/>
      <c r="E1" s="1000"/>
      <c r="F1" s="1000"/>
      <c r="G1" s="1000"/>
      <c r="H1" s="1000"/>
      <c r="I1" s="1000"/>
      <c r="J1" s="1000"/>
      <c r="K1" s="1000"/>
      <c r="L1" s="1000"/>
      <c r="M1" s="999"/>
      <c r="N1" s="999"/>
      <c r="O1" s="999"/>
      <c r="P1" s="999"/>
    </row>
    <row r="2" spans="1:24" s="488" customFormat="1" ht="37.9" customHeight="1">
      <c r="A2" s="1006" t="s">
        <v>481</v>
      </c>
      <c r="B2" s="1007"/>
      <c r="C2" s="1007"/>
      <c r="D2" s="1007"/>
      <c r="E2" s="1008"/>
      <c r="F2" s="1008"/>
      <c r="G2" s="1008"/>
      <c r="H2" s="1008"/>
      <c r="I2" s="1008"/>
      <c r="J2" s="1008"/>
      <c r="K2" s="1008"/>
      <c r="L2" s="1008"/>
      <c r="M2" s="1007"/>
      <c r="N2" s="1007"/>
      <c r="O2" s="1007"/>
      <c r="P2" s="1009"/>
    </row>
    <row r="3" spans="1:24" s="489" customFormat="1" ht="39" customHeight="1">
      <c r="A3" s="1001" t="s">
        <v>440</v>
      </c>
      <c r="B3" s="1001"/>
      <c r="C3" s="1001"/>
      <c r="D3" s="496" t="s">
        <v>390</v>
      </c>
      <c r="E3" s="692" t="s">
        <v>800</v>
      </c>
      <c r="F3" s="692" t="s">
        <v>801</v>
      </c>
      <c r="G3" s="692" t="s">
        <v>802</v>
      </c>
      <c r="H3" s="692" t="s">
        <v>803</v>
      </c>
      <c r="I3" s="692" t="s">
        <v>804</v>
      </c>
      <c r="J3" s="692" t="s">
        <v>805</v>
      </c>
      <c r="K3" s="692" t="s">
        <v>806</v>
      </c>
      <c r="L3" s="692" t="s">
        <v>807</v>
      </c>
      <c r="M3" s="497" t="s">
        <v>435</v>
      </c>
      <c r="N3" s="498" t="s">
        <v>436</v>
      </c>
      <c r="O3" s="499" t="s">
        <v>441</v>
      </c>
      <c r="P3" s="497" t="s">
        <v>442</v>
      </c>
    </row>
    <row r="4" spans="1:24" s="489" customFormat="1" ht="15.75" customHeight="1">
      <c r="A4" s="1010" t="s">
        <v>443</v>
      </c>
      <c r="B4" s="1010"/>
      <c r="C4" s="1010"/>
      <c r="D4" s="500" t="s">
        <v>444</v>
      </c>
      <c r="E4" s="693">
        <v>69</v>
      </c>
      <c r="F4" s="693">
        <v>44.9</v>
      </c>
      <c r="G4" s="693">
        <v>34.99</v>
      </c>
      <c r="H4" s="693"/>
      <c r="I4" s="693"/>
      <c r="J4" s="693"/>
      <c r="K4" s="693"/>
      <c r="L4" s="693"/>
      <c r="M4" s="686">
        <v>49.63</v>
      </c>
      <c r="N4" s="531">
        <v>4</v>
      </c>
      <c r="O4" s="502">
        <v>2</v>
      </c>
      <c r="P4" s="503">
        <f>ROUND(M4*O4/N4,2)</f>
        <v>24.82</v>
      </c>
      <c r="R4" s="490"/>
      <c r="S4" s="490"/>
      <c r="T4" s="490"/>
      <c r="U4" s="490"/>
      <c r="V4" s="490"/>
      <c r="W4" s="490"/>
      <c r="X4" s="490"/>
    </row>
    <row r="5" spans="1:24" s="489" customFormat="1" ht="15.75" customHeight="1">
      <c r="A5" s="1005" t="s">
        <v>445</v>
      </c>
      <c r="B5" s="1005"/>
      <c r="C5" s="1005"/>
      <c r="D5" s="500" t="s">
        <v>444</v>
      </c>
      <c r="E5" s="693">
        <v>64.900000000000006</v>
      </c>
      <c r="F5" s="693">
        <v>55.9</v>
      </c>
      <c r="G5" s="693">
        <v>59.99</v>
      </c>
      <c r="H5" s="693"/>
      <c r="I5" s="693"/>
      <c r="J5" s="693"/>
      <c r="K5" s="693"/>
      <c r="L5" s="693"/>
      <c r="M5" s="686">
        <v>60.263333333333343</v>
      </c>
      <c r="N5" s="520">
        <v>4</v>
      </c>
      <c r="O5" s="502">
        <v>3</v>
      </c>
      <c r="P5" s="503">
        <f t="shared" ref="P5:P7" si="0">ROUND(M5*O5/N5,2)</f>
        <v>45.2</v>
      </c>
      <c r="R5" s="490"/>
      <c r="S5" s="490"/>
      <c r="T5" s="490"/>
      <c r="U5" s="490"/>
      <c r="V5" s="490"/>
      <c r="W5" s="490"/>
      <c r="X5" s="490"/>
    </row>
    <row r="6" spans="1:24" s="489" customFormat="1">
      <c r="A6" s="1005" t="s">
        <v>446</v>
      </c>
      <c r="B6" s="1005"/>
      <c r="C6" s="1005"/>
      <c r="D6" s="504" t="s">
        <v>419</v>
      </c>
      <c r="E6" s="693">
        <v>89.9</v>
      </c>
      <c r="F6" s="693">
        <v>87.38</v>
      </c>
      <c r="G6" s="693"/>
      <c r="H6" s="693"/>
      <c r="I6" s="693">
        <v>54.9</v>
      </c>
      <c r="J6" s="693"/>
      <c r="K6" s="693"/>
      <c r="L6" s="693"/>
      <c r="M6" s="686">
        <v>77.393333333333331</v>
      </c>
      <c r="N6" s="520">
        <v>4</v>
      </c>
      <c r="O6" s="502">
        <v>1</v>
      </c>
      <c r="P6" s="503">
        <f t="shared" si="0"/>
        <v>19.350000000000001</v>
      </c>
      <c r="R6" s="490"/>
      <c r="S6" s="490"/>
      <c r="T6" s="490"/>
      <c r="U6" s="490"/>
      <c r="V6" s="490"/>
      <c r="W6" s="490"/>
      <c r="X6" s="490"/>
    </row>
    <row r="7" spans="1:24" s="489" customFormat="1" ht="15.75" customHeight="1">
      <c r="A7" s="1005" t="s">
        <v>447</v>
      </c>
      <c r="B7" s="1005"/>
      <c r="C7" s="1005"/>
      <c r="D7" s="500" t="s">
        <v>444</v>
      </c>
      <c r="E7" s="693">
        <v>154.19999999999999</v>
      </c>
      <c r="F7" s="693">
        <v>237</v>
      </c>
      <c r="G7" s="693">
        <v>99.99</v>
      </c>
      <c r="H7" s="693"/>
      <c r="I7" s="693"/>
      <c r="J7" s="693"/>
      <c r="K7" s="693"/>
      <c r="L7" s="693"/>
      <c r="M7" s="686">
        <v>163.72999999999999</v>
      </c>
      <c r="N7" s="520">
        <v>12</v>
      </c>
      <c r="O7" s="502">
        <v>1</v>
      </c>
      <c r="P7" s="503">
        <f t="shared" si="0"/>
        <v>13.64</v>
      </c>
      <c r="R7" s="490"/>
      <c r="S7" s="490"/>
      <c r="T7" s="490"/>
      <c r="U7" s="490"/>
      <c r="V7" s="490"/>
      <c r="W7" s="490"/>
      <c r="X7" s="490"/>
    </row>
    <row r="8" spans="1:24" s="489" customFormat="1" ht="15.75" customHeight="1">
      <c r="A8" s="1011" t="s">
        <v>448</v>
      </c>
      <c r="B8" s="1012"/>
      <c r="C8" s="1013"/>
      <c r="D8" s="500" t="s">
        <v>444</v>
      </c>
      <c r="E8" s="693">
        <f>84.09/9</f>
        <v>9.3433333333333337</v>
      </c>
      <c r="F8" s="693">
        <v>11.26</v>
      </c>
      <c r="G8" s="693"/>
      <c r="H8" s="693">
        <v>10</v>
      </c>
      <c r="I8" s="693"/>
      <c r="J8" s="693"/>
      <c r="K8" s="693"/>
      <c r="L8" s="693"/>
      <c r="M8" s="686">
        <v>10.201111111111111</v>
      </c>
      <c r="N8" s="532">
        <v>6</v>
      </c>
      <c r="O8" s="505">
        <v>1</v>
      </c>
      <c r="P8" s="503">
        <f>ROUND(M8*O8/N8,2)</f>
        <v>1.7</v>
      </c>
      <c r="R8" s="490"/>
      <c r="S8" s="490"/>
      <c r="T8" s="490"/>
      <c r="U8" s="490"/>
      <c r="V8" s="490"/>
      <c r="W8" s="490"/>
      <c r="X8" s="490"/>
    </row>
    <row r="9" spans="1:24" s="489" customFormat="1" ht="15.75" customHeight="1">
      <c r="A9" s="1014" t="s">
        <v>449</v>
      </c>
      <c r="B9" s="1014"/>
      <c r="C9" s="1014"/>
      <c r="D9" s="506" t="s">
        <v>419</v>
      </c>
      <c r="E9" s="693">
        <f>43.9/3</f>
        <v>14.633333333333333</v>
      </c>
      <c r="F9" s="693">
        <f>41.18/3</f>
        <v>13.726666666666667</v>
      </c>
      <c r="G9" s="693">
        <f>24.99/3</f>
        <v>8.33</v>
      </c>
      <c r="H9" s="693"/>
      <c r="I9" s="693"/>
      <c r="J9" s="693"/>
      <c r="K9" s="693"/>
      <c r="L9" s="693"/>
      <c r="M9" s="686">
        <v>12.229999999999999</v>
      </c>
      <c r="N9" s="520">
        <v>6</v>
      </c>
      <c r="O9" s="502">
        <v>3</v>
      </c>
      <c r="P9" s="503">
        <f>ROUND(M9*O9/N9,2)</f>
        <v>6.12</v>
      </c>
      <c r="R9" s="490"/>
      <c r="S9" s="490"/>
      <c r="T9" s="490"/>
      <c r="U9" s="490"/>
      <c r="V9" s="490"/>
      <c r="W9" s="490"/>
      <c r="X9" s="490"/>
    </row>
    <row r="10" spans="1:24" s="491" customFormat="1" ht="15.75" customHeight="1">
      <c r="A10" s="1015" t="s">
        <v>452</v>
      </c>
      <c r="B10" s="1016"/>
      <c r="C10" s="1016"/>
      <c r="D10" s="1016"/>
      <c r="E10" s="1017"/>
      <c r="F10" s="1017"/>
      <c r="G10" s="1017"/>
      <c r="H10" s="1017"/>
      <c r="I10" s="1017"/>
      <c r="J10" s="1017"/>
      <c r="K10" s="1017"/>
      <c r="L10" s="1017"/>
      <c r="M10" s="1016"/>
      <c r="N10" s="1016"/>
      <c r="O10" s="1016"/>
      <c r="P10" s="533">
        <f>ROUND(SUM(P4:P9),2)</f>
        <v>110.83</v>
      </c>
      <c r="R10" s="492"/>
      <c r="S10" s="492"/>
      <c r="T10" s="492"/>
      <c r="U10" s="492"/>
      <c r="V10" s="492"/>
      <c r="W10" s="492"/>
      <c r="X10" s="490"/>
    </row>
    <row r="11" spans="1:24" s="489" customFormat="1" ht="25.5" customHeight="1">
      <c r="A11" s="495"/>
      <c r="B11" s="495"/>
      <c r="C11" s="495"/>
      <c r="D11" s="495"/>
      <c r="E11" s="694"/>
      <c r="F11" s="694"/>
      <c r="G11" s="694"/>
      <c r="H11" s="694"/>
      <c r="I11" s="694"/>
      <c r="J11" s="694"/>
      <c r="K11" s="694"/>
      <c r="L11" s="694"/>
      <c r="M11" s="495"/>
      <c r="N11" s="495"/>
      <c r="O11" s="495"/>
      <c r="P11" s="495"/>
      <c r="Q11" s="486"/>
      <c r="R11" s="486"/>
      <c r="S11" s="486"/>
      <c r="T11" s="486"/>
      <c r="U11" s="486"/>
      <c r="V11" s="486"/>
    </row>
    <row r="12" spans="1:24" s="488" customFormat="1" ht="14.25" customHeight="1">
      <c r="A12" s="999" t="s">
        <v>486</v>
      </c>
      <c r="B12" s="999"/>
      <c r="C12" s="999"/>
      <c r="D12" s="999"/>
      <c r="E12" s="1018"/>
      <c r="F12" s="1018"/>
      <c r="G12" s="1018"/>
      <c r="H12" s="1018"/>
      <c r="I12" s="1018"/>
      <c r="J12" s="1018"/>
      <c r="K12" s="1018"/>
      <c r="L12" s="1018"/>
      <c r="M12" s="999"/>
      <c r="N12" s="999"/>
      <c r="O12" s="999"/>
      <c r="P12" s="999"/>
    </row>
    <row r="13" spans="1:24" s="488" customFormat="1" ht="31.15" customHeight="1">
      <c r="A13" s="1002" t="s">
        <v>483</v>
      </c>
      <c r="B13" s="1003"/>
      <c r="C13" s="1003"/>
      <c r="D13" s="1003"/>
      <c r="E13" s="1004"/>
      <c r="F13" s="1004"/>
      <c r="G13" s="1004"/>
      <c r="H13" s="1004"/>
      <c r="I13" s="1004"/>
      <c r="J13" s="1004"/>
      <c r="K13" s="1004"/>
      <c r="L13" s="1004"/>
      <c r="M13" s="1003"/>
      <c r="N13" s="1003"/>
      <c r="O13" s="1003"/>
      <c r="P13" s="1003"/>
    </row>
    <row r="14" spans="1:24" s="488" customFormat="1" ht="60">
      <c r="A14" s="990" t="s">
        <v>440</v>
      </c>
      <c r="B14" s="991"/>
      <c r="C14" s="992"/>
      <c r="D14" s="496" t="s">
        <v>390</v>
      </c>
      <c r="E14" s="692" t="s">
        <v>800</v>
      </c>
      <c r="F14" s="692" t="s">
        <v>801</v>
      </c>
      <c r="G14" s="692" t="s">
        <v>802</v>
      </c>
      <c r="H14" s="692" t="s">
        <v>803</v>
      </c>
      <c r="I14" s="692" t="s">
        <v>804</v>
      </c>
      <c r="J14" s="692" t="s">
        <v>805</v>
      </c>
      <c r="K14" s="692" t="s">
        <v>806</v>
      </c>
      <c r="L14" s="692" t="s">
        <v>807</v>
      </c>
      <c r="M14" s="497" t="s">
        <v>435</v>
      </c>
      <c r="N14" s="498" t="s">
        <v>436</v>
      </c>
      <c r="O14" s="499" t="s">
        <v>453</v>
      </c>
      <c r="P14" s="497" t="s">
        <v>454</v>
      </c>
    </row>
    <row r="15" spans="1:24" ht="14.25" customHeight="1">
      <c r="A15" s="982" t="s">
        <v>443</v>
      </c>
      <c r="B15" s="983"/>
      <c r="C15" s="984"/>
      <c r="D15" s="500" t="s">
        <v>444</v>
      </c>
      <c r="E15" s="693">
        <v>69</v>
      </c>
      <c r="F15" s="693">
        <v>44.9</v>
      </c>
      <c r="G15" s="693">
        <v>34.99</v>
      </c>
      <c r="H15" s="693"/>
      <c r="I15" s="693"/>
      <c r="J15" s="693"/>
      <c r="K15" s="693"/>
      <c r="L15" s="693"/>
      <c r="M15" s="501">
        <v>49.63</v>
      </c>
      <c r="N15" s="531">
        <v>4</v>
      </c>
      <c r="O15" s="507">
        <v>2</v>
      </c>
      <c r="P15" s="503">
        <f>ROUND(M15*O15/$N15,2)</f>
        <v>24.82</v>
      </c>
    </row>
    <row r="16" spans="1:24">
      <c r="A16" s="982" t="s">
        <v>445</v>
      </c>
      <c r="B16" s="983"/>
      <c r="C16" s="984"/>
      <c r="D16" s="500" t="s">
        <v>444</v>
      </c>
      <c r="E16" s="693">
        <v>64.900000000000006</v>
      </c>
      <c r="F16" s="693">
        <v>55.9</v>
      </c>
      <c r="G16" s="693">
        <v>59.99</v>
      </c>
      <c r="H16" s="693"/>
      <c r="I16" s="693"/>
      <c r="J16" s="693"/>
      <c r="K16" s="693"/>
      <c r="L16" s="693"/>
      <c r="M16" s="501">
        <v>60.263333333333343</v>
      </c>
      <c r="N16" s="520">
        <v>4</v>
      </c>
      <c r="O16" s="508">
        <v>3</v>
      </c>
      <c r="P16" s="503">
        <f t="shared" ref="P16:P20" si="1">ROUND(M16*O16/$N16,2)</f>
        <v>45.2</v>
      </c>
    </row>
    <row r="17" spans="1:19" s="489" customFormat="1" ht="15.75" customHeight="1">
      <c r="A17" s="982" t="s">
        <v>446</v>
      </c>
      <c r="B17" s="983"/>
      <c r="C17" s="984"/>
      <c r="D17" s="504" t="s">
        <v>419</v>
      </c>
      <c r="E17" s="693">
        <v>89.9</v>
      </c>
      <c r="F17" s="693">
        <v>87.38</v>
      </c>
      <c r="G17" s="693"/>
      <c r="H17" s="693"/>
      <c r="I17" s="693">
        <v>54.9</v>
      </c>
      <c r="J17" s="693"/>
      <c r="K17" s="693"/>
      <c r="L17" s="693"/>
      <c r="M17" s="501">
        <v>77.393333333333331</v>
      </c>
      <c r="N17" s="520">
        <v>4</v>
      </c>
      <c r="O17" s="508">
        <v>1</v>
      </c>
      <c r="P17" s="503">
        <f t="shared" si="1"/>
        <v>19.350000000000001</v>
      </c>
    </row>
    <row r="18" spans="1:19" s="489" customFormat="1">
      <c r="A18" s="982" t="s">
        <v>447</v>
      </c>
      <c r="B18" s="983"/>
      <c r="C18" s="984"/>
      <c r="D18" s="500" t="s">
        <v>444</v>
      </c>
      <c r="E18" s="693">
        <v>154.19999999999999</v>
      </c>
      <c r="F18" s="693">
        <v>237</v>
      </c>
      <c r="G18" s="693">
        <v>99.99</v>
      </c>
      <c r="H18" s="693"/>
      <c r="I18" s="693"/>
      <c r="J18" s="693"/>
      <c r="K18" s="693"/>
      <c r="L18" s="693"/>
      <c r="M18" s="501">
        <v>163.72999999999999</v>
      </c>
      <c r="N18" s="520">
        <v>12</v>
      </c>
      <c r="O18" s="508">
        <v>1</v>
      </c>
      <c r="P18" s="503">
        <f t="shared" si="1"/>
        <v>13.64</v>
      </c>
    </row>
    <row r="19" spans="1:19" s="489" customFormat="1" ht="15.75" customHeight="1">
      <c r="A19" s="982" t="s">
        <v>448</v>
      </c>
      <c r="B19" s="983"/>
      <c r="C19" s="984"/>
      <c r="D19" s="500" t="s">
        <v>444</v>
      </c>
      <c r="E19" s="693">
        <f>84.09/9</f>
        <v>9.3433333333333337</v>
      </c>
      <c r="F19" s="693">
        <v>11.26</v>
      </c>
      <c r="G19" s="693"/>
      <c r="H19" s="693">
        <v>10</v>
      </c>
      <c r="I19" s="693"/>
      <c r="J19" s="693"/>
      <c r="K19" s="693"/>
      <c r="L19" s="693"/>
      <c r="M19" s="501">
        <v>10.201111111111111</v>
      </c>
      <c r="N19" s="532">
        <v>6</v>
      </c>
      <c r="O19" s="505">
        <v>1</v>
      </c>
      <c r="P19" s="503">
        <f t="shared" si="1"/>
        <v>1.7</v>
      </c>
    </row>
    <row r="20" spans="1:19" s="489" customFormat="1" ht="15.75" customHeight="1">
      <c r="A20" s="982" t="s">
        <v>449</v>
      </c>
      <c r="B20" s="983"/>
      <c r="C20" s="984"/>
      <c r="D20" s="506" t="s">
        <v>419</v>
      </c>
      <c r="E20" s="693">
        <f>43.9/3</f>
        <v>14.633333333333333</v>
      </c>
      <c r="F20" s="693">
        <f>41.18/3</f>
        <v>13.726666666666667</v>
      </c>
      <c r="G20" s="693">
        <f>24.99/3</f>
        <v>8.33</v>
      </c>
      <c r="H20" s="693"/>
      <c r="I20" s="693"/>
      <c r="J20" s="693"/>
      <c r="K20" s="693"/>
      <c r="L20" s="693"/>
      <c r="M20" s="501">
        <v>12.229999999999999</v>
      </c>
      <c r="N20" s="520">
        <v>6</v>
      </c>
      <c r="O20" s="508">
        <v>3</v>
      </c>
      <c r="P20" s="503">
        <f t="shared" si="1"/>
        <v>6.12</v>
      </c>
    </row>
    <row r="21" spans="1:19" s="489" customFormat="1" ht="15.75" customHeight="1">
      <c r="A21" s="979" t="s">
        <v>455</v>
      </c>
      <c r="B21" s="980"/>
      <c r="C21" s="980"/>
      <c r="D21" s="980"/>
      <c r="E21" s="981"/>
      <c r="F21" s="981"/>
      <c r="G21" s="981"/>
      <c r="H21" s="981"/>
      <c r="I21" s="981"/>
      <c r="J21" s="981"/>
      <c r="K21" s="981"/>
      <c r="L21" s="981"/>
      <c r="M21" s="980"/>
      <c r="N21" s="980"/>
      <c r="O21" s="980"/>
      <c r="P21" s="534">
        <f>ROUND(SUM(P15:P20),2)</f>
        <v>110.83</v>
      </c>
    </row>
    <row r="22" spans="1:19" s="489" customFormat="1" ht="18.75" customHeight="1">
      <c r="A22" s="509"/>
      <c r="B22" s="509"/>
      <c r="C22" s="509"/>
      <c r="D22" s="509"/>
      <c r="E22" s="483"/>
      <c r="F22" s="483"/>
      <c r="G22" s="483"/>
      <c r="H22" s="483"/>
      <c r="I22" s="483"/>
      <c r="J22" s="483"/>
      <c r="K22" s="483"/>
      <c r="L22" s="483"/>
      <c r="M22" s="510"/>
      <c r="N22" s="511"/>
      <c r="O22" s="512"/>
      <c r="P22" s="512"/>
    </row>
    <row r="23" spans="1:19" s="489" customFormat="1" ht="15.75" customHeight="1">
      <c r="A23" s="988" t="s">
        <v>58</v>
      </c>
      <c r="B23" s="988"/>
      <c r="C23" s="988"/>
      <c r="D23" s="988"/>
      <c r="E23" s="989"/>
      <c r="F23" s="989"/>
      <c r="G23" s="989"/>
      <c r="H23" s="989"/>
      <c r="I23" s="989"/>
      <c r="J23" s="989"/>
      <c r="K23" s="989"/>
      <c r="L23" s="989"/>
      <c r="M23" s="988"/>
      <c r="N23" s="988"/>
      <c r="O23" s="988"/>
      <c r="P23" s="988"/>
    </row>
    <row r="24" spans="1:19" s="489" customFormat="1" ht="15.75" customHeight="1">
      <c r="A24" s="996" t="s">
        <v>483</v>
      </c>
      <c r="B24" s="997"/>
      <c r="C24" s="997"/>
      <c r="D24" s="997"/>
      <c r="E24" s="998"/>
      <c r="F24" s="998"/>
      <c r="G24" s="998"/>
      <c r="H24" s="998"/>
      <c r="I24" s="998"/>
      <c r="J24" s="998"/>
      <c r="K24" s="998"/>
      <c r="L24" s="998"/>
      <c r="M24" s="997"/>
      <c r="N24" s="997"/>
      <c r="O24" s="997"/>
      <c r="P24" s="997"/>
      <c r="S24" s="486"/>
    </row>
    <row r="25" spans="1:19" s="488" customFormat="1" ht="30">
      <c r="A25" s="993" t="s">
        <v>407</v>
      </c>
      <c r="B25" s="994"/>
      <c r="C25" s="995"/>
      <c r="D25" s="496" t="s">
        <v>390</v>
      </c>
      <c r="E25" s="692" t="s">
        <v>800</v>
      </c>
      <c r="F25" s="692" t="s">
        <v>801</v>
      </c>
      <c r="G25" s="692" t="s">
        <v>802</v>
      </c>
      <c r="H25" s="692" t="s">
        <v>808</v>
      </c>
      <c r="I25" s="692" t="s">
        <v>804</v>
      </c>
      <c r="J25" s="692" t="s">
        <v>805</v>
      </c>
      <c r="K25" s="692" t="s">
        <v>806</v>
      </c>
      <c r="L25" s="692" t="s">
        <v>807</v>
      </c>
      <c r="M25" s="513" t="s">
        <v>435</v>
      </c>
      <c r="N25" s="514" t="s">
        <v>436</v>
      </c>
      <c r="O25" s="513" t="s">
        <v>485</v>
      </c>
      <c r="P25" s="513" t="s">
        <v>408</v>
      </c>
    </row>
    <row r="26" spans="1:19" ht="14.25" customHeight="1">
      <c r="A26" s="982" t="s">
        <v>437</v>
      </c>
      <c r="B26" s="983"/>
      <c r="C26" s="984"/>
      <c r="D26" s="493" t="s">
        <v>444</v>
      </c>
      <c r="E26" s="693"/>
      <c r="F26" s="693">
        <v>264.89999999999998</v>
      </c>
      <c r="G26" s="693"/>
      <c r="H26" s="693"/>
      <c r="I26" s="693"/>
      <c r="J26" s="693">
        <v>229</v>
      </c>
      <c r="K26" s="693"/>
      <c r="L26" s="693">
        <v>299</v>
      </c>
      <c r="M26" s="686">
        <v>264.3</v>
      </c>
      <c r="N26" s="516">
        <v>12</v>
      </c>
      <c r="O26" s="517">
        <v>1</v>
      </c>
      <c r="P26" s="503">
        <f t="shared" ref="P26:P33" si="2">ROUND(M26*O26/$N26,2)</f>
        <v>22.03</v>
      </c>
    </row>
    <row r="27" spans="1:19">
      <c r="A27" s="982" t="s">
        <v>438</v>
      </c>
      <c r="B27" s="983"/>
      <c r="C27" s="984"/>
      <c r="D27" s="493" t="s">
        <v>444</v>
      </c>
      <c r="E27" s="693"/>
      <c r="F27" s="693"/>
      <c r="G27" s="693"/>
      <c r="H27" s="693"/>
      <c r="I27" s="693"/>
      <c r="J27" s="693">
        <v>91</v>
      </c>
      <c r="K27" s="693">
        <v>104.92</v>
      </c>
      <c r="L27" s="693">
        <v>121</v>
      </c>
      <c r="M27" s="686">
        <v>105.64</v>
      </c>
      <c r="N27" s="518">
        <v>12</v>
      </c>
      <c r="O27" s="517">
        <v>1</v>
      </c>
      <c r="P27" s="503">
        <f t="shared" si="2"/>
        <v>8.8000000000000007</v>
      </c>
    </row>
    <row r="28" spans="1:19">
      <c r="A28" s="982" t="s">
        <v>450</v>
      </c>
      <c r="B28" s="983"/>
      <c r="C28" s="984"/>
      <c r="D28" s="519" t="s">
        <v>419</v>
      </c>
      <c r="E28" s="693">
        <v>24.54</v>
      </c>
      <c r="F28" s="693">
        <v>29.9</v>
      </c>
      <c r="G28" s="693"/>
      <c r="H28" s="693"/>
      <c r="I28" s="693">
        <v>22</v>
      </c>
      <c r="J28" s="693"/>
      <c r="K28" s="693"/>
      <c r="L28" s="693"/>
      <c r="M28" s="686">
        <v>25.48</v>
      </c>
      <c r="N28" s="520">
        <v>6</v>
      </c>
      <c r="O28" s="508">
        <v>2</v>
      </c>
      <c r="P28" s="503">
        <f t="shared" si="2"/>
        <v>8.49</v>
      </c>
    </row>
    <row r="29" spans="1:19">
      <c r="A29" s="982" t="s">
        <v>451</v>
      </c>
      <c r="B29" s="983"/>
      <c r="C29" s="984"/>
      <c r="D29" s="521" t="s">
        <v>444</v>
      </c>
      <c r="E29" s="693">
        <v>21.1</v>
      </c>
      <c r="F29" s="693">
        <v>15.68</v>
      </c>
      <c r="G29" s="693"/>
      <c r="H29" s="693"/>
      <c r="I29" s="693">
        <v>24.7</v>
      </c>
      <c r="J29" s="693"/>
      <c r="K29" s="693"/>
      <c r="L29" s="693"/>
      <c r="M29" s="686">
        <v>20.493333333333336</v>
      </c>
      <c r="N29" s="516">
        <v>6</v>
      </c>
      <c r="O29" s="522">
        <v>1</v>
      </c>
      <c r="P29" s="503">
        <f t="shared" si="2"/>
        <v>3.42</v>
      </c>
    </row>
    <row r="30" spans="1:19">
      <c r="A30" s="985" t="s">
        <v>558</v>
      </c>
      <c r="B30" s="986"/>
      <c r="C30" s="987"/>
      <c r="D30" s="493" t="s">
        <v>444</v>
      </c>
      <c r="E30" s="693">
        <v>24.83</v>
      </c>
      <c r="F30" s="693">
        <v>40.9</v>
      </c>
      <c r="G30" s="693"/>
      <c r="H30" s="693"/>
      <c r="I30" s="693">
        <v>13.9</v>
      </c>
      <c r="J30" s="693"/>
      <c r="K30" s="693"/>
      <c r="L30" s="693"/>
      <c r="M30" s="686">
        <v>26.543333333333333</v>
      </c>
      <c r="N30" s="520">
        <v>1</v>
      </c>
      <c r="O30" s="508">
        <v>2</v>
      </c>
      <c r="P30" s="503">
        <f t="shared" si="2"/>
        <v>53.09</v>
      </c>
    </row>
    <row r="31" spans="1:19">
      <c r="A31" s="985" t="s">
        <v>557</v>
      </c>
      <c r="B31" s="986"/>
      <c r="C31" s="987"/>
      <c r="D31" s="493" t="s">
        <v>444</v>
      </c>
      <c r="E31" s="693">
        <v>4.04</v>
      </c>
      <c r="F31" s="693">
        <v>3.5</v>
      </c>
      <c r="G31" s="693"/>
      <c r="H31" s="693"/>
      <c r="I31" s="693">
        <v>1.8</v>
      </c>
      <c r="J31" s="693"/>
      <c r="K31" s="693"/>
      <c r="L31" s="693"/>
      <c r="M31" s="686">
        <v>3.1133333333333333</v>
      </c>
      <c r="N31" s="520">
        <v>1</v>
      </c>
      <c r="O31" s="508">
        <v>10</v>
      </c>
      <c r="P31" s="503">
        <f t="shared" si="2"/>
        <v>31.13</v>
      </c>
    </row>
    <row r="32" spans="1:19">
      <c r="A32" s="985" t="s">
        <v>799</v>
      </c>
      <c r="B32" s="986"/>
      <c r="C32" s="987"/>
      <c r="D32" s="493" t="s">
        <v>444</v>
      </c>
      <c r="E32" s="693">
        <v>34.799999999999997</v>
      </c>
      <c r="F32" s="693">
        <v>43.61</v>
      </c>
      <c r="G32" s="693"/>
      <c r="H32" s="693"/>
      <c r="I32" s="693">
        <v>32</v>
      </c>
      <c r="J32" s="693"/>
      <c r="K32" s="693"/>
      <c r="L32" s="693"/>
      <c r="M32" s="686">
        <v>36.803333333333335</v>
      </c>
      <c r="N32" s="520">
        <v>1</v>
      </c>
      <c r="O32" s="508">
        <v>1</v>
      </c>
      <c r="P32" s="503">
        <f t="shared" si="2"/>
        <v>36.799999999999997</v>
      </c>
    </row>
    <row r="33" spans="1:16">
      <c r="A33" s="985" t="s">
        <v>575</v>
      </c>
      <c r="B33" s="986"/>
      <c r="C33" s="987"/>
      <c r="D33" s="493" t="s">
        <v>444</v>
      </c>
      <c r="E33" s="693">
        <v>35</v>
      </c>
      <c r="F33" s="693"/>
      <c r="G33" s="693"/>
      <c r="H33" s="693">
        <v>35.9</v>
      </c>
      <c r="I33" s="693">
        <v>52</v>
      </c>
      <c r="J33" s="693"/>
      <c r="K33" s="693"/>
      <c r="L33" s="693"/>
      <c r="M33" s="686">
        <v>40.966666666666669</v>
      </c>
      <c r="N33" s="518">
        <v>12</v>
      </c>
      <c r="O33" s="518">
        <v>1</v>
      </c>
      <c r="P33" s="503">
        <f t="shared" si="2"/>
        <v>3.41</v>
      </c>
    </row>
    <row r="34" spans="1:16">
      <c r="A34" s="985" t="s">
        <v>484</v>
      </c>
      <c r="B34" s="986"/>
      <c r="C34" s="987"/>
      <c r="D34" s="515"/>
      <c r="E34" s="693"/>
      <c r="F34" s="693"/>
      <c r="G34" s="693"/>
      <c r="H34" s="693"/>
      <c r="I34" s="693"/>
      <c r="J34" s="693"/>
      <c r="K34" s="693"/>
      <c r="L34" s="693"/>
      <c r="M34" s="515"/>
      <c r="N34" s="523"/>
      <c r="O34" s="523"/>
      <c r="P34" s="503">
        <f t="shared" ref="P34:P36" si="3">IF(N34="",0,(M34*O34)/N34)</f>
        <v>0</v>
      </c>
    </row>
    <row r="35" spans="1:16">
      <c r="A35" s="985" t="s">
        <v>484</v>
      </c>
      <c r="B35" s="986"/>
      <c r="C35" s="987"/>
      <c r="D35" s="515"/>
      <c r="E35" s="693"/>
      <c r="F35" s="693"/>
      <c r="G35" s="693"/>
      <c r="H35" s="693"/>
      <c r="I35" s="693"/>
      <c r="J35" s="693"/>
      <c r="K35" s="693"/>
      <c r="L35" s="693"/>
      <c r="M35" s="515"/>
      <c r="N35" s="523"/>
      <c r="O35" s="523"/>
      <c r="P35" s="503">
        <f t="shared" si="3"/>
        <v>0</v>
      </c>
    </row>
    <row r="36" spans="1:16">
      <c r="A36" s="985" t="s">
        <v>484</v>
      </c>
      <c r="B36" s="986"/>
      <c r="C36" s="987"/>
      <c r="D36" s="515"/>
      <c r="E36" s="693"/>
      <c r="F36" s="693"/>
      <c r="G36" s="693"/>
      <c r="H36" s="693"/>
      <c r="I36" s="693"/>
      <c r="J36" s="693"/>
      <c r="K36" s="693"/>
      <c r="L36" s="693"/>
      <c r="M36" s="515"/>
      <c r="N36" s="523"/>
      <c r="O36" s="523"/>
      <c r="P36" s="503">
        <f t="shared" si="3"/>
        <v>0</v>
      </c>
    </row>
    <row r="37" spans="1:16">
      <c r="A37" s="985" t="s">
        <v>484</v>
      </c>
      <c r="B37" s="986"/>
      <c r="C37" s="987"/>
      <c r="D37" s="515"/>
      <c r="E37" s="693"/>
      <c r="F37" s="693"/>
      <c r="G37" s="693"/>
      <c r="H37" s="693"/>
      <c r="I37" s="693"/>
      <c r="J37" s="693"/>
      <c r="K37" s="693"/>
      <c r="L37" s="693"/>
      <c r="M37" s="515"/>
      <c r="N37" s="523"/>
      <c r="O37" s="523"/>
      <c r="P37" s="503">
        <f t="shared" ref="P37" si="4">IF(N37="",0,(M37*O37)/N37)</f>
        <v>0</v>
      </c>
    </row>
    <row r="38" spans="1:16">
      <c r="A38" s="979" t="s">
        <v>408</v>
      </c>
      <c r="B38" s="980"/>
      <c r="C38" s="980"/>
      <c r="D38" s="980"/>
      <c r="E38" s="981"/>
      <c r="F38" s="981"/>
      <c r="G38" s="981"/>
      <c r="H38" s="981"/>
      <c r="I38" s="981"/>
      <c r="J38" s="981"/>
      <c r="K38" s="981"/>
      <c r="L38" s="981"/>
      <c r="M38" s="980"/>
      <c r="N38" s="980"/>
      <c r="O38" s="980"/>
      <c r="P38" s="534">
        <f>SUM(P26:P37)</f>
        <v>167.17</v>
      </c>
    </row>
    <row r="40" spans="1:16" s="489" customFormat="1" ht="18.75" customHeight="1">
      <c r="A40" s="486"/>
      <c r="B40" s="486"/>
      <c r="C40" s="486"/>
      <c r="D40" s="486"/>
      <c r="E40" s="483"/>
      <c r="F40" s="483"/>
      <c r="G40" s="483"/>
      <c r="H40" s="483"/>
      <c r="I40" s="483"/>
      <c r="J40" s="483"/>
      <c r="K40" s="483"/>
      <c r="L40" s="483"/>
      <c r="M40" s="486"/>
      <c r="N40" s="486"/>
      <c r="O40" s="486"/>
      <c r="P40" s="486"/>
    </row>
    <row r="54" spans="1:18">
      <c r="A54" s="524"/>
      <c r="B54" s="524"/>
      <c r="C54" s="524"/>
      <c r="D54" s="524"/>
      <c r="M54" s="524"/>
      <c r="N54" s="524"/>
      <c r="O54" s="524"/>
      <c r="P54" s="524"/>
    </row>
    <row r="55" spans="1:18">
      <c r="A55" s="525"/>
      <c r="B55" s="525"/>
      <c r="C55" s="525"/>
      <c r="D55" s="525"/>
      <c r="M55" s="525"/>
      <c r="N55" s="525"/>
      <c r="O55" s="525"/>
      <c r="P55" s="525"/>
    </row>
    <row r="56" spans="1:18" s="494" customFormat="1" ht="8.25" customHeight="1">
      <c r="A56" s="486"/>
      <c r="B56" s="486"/>
      <c r="C56" s="486"/>
      <c r="D56" s="486"/>
      <c r="E56" s="695"/>
      <c r="F56" s="695"/>
      <c r="G56" s="696"/>
      <c r="H56" s="696"/>
      <c r="I56" s="696"/>
      <c r="J56" s="696"/>
      <c r="K56" s="696"/>
      <c r="L56" s="696"/>
      <c r="M56" s="486"/>
      <c r="N56" s="486"/>
      <c r="O56" s="486"/>
      <c r="P56" s="486"/>
      <c r="Q56" s="488"/>
      <c r="R56" s="488"/>
    </row>
    <row r="57" spans="1:18" s="494" customFormat="1" ht="8.25" customHeight="1">
      <c r="A57" s="486"/>
      <c r="B57" s="486"/>
      <c r="C57" s="486"/>
      <c r="D57" s="486"/>
      <c r="E57" s="695"/>
      <c r="F57" s="695"/>
      <c r="G57" s="696"/>
      <c r="H57" s="696"/>
      <c r="I57" s="696"/>
      <c r="J57" s="696"/>
      <c r="K57" s="696"/>
      <c r="L57" s="696"/>
      <c r="M57" s="486"/>
      <c r="N57" s="486"/>
      <c r="O57" s="486"/>
      <c r="P57" s="486"/>
      <c r="Q57" s="488"/>
      <c r="R57" s="488"/>
    </row>
  </sheetData>
  <mergeCells count="36">
    <mergeCell ref="A1:P1"/>
    <mergeCell ref="A3:C3"/>
    <mergeCell ref="A13:P13"/>
    <mergeCell ref="A6:C6"/>
    <mergeCell ref="A2:P2"/>
    <mergeCell ref="A4:C4"/>
    <mergeCell ref="A5:C5"/>
    <mergeCell ref="A7:C7"/>
    <mergeCell ref="A8:C8"/>
    <mergeCell ref="A9:C9"/>
    <mergeCell ref="A10:O10"/>
    <mergeCell ref="A12:P12"/>
    <mergeCell ref="A14:C14"/>
    <mergeCell ref="A15:C15"/>
    <mergeCell ref="A16:C16"/>
    <mergeCell ref="A35:C35"/>
    <mergeCell ref="A36:C36"/>
    <mergeCell ref="A17:C17"/>
    <mergeCell ref="A25:C25"/>
    <mergeCell ref="A24:P24"/>
    <mergeCell ref="A18:C18"/>
    <mergeCell ref="A34:C34"/>
    <mergeCell ref="A38:O38"/>
    <mergeCell ref="A19:C19"/>
    <mergeCell ref="A20:C20"/>
    <mergeCell ref="A29:C29"/>
    <mergeCell ref="A21:O21"/>
    <mergeCell ref="A32:C32"/>
    <mergeCell ref="A37:C37"/>
    <mergeCell ref="A30:C30"/>
    <mergeCell ref="A31:C31"/>
    <mergeCell ref="A23:P23"/>
    <mergeCell ref="A26:C26"/>
    <mergeCell ref="A27:C27"/>
    <mergeCell ref="A28:C28"/>
    <mergeCell ref="A33:C33"/>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BB3BA4-0A2A-4D24-A383-C21C899BCC0E}">
  <sheetPr codeName="Planilha3"/>
  <dimension ref="A1:S49"/>
  <sheetViews>
    <sheetView showGridLines="0" topLeftCell="A16" zoomScale="68" zoomScaleNormal="68" workbookViewId="0">
      <selection activeCell="K16" sqref="K16:K43"/>
    </sheetView>
  </sheetViews>
  <sheetFormatPr defaultColWidth="9" defaultRowHeight="15.75"/>
  <cols>
    <col min="1" max="1" width="50" style="1345" customWidth="1"/>
    <col min="2" max="2" width="9.25" style="1345" bestFit="1" customWidth="1"/>
    <col min="3" max="3" width="11.5" style="1315" bestFit="1" customWidth="1"/>
    <col min="4" max="5" width="12.25" style="1315" bestFit="1" customWidth="1"/>
    <col min="6" max="6" width="13" style="1315" customWidth="1"/>
    <col min="7" max="7" width="12.25" style="1315" customWidth="1"/>
    <col min="8" max="8" width="11.5" style="1315" bestFit="1" customWidth="1"/>
    <col min="9" max="10" width="10.5" style="1315" customWidth="1"/>
    <col min="11" max="11" width="14.25" style="1345" bestFit="1" customWidth="1"/>
    <col min="12" max="12" width="9.25" style="1345" bestFit="1" customWidth="1"/>
    <col min="13" max="13" width="21.75" style="1345" customWidth="1"/>
    <col min="14" max="16384" width="9" style="1345"/>
  </cols>
  <sheetData>
    <row r="1" spans="1:17" s="1315" customFormat="1" ht="34.5" customHeight="1">
      <c r="A1" s="1311" t="s">
        <v>489</v>
      </c>
      <c r="B1" s="1312"/>
      <c r="C1" s="1313"/>
      <c r="D1" s="1313"/>
      <c r="E1" s="1313"/>
      <c r="F1" s="1313"/>
      <c r="G1" s="1313"/>
      <c r="H1" s="1313"/>
      <c r="I1" s="1313"/>
      <c r="J1" s="1313"/>
      <c r="K1" s="1312"/>
      <c r="L1" s="1312"/>
      <c r="M1" s="1314"/>
    </row>
    <row r="2" spans="1:17" s="1315" customFormat="1">
      <c r="A2" s="1316" t="s">
        <v>483</v>
      </c>
      <c r="B2" s="1317"/>
      <c r="C2" s="1318"/>
      <c r="D2" s="1318"/>
      <c r="E2" s="1318"/>
      <c r="F2" s="1318"/>
      <c r="G2" s="1318"/>
      <c r="H2" s="1318"/>
      <c r="I2" s="1318"/>
      <c r="J2" s="1318"/>
      <c r="K2" s="1317"/>
      <c r="L2" s="1317"/>
      <c r="M2" s="1319"/>
    </row>
    <row r="3" spans="1:17" s="1325" customFormat="1" ht="57" customHeight="1">
      <c r="A3" s="1320" t="s">
        <v>407</v>
      </c>
      <c r="B3" s="1321" t="s">
        <v>485</v>
      </c>
      <c r="C3" s="1322" t="s">
        <v>809</v>
      </c>
      <c r="D3" s="1322" t="s">
        <v>808</v>
      </c>
      <c r="E3" s="1322" t="s">
        <v>810</v>
      </c>
      <c r="F3" s="1322" t="s">
        <v>801</v>
      </c>
      <c r="G3" s="1322" t="s">
        <v>811</v>
      </c>
      <c r="H3" s="1322" t="s">
        <v>1</v>
      </c>
      <c r="I3" s="1322" t="s">
        <v>1</v>
      </c>
      <c r="J3" s="1322" t="s">
        <v>1</v>
      </c>
      <c r="K3" s="1323" t="s">
        <v>435</v>
      </c>
      <c r="L3" s="1324" t="s">
        <v>436</v>
      </c>
      <c r="M3" s="1323" t="s">
        <v>408</v>
      </c>
    </row>
    <row r="4" spans="1:17" s="1325" customFormat="1" ht="15.75" customHeight="1">
      <c r="A4" s="1326" t="s">
        <v>560</v>
      </c>
      <c r="B4" s="1327">
        <v>1</v>
      </c>
      <c r="C4" s="1328"/>
      <c r="D4" s="1328">
        <v>2498.88</v>
      </c>
      <c r="E4" s="1328">
        <v>1899</v>
      </c>
      <c r="F4" s="1328">
        <v>2577.4499999999998</v>
      </c>
      <c r="G4" s="1328"/>
      <c r="H4" s="1328"/>
      <c r="I4" s="1328"/>
      <c r="J4" s="1328"/>
      <c r="K4" s="1358">
        <v>2325.11</v>
      </c>
      <c r="L4" s="1329">
        <v>60</v>
      </c>
      <c r="M4" s="1330">
        <f>ROUND(B4*K4/$L4,2)</f>
        <v>38.75</v>
      </c>
    </row>
    <row r="5" spans="1:17" s="1325" customFormat="1">
      <c r="A5" s="1326" t="s">
        <v>561</v>
      </c>
      <c r="B5" s="1327">
        <v>1</v>
      </c>
      <c r="C5" s="1328"/>
      <c r="D5" s="1328">
        <v>2333.2199999999998</v>
      </c>
      <c r="E5" s="1328">
        <v>2319</v>
      </c>
      <c r="F5" s="1328">
        <v>2686.93</v>
      </c>
      <c r="G5" s="1328"/>
      <c r="H5" s="1328"/>
      <c r="I5" s="1328"/>
      <c r="J5" s="1328"/>
      <c r="K5" s="1358">
        <v>2446.3833333333332</v>
      </c>
      <c r="L5" s="1331">
        <v>60</v>
      </c>
      <c r="M5" s="1330">
        <f t="shared" ref="M5:M6" si="0">ROUND(B5*K5/$L5,2)</f>
        <v>40.770000000000003</v>
      </c>
      <c r="Q5" s="1332"/>
    </row>
    <row r="6" spans="1:17" s="1325" customFormat="1">
      <c r="A6" s="1326" t="s">
        <v>576</v>
      </c>
      <c r="B6" s="1327">
        <v>1</v>
      </c>
      <c r="C6" s="1328">
        <v>277.67</v>
      </c>
      <c r="D6" s="1333">
        <v>339.9</v>
      </c>
      <c r="E6" s="1328"/>
      <c r="F6" s="1333">
        <v>179</v>
      </c>
      <c r="G6" s="1328"/>
      <c r="H6" s="1328"/>
      <c r="I6" s="1328"/>
      <c r="J6" s="1328"/>
      <c r="K6" s="1358">
        <v>265.52333333333331</v>
      </c>
      <c r="L6" s="1334">
        <v>12</v>
      </c>
      <c r="M6" s="1330">
        <f t="shared" si="0"/>
        <v>22.13</v>
      </c>
      <c r="Q6" s="1332"/>
    </row>
    <row r="7" spans="1:17" s="1325" customFormat="1">
      <c r="A7" s="1335" t="s">
        <v>484</v>
      </c>
      <c r="B7" s="1336"/>
      <c r="C7" s="1337"/>
      <c r="D7" s="1337"/>
      <c r="E7" s="1337"/>
      <c r="F7" s="1337"/>
      <c r="G7" s="1337"/>
      <c r="H7" s="1337"/>
      <c r="I7" s="1337"/>
      <c r="J7" s="1337"/>
      <c r="K7" s="1338"/>
      <c r="L7" s="1339"/>
      <c r="M7" s="1330">
        <f>IF(L7="",0,B7*K7/L7)</f>
        <v>0</v>
      </c>
      <c r="Q7" s="1332"/>
    </row>
    <row r="8" spans="1:17" s="1325" customFormat="1">
      <c r="A8" s="1335" t="s">
        <v>484</v>
      </c>
      <c r="B8" s="1336"/>
      <c r="C8" s="1337"/>
      <c r="D8" s="1337"/>
      <c r="E8" s="1337"/>
      <c r="F8" s="1337"/>
      <c r="G8" s="1337"/>
      <c r="H8" s="1337"/>
      <c r="I8" s="1337"/>
      <c r="J8" s="1337"/>
      <c r="K8" s="1338"/>
      <c r="L8" s="1339"/>
      <c r="M8" s="1330">
        <f t="shared" ref="M8:M10" si="1">IF(L8="",0,B8*K8/L8)</f>
        <v>0</v>
      </c>
      <c r="Q8" s="1332"/>
    </row>
    <row r="9" spans="1:17" s="1325" customFormat="1">
      <c r="A9" s="1335" t="s">
        <v>484</v>
      </c>
      <c r="B9" s="1336"/>
      <c r="C9" s="1337"/>
      <c r="D9" s="1337"/>
      <c r="E9" s="1337"/>
      <c r="F9" s="1337"/>
      <c r="G9" s="1337"/>
      <c r="H9" s="1337"/>
      <c r="I9" s="1337"/>
      <c r="J9" s="1337"/>
      <c r="K9" s="1338"/>
      <c r="L9" s="1339"/>
      <c r="M9" s="1330">
        <f t="shared" si="1"/>
        <v>0</v>
      </c>
      <c r="Q9" s="1332"/>
    </row>
    <row r="10" spans="1:17" s="1325" customFormat="1">
      <c r="A10" s="1335" t="s">
        <v>484</v>
      </c>
      <c r="B10" s="1336"/>
      <c r="C10" s="1337"/>
      <c r="D10" s="1337"/>
      <c r="E10" s="1337"/>
      <c r="F10" s="1337"/>
      <c r="G10" s="1337"/>
      <c r="H10" s="1337"/>
      <c r="I10" s="1337"/>
      <c r="J10" s="1337"/>
      <c r="K10" s="1338"/>
      <c r="L10" s="1339"/>
      <c r="M10" s="1330">
        <f t="shared" si="1"/>
        <v>0</v>
      </c>
      <c r="Q10" s="1332"/>
    </row>
    <row r="11" spans="1:17" s="1325" customFormat="1">
      <c r="A11" s="1340" t="s">
        <v>408</v>
      </c>
      <c r="B11" s="1340"/>
      <c r="C11" s="1341"/>
      <c r="D11" s="1341"/>
      <c r="E11" s="1341"/>
      <c r="F11" s="1341"/>
      <c r="G11" s="1341"/>
      <c r="H11" s="1341"/>
      <c r="I11" s="1341"/>
      <c r="J11" s="1341"/>
      <c r="K11" s="1340"/>
      <c r="L11" s="1340"/>
      <c r="M11" s="1342">
        <f>SUM(M4:M10)</f>
        <v>101.65</v>
      </c>
      <c r="Q11" s="1332"/>
    </row>
    <row r="13" spans="1:17" s="1315" customFormat="1" ht="28.5" customHeight="1">
      <c r="A13" s="1311" t="s">
        <v>482</v>
      </c>
      <c r="B13" s="1312"/>
      <c r="C13" s="1313"/>
      <c r="D13" s="1313"/>
      <c r="E13" s="1313"/>
      <c r="F13" s="1313"/>
      <c r="G13" s="1313"/>
      <c r="H13" s="1313"/>
      <c r="I13" s="1313"/>
      <c r="J13" s="1313"/>
      <c r="K13" s="1312"/>
      <c r="L13" s="1312"/>
      <c r="M13" s="1314"/>
    </row>
    <row r="14" spans="1:17" s="1315" customFormat="1">
      <c r="A14" s="1316" t="s">
        <v>483</v>
      </c>
      <c r="B14" s="1317"/>
      <c r="C14" s="1318"/>
      <c r="D14" s="1318"/>
      <c r="E14" s="1318"/>
      <c r="F14" s="1318"/>
      <c r="G14" s="1318"/>
      <c r="H14" s="1318"/>
      <c r="I14" s="1318"/>
      <c r="J14" s="1318"/>
      <c r="K14" s="1317"/>
      <c r="L14" s="1317"/>
      <c r="M14" s="1319"/>
    </row>
    <row r="15" spans="1:17" s="1325" customFormat="1" ht="28.5" customHeight="1">
      <c r="A15" s="1320" t="s">
        <v>407</v>
      </c>
      <c r="B15" s="1321" t="s">
        <v>485</v>
      </c>
      <c r="C15" s="1322" t="s">
        <v>809</v>
      </c>
      <c r="D15" s="1322" t="s">
        <v>808</v>
      </c>
      <c r="E15" s="1322" t="s">
        <v>812</v>
      </c>
      <c r="F15" s="1322" t="s">
        <v>801</v>
      </c>
      <c r="G15" s="1322" t="s">
        <v>811</v>
      </c>
      <c r="H15" s="1322" t="s">
        <v>813</v>
      </c>
      <c r="I15" s="1322" t="s">
        <v>814</v>
      </c>
      <c r="J15" s="1322" t="s">
        <v>815</v>
      </c>
      <c r="K15" s="1323" t="s">
        <v>435</v>
      </c>
      <c r="L15" s="1324" t="s">
        <v>436</v>
      </c>
      <c r="M15" s="1323" t="s">
        <v>408</v>
      </c>
    </row>
    <row r="16" spans="1:17" s="1325" customFormat="1" ht="28.5" customHeight="1">
      <c r="A16" s="1326" t="s">
        <v>559</v>
      </c>
      <c r="B16" s="1327">
        <v>1</v>
      </c>
      <c r="C16" s="1343">
        <v>2174.8000000000002</v>
      </c>
      <c r="D16" s="1343"/>
      <c r="E16" s="1343"/>
      <c r="F16" s="1343">
        <v>2147.96</v>
      </c>
      <c r="G16" s="1343"/>
      <c r="H16" s="1343">
        <v>1649.39</v>
      </c>
      <c r="I16" s="1343"/>
      <c r="J16" s="1343"/>
      <c r="K16" s="1359">
        <v>1990.7166666666669</v>
      </c>
      <c r="L16" s="1344">
        <v>60</v>
      </c>
      <c r="M16" s="1330">
        <f>ROUND(IF(L16="",0,(B16*K16)/L16),2)</f>
        <v>33.18</v>
      </c>
    </row>
    <row r="17" spans="1:17" s="1325" customFormat="1" ht="28.5" customHeight="1">
      <c r="A17" s="1335" t="s">
        <v>577</v>
      </c>
      <c r="B17" s="1327">
        <v>1</v>
      </c>
      <c r="C17" s="1343">
        <v>876.98</v>
      </c>
      <c r="D17" s="1343">
        <v>638.5</v>
      </c>
      <c r="E17" s="1343"/>
      <c r="F17" s="1343" t="s">
        <v>816</v>
      </c>
      <c r="G17" s="1343"/>
      <c r="H17" s="1343"/>
      <c r="I17" s="1343"/>
      <c r="J17" s="1343"/>
      <c r="K17" s="1359">
        <v>757.74</v>
      </c>
      <c r="L17" s="1331">
        <v>60</v>
      </c>
      <c r="M17" s="1330">
        <f t="shared" ref="M17:M44" si="2">ROUND(IF(L17="",0,(B17*K17)/L17),2)</f>
        <v>12.63</v>
      </c>
      <c r="Q17" s="1332"/>
    </row>
    <row r="18" spans="1:17" s="1325" customFormat="1" ht="28.5" customHeight="1">
      <c r="A18" s="1335" t="s">
        <v>518</v>
      </c>
      <c r="B18" s="1327">
        <v>1</v>
      </c>
      <c r="C18" s="1343">
        <v>449.01</v>
      </c>
      <c r="D18" s="1343">
        <v>499.98</v>
      </c>
      <c r="E18" s="1343">
        <v>433.9</v>
      </c>
      <c r="F18" s="1343"/>
      <c r="G18" s="1343"/>
      <c r="H18" s="1343"/>
      <c r="I18" s="1343"/>
      <c r="J18" s="1343"/>
      <c r="K18" s="1359">
        <v>460.96333333333331</v>
      </c>
      <c r="L18" s="1331">
        <v>60</v>
      </c>
      <c r="M18" s="1330">
        <f t="shared" si="2"/>
        <v>7.68</v>
      </c>
      <c r="P18" s="1332"/>
    </row>
    <row r="19" spans="1:17" s="1325" customFormat="1" ht="28.5" customHeight="1">
      <c r="A19" s="1326" t="s">
        <v>562</v>
      </c>
      <c r="B19" s="1327">
        <v>1</v>
      </c>
      <c r="C19" s="1343"/>
      <c r="D19" s="1343"/>
      <c r="E19" s="1343"/>
      <c r="F19" s="1343"/>
      <c r="G19" s="1343">
        <v>520</v>
      </c>
      <c r="H19" s="1343"/>
      <c r="I19" s="1343">
        <v>469</v>
      </c>
      <c r="J19" s="1343">
        <v>419.9</v>
      </c>
      <c r="K19" s="1359">
        <v>469.63333333333338</v>
      </c>
      <c r="L19" s="1331">
        <v>60</v>
      </c>
      <c r="M19" s="1330">
        <f t="shared" si="2"/>
        <v>7.83</v>
      </c>
      <c r="P19" s="1332"/>
    </row>
    <row r="20" spans="1:17" s="1325" customFormat="1" ht="28.5" customHeight="1">
      <c r="A20" s="1326" t="s">
        <v>563</v>
      </c>
      <c r="B20" s="1327">
        <v>1</v>
      </c>
      <c r="C20" s="1343">
        <v>1345</v>
      </c>
      <c r="D20" s="1343">
        <v>1767.37</v>
      </c>
      <c r="E20" s="1343"/>
      <c r="F20" s="1343">
        <v>1369.9</v>
      </c>
      <c r="G20" s="1343"/>
      <c r="H20" s="1343"/>
      <c r="I20" s="1343"/>
      <c r="J20" s="1343"/>
      <c r="K20" s="1359">
        <v>1494.0900000000001</v>
      </c>
      <c r="L20" s="1331">
        <v>60</v>
      </c>
      <c r="M20" s="1330">
        <f t="shared" si="2"/>
        <v>24.9</v>
      </c>
      <c r="P20" s="1332"/>
    </row>
    <row r="21" spans="1:17" s="1325" customFormat="1" ht="28.5" customHeight="1">
      <c r="A21" s="1326" t="s">
        <v>505</v>
      </c>
      <c r="B21" s="1327">
        <v>1</v>
      </c>
      <c r="C21" s="1343">
        <v>999.89</v>
      </c>
      <c r="D21" s="1343"/>
      <c r="E21" s="1343"/>
      <c r="F21" s="1343" t="s">
        <v>817</v>
      </c>
      <c r="G21" s="1343">
        <v>1062</v>
      </c>
      <c r="H21" s="1343"/>
      <c r="I21" s="1343"/>
      <c r="J21" s="1343"/>
      <c r="K21" s="1359">
        <v>1030.9449999999999</v>
      </c>
      <c r="L21" s="1331">
        <v>60</v>
      </c>
      <c r="M21" s="1330">
        <f t="shared" si="2"/>
        <v>17.18</v>
      </c>
      <c r="P21" s="1332"/>
    </row>
    <row r="22" spans="1:17" s="1325" customFormat="1" ht="28.5" customHeight="1">
      <c r="A22" s="1335" t="s">
        <v>506</v>
      </c>
      <c r="B22" s="1327">
        <v>1</v>
      </c>
      <c r="C22" s="1343"/>
      <c r="D22" s="1343">
        <v>39.9</v>
      </c>
      <c r="E22" s="1343">
        <v>111.9</v>
      </c>
      <c r="F22" s="1343">
        <v>59.9</v>
      </c>
      <c r="G22" s="1343"/>
      <c r="H22" s="1343"/>
      <c r="I22" s="1343"/>
      <c r="J22" s="1343"/>
      <c r="K22" s="1359">
        <v>70.566666666666677</v>
      </c>
      <c r="L22" s="1331">
        <v>12</v>
      </c>
      <c r="M22" s="1330">
        <f t="shared" si="2"/>
        <v>5.88</v>
      </c>
      <c r="P22" s="1332"/>
    </row>
    <row r="23" spans="1:17" s="1325" customFormat="1" ht="28.5" customHeight="1">
      <c r="A23" s="1335" t="s">
        <v>507</v>
      </c>
      <c r="B23" s="1327">
        <v>1</v>
      </c>
      <c r="C23" s="1343"/>
      <c r="D23" s="1343">
        <v>357.9</v>
      </c>
      <c r="E23" s="1343">
        <v>208.9</v>
      </c>
      <c r="F23" s="1343">
        <v>52.1</v>
      </c>
      <c r="G23" s="1343"/>
      <c r="H23" s="1343"/>
      <c r="I23" s="1343"/>
      <c r="J23" s="1343"/>
      <c r="K23" s="1359">
        <v>206.29999999999998</v>
      </c>
      <c r="L23" s="1331">
        <v>60</v>
      </c>
      <c r="M23" s="1330">
        <f t="shared" si="2"/>
        <v>3.44</v>
      </c>
      <c r="P23" s="1332"/>
    </row>
    <row r="24" spans="1:17" s="1325" customFormat="1" ht="28.5" customHeight="1">
      <c r="A24" s="1326" t="s">
        <v>564</v>
      </c>
      <c r="B24" s="1327">
        <v>1</v>
      </c>
      <c r="C24" s="1343">
        <v>887.78</v>
      </c>
      <c r="D24" s="1343">
        <v>495.44</v>
      </c>
      <c r="E24" s="1343"/>
      <c r="F24" s="1343">
        <v>557.66</v>
      </c>
      <c r="G24" s="1343"/>
      <c r="H24" s="1343"/>
      <c r="I24" s="1343"/>
      <c r="J24" s="1343"/>
      <c r="K24" s="1359">
        <v>646.96</v>
      </c>
      <c r="L24" s="1331">
        <v>60</v>
      </c>
      <c r="M24" s="1330">
        <f t="shared" si="2"/>
        <v>10.78</v>
      </c>
      <c r="P24" s="1332"/>
    </row>
    <row r="25" spans="1:17" s="1325" customFormat="1" ht="28.5" customHeight="1">
      <c r="A25" s="1335" t="s">
        <v>508</v>
      </c>
      <c r="B25" s="1327">
        <v>1</v>
      </c>
      <c r="C25" s="1343"/>
      <c r="D25" s="1343">
        <v>484.1</v>
      </c>
      <c r="E25" s="1343">
        <v>429</v>
      </c>
      <c r="F25" s="1343">
        <v>351</v>
      </c>
      <c r="G25" s="1343"/>
      <c r="H25" s="1343"/>
      <c r="I25" s="1343"/>
      <c r="J25" s="1343"/>
      <c r="K25" s="1359">
        <v>421.36666666666662</v>
      </c>
      <c r="L25" s="1331">
        <v>60</v>
      </c>
      <c r="M25" s="1330">
        <f t="shared" si="2"/>
        <v>7.02</v>
      </c>
      <c r="P25" s="1332"/>
    </row>
    <row r="26" spans="1:17" s="1325" customFormat="1" ht="28.5" customHeight="1">
      <c r="A26" s="1335" t="s">
        <v>509</v>
      </c>
      <c r="B26" s="1327">
        <v>1</v>
      </c>
      <c r="C26" s="1343">
        <v>158.78</v>
      </c>
      <c r="D26" s="1343">
        <v>449.8</v>
      </c>
      <c r="E26" s="1343">
        <v>377.89</v>
      </c>
      <c r="F26" s="1343"/>
      <c r="G26" s="1343"/>
      <c r="H26" s="1343"/>
      <c r="I26" s="1343"/>
      <c r="J26" s="1343"/>
      <c r="K26" s="1359">
        <v>328.82333333333332</v>
      </c>
      <c r="L26" s="1331">
        <v>60</v>
      </c>
      <c r="M26" s="1330">
        <f t="shared" si="2"/>
        <v>5.48</v>
      </c>
      <c r="P26" s="1332"/>
    </row>
    <row r="27" spans="1:17" s="1325" customFormat="1" ht="28.5" customHeight="1">
      <c r="A27" s="1335" t="s">
        <v>510</v>
      </c>
      <c r="B27" s="1327">
        <v>1</v>
      </c>
      <c r="C27" s="1343"/>
      <c r="D27" s="1343">
        <v>873.5</v>
      </c>
      <c r="E27" s="1343">
        <v>1149</v>
      </c>
      <c r="F27" s="1343">
        <v>939.9</v>
      </c>
      <c r="G27" s="1343"/>
      <c r="H27" s="1343"/>
      <c r="I27" s="1343"/>
      <c r="J27" s="1343"/>
      <c r="K27" s="1359">
        <v>987.4666666666667</v>
      </c>
      <c r="L27" s="1331">
        <v>60</v>
      </c>
      <c r="M27" s="1330">
        <f t="shared" si="2"/>
        <v>16.46</v>
      </c>
      <c r="P27" s="1332"/>
    </row>
    <row r="28" spans="1:17" s="1325" customFormat="1" ht="28.5" customHeight="1">
      <c r="A28" s="1335" t="s">
        <v>511</v>
      </c>
      <c r="B28" s="1327">
        <v>1</v>
      </c>
      <c r="C28" s="1343"/>
      <c r="D28" s="1343">
        <v>799.8</v>
      </c>
      <c r="E28" s="1343">
        <v>1099</v>
      </c>
      <c r="F28" s="1343">
        <v>1044.8900000000001</v>
      </c>
      <c r="G28" s="1343"/>
      <c r="H28" s="1343"/>
      <c r="I28" s="1343"/>
      <c r="J28" s="1343"/>
      <c r="K28" s="1359">
        <v>981.23</v>
      </c>
      <c r="L28" s="1331">
        <v>60</v>
      </c>
      <c r="M28" s="1330">
        <f t="shared" si="2"/>
        <v>16.350000000000001</v>
      </c>
      <c r="P28" s="1332"/>
    </row>
    <row r="29" spans="1:17" s="1325" customFormat="1" ht="28.5" customHeight="1">
      <c r="A29" s="1335" t="s">
        <v>519</v>
      </c>
      <c r="B29" s="1327">
        <v>1</v>
      </c>
      <c r="C29" s="1343">
        <v>777.67</v>
      </c>
      <c r="D29" s="1343">
        <v>1978.7</v>
      </c>
      <c r="E29" s="1343">
        <v>2319</v>
      </c>
      <c r="F29" s="1343">
        <v>1662.59</v>
      </c>
      <c r="G29" s="1343"/>
      <c r="H29" s="1343"/>
      <c r="I29" s="1343"/>
      <c r="J29" s="1343"/>
      <c r="K29" s="1359">
        <v>1684.49</v>
      </c>
      <c r="L29" s="1331">
        <v>60</v>
      </c>
      <c r="M29" s="1330">
        <f t="shared" si="2"/>
        <v>28.07</v>
      </c>
      <c r="P29" s="1332"/>
    </row>
    <row r="30" spans="1:17" s="1325" customFormat="1" ht="28.5" customHeight="1">
      <c r="A30" s="1335" t="s">
        <v>520</v>
      </c>
      <c r="B30" s="1327">
        <v>1</v>
      </c>
      <c r="C30" s="1343"/>
      <c r="D30" s="1343">
        <v>214</v>
      </c>
      <c r="E30" s="1343">
        <v>497.9</v>
      </c>
      <c r="F30" s="1343">
        <v>382.9</v>
      </c>
      <c r="G30" s="1343"/>
      <c r="H30" s="1343"/>
      <c r="I30" s="1343"/>
      <c r="J30" s="1343"/>
      <c r="K30" s="1359">
        <v>364.93333333333334</v>
      </c>
      <c r="L30" s="1331">
        <v>60</v>
      </c>
      <c r="M30" s="1330">
        <f t="shared" si="2"/>
        <v>6.08</v>
      </c>
      <c r="P30" s="1332"/>
    </row>
    <row r="31" spans="1:17" s="1325" customFormat="1" ht="28.5" customHeight="1">
      <c r="A31" s="1335" t="s">
        <v>512</v>
      </c>
      <c r="B31" s="1327">
        <v>1</v>
      </c>
      <c r="C31" s="1343"/>
      <c r="D31" s="1343">
        <v>273.89999999999998</v>
      </c>
      <c r="E31" s="1343">
        <v>255.9</v>
      </c>
      <c r="F31" s="1343">
        <v>350</v>
      </c>
      <c r="G31" s="1343"/>
      <c r="H31" s="1343"/>
      <c r="I31" s="1343"/>
      <c r="J31" s="1343"/>
      <c r="K31" s="1359">
        <v>293.26666666666665</v>
      </c>
      <c r="L31" s="1331">
        <v>60</v>
      </c>
      <c r="M31" s="1330">
        <f t="shared" si="2"/>
        <v>4.8899999999999997</v>
      </c>
      <c r="P31" s="1332"/>
    </row>
    <row r="32" spans="1:17" s="1325" customFormat="1" ht="28.5" customHeight="1">
      <c r="A32" s="1335" t="s">
        <v>513</v>
      </c>
      <c r="B32" s="1327">
        <v>1</v>
      </c>
      <c r="C32" s="1343">
        <v>133.22</v>
      </c>
      <c r="D32" s="1343">
        <v>423.9</v>
      </c>
      <c r="E32" s="1343"/>
      <c r="F32" s="1343">
        <v>348.6</v>
      </c>
      <c r="G32" s="1343"/>
      <c r="H32" s="1343"/>
      <c r="I32" s="1343"/>
      <c r="J32" s="1343"/>
      <c r="K32" s="1359">
        <v>301.90666666666669</v>
      </c>
      <c r="L32" s="1331">
        <v>60</v>
      </c>
      <c r="M32" s="1330">
        <f t="shared" si="2"/>
        <v>5.03</v>
      </c>
      <c r="P32" s="1332"/>
    </row>
    <row r="33" spans="1:19" s="1325" customFormat="1" ht="28.5" customHeight="1">
      <c r="A33" s="1335" t="s">
        <v>514</v>
      </c>
      <c r="B33" s="1327">
        <v>1</v>
      </c>
      <c r="C33" s="1343" t="s">
        <v>818</v>
      </c>
      <c r="D33" s="1343"/>
      <c r="E33" s="1343">
        <v>161.9</v>
      </c>
      <c r="F33" s="1343">
        <v>105.74</v>
      </c>
      <c r="G33" s="1343"/>
      <c r="H33" s="1343"/>
      <c r="I33" s="1343"/>
      <c r="J33" s="1343"/>
      <c r="K33" s="1359">
        <v>133.82</v>
      </c>
      <c r="L33" s="1331">
        <v>60</v>
      </c>
      <c r="M33" s="1330">
        <f t="shared" si="2"/>
        <v>2.23</v>
      </c>
      <c r="P33" s="1332"/>
    </row>
    <row r="34" spans="1:19" s="1325" customFormat="1" ht="28.5" customHeight="1">
      <c r="A34" s="1335" t="s">
        <v>515</v>
      </c>
      <c r="B34" s="1327">
        <v>1</v>
      </c>
      <c r="C34" s="1343">
        <v>21.01</v>
      </c>
      <c r="D34" s="1343">
        <v>8.43</v>
      </c>
      <c r="E34" s="1343">
        <v>56.9</v>
      </c>
      <c r="F34" s="1343">
        <v>19.899999999999999</v>
      </c>
      <c r="G34" s="1343"/>
      <c r="H34" s="1343"/>
      <c r="I34" s="1343"/>
      <c r="J34" s="1343"/>
      <c r="K34" s="1359">
        <v>26.560000000000002</v>
      </c>
      <c r="L34" s="1331">
        <v>60</v>
      </c>
      <c r="M34" s="1330">
        <f t="shared" si="2"/>
        <v>0.44</v>
      </c>
      <c r="P34" s="1332"/>
    </row>
    <row r="35" spans="1:19" s="1325" customFormat="1" ht="28.5" customHeight="1">
      <c r="A35" s="1335" t="s">
        <v>516</v>
      </c>
      <c r="B35" s="1327">
        <v>1</v>
      </c>
      <c r="C35" s="1343">
        <v>309.89</v>
      </c>
      <c r="D35" s="1343"/>
      <c r="E35" s="1343">
        <v>379.9</v>
      </c>
      <c r="F35" s="1343">
        <v>305.72000000000003</v>
      </c>
      <c r="G35" s="1343"/>
      <c r="H35" s="1343"/>
      <c r="I35" s="1343"/>
      <c r="J35" s="1343"/>
      <c r="K35" s="1359">
        <v>331.83666666666664</v>
      </c>
      <c r="L35" s="1331">
        <v>60</v>
      </c>
      <c r="M35" s="1330">
        <f t="shared" si="2"/>
        <v>5.53</v>
      </c>
      <c r="N35" s="1332"/>
      <c r="O35" s="1332"/>
      <c r="P35" s="1332"/>
    </row>
    <row r="36" spans="1:19" s="1325" customFormat="1" ht="28.5" customHeight="1">
      <c r="A36" s="1335" t="s">
        <v>517</v>
      </c>
      <c r="B36" s="1327">
        <v>1</v>
      </c>
      <c r="C36" s="1343">
        <v>39.89</v>
      </c>
      <c r="D36" s="1343">
        <v>15.9</v>
      </c>
      <c r="E36" s="1343">
        <v>12.9</v>
      </c>
      <c r="F36" s="1343"/>
      <c r="G36" s="1343"/>
      <c r="H36" s="1343"/>
      <c r="I36" s="1343"/>
      <c r="J36" s="1343"/>
      <c r="K36" s="1359">
        <v>22.896666666666665</v>
      </c>
      <c r="L36" s="1331">
        <v>12</v>
      </c>
      <c r="M36" s="1330">
        <f t="shared" si="2"/>
        <v>1.91</v>
      </c>
      <c r="N36" s="1332"/>
      <c r="O36" s="1332"/>
      <c r="P36" s="1332"/>
    </row>
    <row r="37" spans="1:19" s="1325" customFormat="1" ht="28.5" customHeight="1">
      <c r="A37" s="1326" t="s">
        <v>566</v>
      </c>
      <c r="B37" s="1327">
        <v>1</v>
      </c>
      <c r="C37" s="1343">
        <v>322.11</v>
      </c>
      <c r="D37" s="1343"/>
      <c r="E37" s="1343">
        <v>219</v>
      </c>
      <c r="F37" s="1343">
        <v>184.33</v>
      </c>
      <c r="G37" s="1343"/>
      <c r="H37" s="1343"/>
      <c r="I37" s="1343"/>
      <c r="J37" s="1343"/>
      <c r="K37" s="1359">
        <v>241.81333333333336</v>
      </c>
      <c r="L37" s="1331">
        <v>60</v>
      </c>
      <c r="M37" s="1330">
        <f t="shared" si="2"/>
        <v>4.03</v>
      </c>
      <c r="N37" s="1332"/>
      <c r="O37" s="1332"/>
      <c r="P37" s="1332"/>
      <c r="Q37" s="1332"/>
    </row>
    <row r="38" spans="1:19" s="1325" customFormat="1" ht="28.5" customHeight="1">
      <c r="A38" s="1326" t="s">
        <v>567</v>
      </c>
      <c r="B38" s="1327">
        <v>1</v>
      </c>
      <c r="C38" s="1343"/>
      <c r="D38" s="1343">
        <v>725.44</v>
      </c>
      <c r="E38" s="1343">
        <v>1369</v>
      </c>
      <c r="F38" s="1343">
        <v>727.67</v>
      </c>
      <c r="G38" s="1343"/>
      <c r="H38" s="1343"/>
      <c r="I38" s="1343"/>
      <c r="J38" s="1343"/>
      <c r="K38" s="1359">
        <v>940.70333333333338</v>
      </c>
      <c r="L38" s="1331">
        <v>60</v>
      </c>
      <c r="M38" s="1330">
        <f t="shared" si="2"/>
        <v>15.68</v>
      </c>
      <c r="N38" s="1332"/>
      <c r="O38" s="1332"/>
      <c r="P38" s="1332"/>
      <c r="Q38" s="1332"/>
    </row>
    <row r="39" spans="1:19" s="1325" customFormat="1" ht="28.5" customHeight="1">
      <c r="A39" s="1326" t="s">
        <v>568</v>
      </c>
      <c r="B39" s="1327">
        <v>1</v>
      </c>
      <c r="C39" s="1343">
        <v>303.24</v>
      </c>
      <c r="D39" s="1343">
        <v>149.88</v>
      </c>
      <c r="E39" s="1343"/>
      <c r="F39" s="1343">
        <v>171.59</v>
      </c>
      <c r="G39" s="1343"/>
      <c r="H39" s="1343"/>
      <c r="I39" s="1343"/>
      <c r="J39" s="1343"/>
      <c r="K39" s="1359">
        <v>208.23666666666668</v>
      </c>
      <c r="L39" s="1331">
        <v>60</v>
      </c>
      <c r="M39" s="1330">
        <f t="shared" si="2"/>
        <v>3.47</v>
      </c>
      <c r="Q39" s="1332"/>
    </row>
    <row r="40" spans="1:19" s="1325" customFormat="1" ht="28.5" customHeight="1">
      <c r="A40" s="1326" t="s">
        <v>551</v>
      </c>
      <c r="B40" s="1327">
        <v>1</v>
      </c>
      <c r="C40" s="1343" t="s">
        <v>819</v>
      </c>
      <c r="D40" s="1343">
        <v>129.9</v>
      </c>
      <c r="E40" s="1343"/>
      <c r="F40" s="1343">
        <v>248.93</v>
      </c>
      <c r="G40" s="1343"/>
      <c r="H40" s="1343"/>
      <c r="I40" s="1343"/>
      <c r="J40" s="1343"/>
      <c r="K40" s="1359">
        <v>189.41500000000002</v>
      </c>
      <c r="L40" s="1331">
        <v>60</v>
      </c>
      <c r="M40" s="1330">
        <f t="shared" si="2"/>
        <v>3.16</v>
      </c>
      <c r="Q40" s="1332"/>
    </row>
    <row r="41" spans="1:19" s="1325" customFormat="1" ht="28.5" customHeight="1">
      <c r="A41" s="1326" t="s">
        <v>552</v>
      </c>
      <c r="B41" s="1327">
        <v>1</v>
      </c>
      <c r="C41" s="1343">
        <v>362.11</v>
      </c>
      <c r="D41" s="1343">
        <v>219</v>
      </c>
      <c r="E41" s="1343"/>
      <c r="F41" s="1343">
        <v>369.9</v>
      </c>
      <c r="G41" s="1343"/>
      <c r="H41" s="1343"/>
      <c r="I41" s="1343"/>
      <c r="J41" s="1343"/>
      <c r="K41" s="1359">
        <v>317.00333333333333</v>
      </c>
      <c r="L41" s="1331">
        <v>60</v>
      </c>
      <c r="M41" s="1330">
        <f t="shared" si="2"/>
        <v>5.28</v>
      </c>
      <c r="Q41" s="1345"/>
      <c r="R41" s="1345"/>
      <c r="S41" s="1345"/>
    </row>
    <row r="42" spans="1:19" s="1325" customFormat="1" ht="28.5" customHeight="1">
      <c r="A42" s="1335" t="s">
        <v>484</v>
      </c>
      <c r="B42" s="1346"/>
      <c r="C42" s="1347"/>
      <c r="D42" s="1347"/>
      <c r="E42" s="1347"/>
      <c r="F42" s="1347"/>
      <c r="G42" s="1347"/>
      <c r="H42" s="1347"/>
      <c r="I42" s="1347"/>
      <c r="J42" s="1347"/>
      <c r="K42" s="1338"/>
      <c r="L42" s="1339"/>
      <c r="M42" s="1330">
        <f t="shared" si="2"/>
        <v>0</v>
      </c>
      <c r="Q42" s="1345"/>
      <c r="R42" s="1345"/>
      <c r="S42" s="1345"/>
    </row>
    <row r="43" spans="1:19" s="1325" customFormat="1" ht="28.5" customHeight="1">
      <c r="A43" s="1335" t="s">
        <v>484</v>
      </c>
      <c r="B43" s="1346"/>
      <c r="C43" s="1347"/>
      <c r="D43" s="1347"/>
      <c r="E43" s="1347"/>
      <c r="F43" s="1347"/>
      <c r="G43" s="1347"/>
      <c r="H43" s="1347"/>
      <c r="I43" s="1347"/>
      <c r="J43" s="1347"/>
      <c r="K43" s="1338"/>
      <c r="L43" s="1339"/>
      <c r="M43" s="1330">
        <f t="shared" si="2"/>
        <v>0</v>
      </c>
      <c r="Q43" s="1345"/>
      <c r="R43" s="1345"/>
      <c r="S43" s="1345"/>
    </row>
    <row r="44" spans="1:19" s="1325" customFormat="1" ht="28.5" customHeight="1">
      <c r="A44" s="1335" t="s">
        <v>484</v>
      </c>
      <c r="B44" s="1346"/>
      <c r="C44" s="1347"/>
      <c r="D44" s="1347"/>
      <c r="E44" s="1347"/>
      <c r="F44" s="1347"/>
      <c r="G44" s="1347"/>
      <c r="H44" s="1347"/>
      <c r="I44" s="1347"/>
      <c r="J44" s="1347"/>
      <c r="K44" s="1338"/>
      <c r="L44" s="1339"/>
      <c r="M44" s="1330">
        <f t="shared" si="2"/>
        <v>0</v>
      </c>
      <c r="Q44" s="1345"/>
      <c r="R44" s="1345"/>
      <c r="S44" s="1345"/>
    </row>
    <row r="45" spans="1:19" s="1325" customFormat="1" ht="28.5" customHeight="1">
      <c r="A45" s="1340" t="s">
        <v>408</v>
      </c>
      <c r="B45" s="1340"/>
      <c r="C45" s="1341"/>
      <c r="D45" s="1341"/>
      <c r="E45" s="1341"/>
      <c r="F45" s="1341"/>
      <c r="G45" s="1341"/>
      <c r="H45" s="1341"/>
      <c r="I45" s="1341"/>
      <c r="J45" s="1341"/>
      <c r="K45" s="1340"/>
      <c r="L45" s="1340"/>
      <c r="M45" s="1342">
        <f>SUM(M16:M44)</f>
        <v>254.60999999999999</v>
      </c>
      <c r="Q45" s="1345"/>
      <c r="R45" s="1345"/>
      <c r="S45" s="1345"/>
    </row>
    <row r="49" spans="13:13">
      <c r="M49" s="1348"/>
    </row>
  </sheetData>
  <mergeCells count="6">
    <mergeCell ref="A45:L45"/>
    <mergeCell ref="A1:M1"/>
    <mergeCell ref="A2:M2"/>
    <mergeCell ref="A11:L11"/>
    <mergeCell ref="A13:M13"/>
    <mergeCell ref="A14:M14"/>
  </mergeCells>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EAEC0A-9856-4040-B7A8-8B82D3BC8414}">
  <dimension ref="A1:H26"/>
  <sheetViews>
    <sheetView showGridLines="0" workbookViewId="0">
      <selection activeCell="A22" sqref="A22"/>
    </sheetView>
  </sheetViews>
  <sheetFormatPr defaultColWidth="8.75" defaultRowHeight="15"/>
  <cols>
    <col min="1" max="1" width="63.875" style="690" customWidth="1"/>
    <col min="2" max="2" width="5.375" style="690" bestFit="1" customWidth="1"/>
    <col min="3" max="3" width="11.25" style="690" bestFit="1" customWidth="1"/>
    <col min="4" max="4" width="13.5" style="690" customWidth="1"/>
    <col min="5" max="5" width="15.25" style="690" customWidth="1"/>
    <col min="6" max="6" width="13" style="690" bestFit="1" customWidth="1"/>
    <col min="7" max="7" width="12.375" style="690" bestFit="1" customWidth="1"/>
    <col min="8" max="8" width="14.75" style="690" bestFit="1" customWidth="1"/>
    <col min="9" max="16384" width="8.75" style="690"/>
  </cols>
  <sheetData>
    <row r="1" spans="1:8" ht="21">
      <c r="A1" s="555" t="s">
        <v>42</v>
      </c>
      <c r="D1" s="691"/>
    </row>
    <row r="2" spans="1:8" ht="37.5">
      <c r="A2" s="901" t="s">
        <v>1018</v>
      </c>
      <c r="B2" s="736"/>
      <c r="C2" s="736"/>
      <c r="D2" s="736"/>
      <c r="E2" s="736"/>
      <c r="F2" s="736"/>
      <c r="G2" s="736"/>
      <c r="H2" s="736"/>
    </row>
    <row r="3" spans="1:8" ht="45">
      <c r="A3" s="688" t="s">
        <v>468</v>
      </c>
      <c r="B3" s="718" t="s">
        <v>996</v>
      </c>
      <c r="C3" s="738" t="s">
        <v>999</v>
      </c>
      <c r="D3" s="487" t="s">
        <v>487</v>
      </c>
      <c r="E3" s="735" t="s">
        <v>138</v>
      </c>
      <c r="F3" s="735" t="s">
        <v>993</v>
      </c>
      <c r="G3" s="735" t="s">
        <v>994</v>
      </c>
      <c r="H3" s="735" t="s">
        <v>995</v>
      </c>
    </row>
    <row r="4" spans="1:8" ht="60" customHeight="1">
      <c r="A4" s="1019" t="s">
        <v>488</v>
      </c>
      <c r="B4" s="737" t="s">
        <v>62</v>
      </c>
      <c r="C4" s="733">
        <v>80</v>
      </c>
      <c r="D4" s="701">
        <v>310</v>
      </c>
      <c r="E4" s="732" t="s">
        <v>992</v>
      </c>
      <c r="F4" s="734">
        <f>C4*D4</f>
        <v>24800</v>
      </c>
      <c r="G4" s="734">
        <f>F4*12</f>
        <v>297600</v>
      </c>
      <c r="H4" s="734">
        <f>F4*60</f>
        <v>1488000</v>
      </c>
    </row>
    <row r="5" spans="1:8" ht="60" customHeight="1">
      <c r="A5" s="1020"/>
      <c r="B5" s="737" t="s">
        <v>0</v>
      </c>
      <c r="C5" s="733">
        <v>100</v>
      </c>
      <c r="D5" s="583">
        <v>310</v>
      </c>
      <c r="E5" s="732" t="s">
        <v>992</v>
      </c>
      <c r="F5" s="734">
        <f>C5*D5</f>
        <v>31000</v>
      </c>
      <c r="G5" s="734">
        <f>F5*12</f>
        <v>372000</v>
      </c>
      <c r="H5" s="734">
        <f>F5*60</f>
        <v>1860000</v>
      </c>
    </row>
    <row r="6" spans="1:8">
      <c r="F6" s="717"/>
    </row>
    <row r="8" spans="1:8">
      <c r="A8" s="1021" t="s">
        <v>951</v>
      </c>
      <c r="B8" s="1021"/>
      <c r="C8" s="1021"/>
      <c r="D8" s="1021"/>
      <c r="E8" s="1021"/>
      <c r="F8" s="1021"/>
      <c r="G8" s="376"/>
      <c r="H8" s="376"/>
    </row>
    <row r="9" spans="1:8">
      <c r="A9" s="1021"/>
      <c r="B9" s="1021"/>
      <c r="C9" s="1021"/>
      <c r="D9" s="1021"/>
      <c r="E9" s="1021"/>
      <c r="F9" s="1021"/>
      <c r="G9" s="376"/>
      <c r="H9" s="376"/>
    </row>
    <row r="10" spans="1:8">
      <c r="A10" s="1022"/>
      <c r="B10" s="1022"/>
      <c r="C10" s="1022"/>
      <c r="D10" s="1022"/>
      <c r="E10" s="1022"/>
      <c r="F10" s="1022"/>
      <c r="G10" s="376"/>
      <c r="H10" s="376"/>
    </row>
    <row r="11" spans="1:8">
      <c r="A11" s="702" t="s">
        <v>952</v>
      </c>
      <c r="B11" s="702" t="s">
        <v>953</v>
      </c>
      <c r="C11" s="702" t="s">
        <v>954</v>
      </c>
      <c r="D11" s="702" t="s">
        <v>955</v>
      </c>
      <c r="E11" s="702" t="s">
        <v>956</v>
      </c>
      <c r="F11" s="703" t="s">
        <v>396</v>
      </c>
      <c r="G11" s="376"/>
      <c r="H11" s="376"/>
    </row>
    <row r="12" spans="1:8">
      <c r="A12" s="704" t="s">
        <v>957</v>
      </c>
      <c r="B12" s="702">
        <v>781360</v>
      </c>
      <c r="C12" s="702" t="s">
        <v>958</v>
      </c>
      <c r="D12" s="702">
        <v>400</v>
      </c>
      <c r="E12" s="702" t="s">
        <v>959</v>
      </c>
      <c r="F12" s="703">
        <v>315</v>
      </c>
      <c r="G12" s="376"/>
      <c r="H12" s="376"/>
    </row>
    <row r="13" spans="1:8">
      <c r="A13" s="704" t="s">
        <v>957</v>
      </c>
      <c r="B13" s="702">
        <v>781360</v>
      </c>
      <c r="C13" s="702" t="s">
        <v>960</v>
      </c>
      <c r="D13" s="702">
        <v>100</v>
      </c>
      <c r="E13" s="702" t="s">
        <v>961</v>
      </c>
      <c r="F13" s="703">
        <v>359</v>
      </c>
      <c r="G13" s="376"/>
      <c r="H13" s="376"/>
    </row>
    <row r="14" spans="1:8">
      <c r="A14" s="704" t="s">
        <v>957</v>
      </c>
      <c r="B14" s="702">
        <v>781360</v>
      </c>
      <c r="C14" s="702" t="s">
        <v>962</v>
      </c>
      <c r="D14" s="702">
        <v>400</v>
      </c>
      <c r="E14" s="702" t="s">
        <v>959</v>
      </c>
      <c r="F14" s="703">
        <v>309.33</v>
      </c>
      <c r="G14" s="376"/>
      <c r="H14" s="376"/>
    </row>
    <row r="15" spans="1:8">
      <c r="A15" s="704" t="s">
        <v>957</v>
      </c>
      <c r="B15" s="702">
        <v>781360</v>
      </c>
      <c r="C15" s="702" t="s">
        <v>963</v>
      </c>
      <c r="D15" s="702">
        <v>100</v>
      </c>
      <c r="E15" s="702" t="s">
        <v>961</v>
      </c>
      <c r="F15" s="703">
        <v>310</v>
      </c>
      <c r="G15" s="376"/>
      <c r="H15" s="376"/>
    </row>
    <row r="16" spans="1:8">
      <c r="A16" s="704" t="s">
        <v>957</v>
      </c>
      <c r="B16" s="702">
        <v>781360</v>
      </c>
      <c r="C16" s="702" t="s">
        <v>964</v>
      </c>
      <c r="D16" s="702">
        <v>100</v>
      </c>
      <c r="E16" s="702" t="s">
        <v>961</v>
      </c>
      <c r="F16" s="703">
        <v>317</v>
      </c>
      <c r="G16" s="376"/>
      <c r="H16" s="376"/>
    </row>
    <row r="17" spans="1:8">
      <c r="A17" s="704" t="s">
        <v>965</v>
      </c>
      <c r="B17" s="702">
        <v>781330</v>
      </c>
      <c r="C17" s="702" t="s">
        <v>966</v>
      </c>
      <c r="D17" s="702">
        <v>300</v>
      </c>
      <c r="E17" s="702" t="s">
        <v>959</v>
      </c>
      <c r="F17" s="703">
        <v>330.67</v>
      </c>
      <c r="G17" s="376"/>
      <c r="H17" s="376"/>
    </row>
    <row r="18" spans="1:8">
      <c r="A18" s="704" t="s">
        <v>965</v>
      </c>
      <c r="B18" s="702">
        <v>781330</v>
      </c>
      <c r="C18" s="702" t="s">
        <v>967</v>
      </c>
      <c r="D18" s="702">
        <v>100</v>
      </c>
      <c r="E18" s="702" t="s">
        <v>959</v>
      </c>
      <c r="F18" s="703">
        <v>359</v>
      </c>
      <c r="G18" s="376"/>
      <c r="H18" s="376"/>
    </row>
    <row r="19" spans="1:8">
      <c r="A19" s="704" t="s">
        <v>968</v>
      </c>
      <c r="B19" s="702">
        <v>762200</v>
      </c>
      <c r="C19" s="702" t="s">
        <v>958</v>
      </c>
      <c r="D19" s="704">
        <v>12290</v>
      </c>
      <c r="E19" s="702" t="s">
        <v>969</v>
      </c>
      <c r="F19" s="703">
        <v>174</v>
      </c>
      <c r="G19" s="376"/>
      <c r="H19" s="376"/>
    </row>
    <row r="20" spans="1:8">
      <c r="A20" s="704" t="s">
        <v>968</v>
      </c>
      <c r="B20" s="702">
        <v>762200</v>
      </c>
      <c r="C20" s="702" t="s">
        <v>970</v>
      </c>
      <c r="D20" s="704">
        <v>12290</v>
      </c>
      <c r="E20" s="702" t="s">
        <v>969</v>
      </c>
      <c r="F20" s="703">
        <v>183</v>
      </c>
      <c r="G20" s="376"/>
      <c r="H20" s="376"/>
    </row>
    <row r="21" spans="1:8">
      <c r="A21" s="704" t="s">
        <v>971</v>
      </c>
      <c r="B21" s="702">
        <v>771280</v>
      </c>
      <c r="C21" s="702" t="s">
        <v>970</v>
      </c>
      <c r="D21" s="702">
        <v>1920</v>
      </c>
      <c r="E21" s="702" t="s">
        <v>972</v>
      </c>
      <c r="F21" s="703">
        <v>181.27</v>
      </c>
      <c r="G21" s="376"/>
      <c r="H21" s="376"/>
    </row>
    <row r="22" spans="1:8">
      <c r="A22" s="705" t="s">
        <v>973</v>
      </c>
      <c r="B22" s="706"/>
      <c r="C22" s="706"/>
      <c r="D22" s="707"/>
      <c r="E22" s="708" t="s">
        <v>591</v>
      </c>
      <c r="F22" s="703">
        <v>400</v>
      </c>
      <c r="G22" s="376"/>
      <c r="H22" s="376"/>
    </row>
    <row r="23" spans="1:8">
      <c r="A23" s="705" t="s">
        <v>974</v>
      </c>
      <c r="B23" s="706"/>
      <c r="C23" s="706"/>
      <c r="D23" s="707"/>
      <c r="E23" s="708" t="s">
        <v>975</v>
      </c>
      <c r="F23" s="703">
        <v>300</v>
      </c>
      <c r="G23" s="376"/>
      <c r="H23" s="376"/>
    </row>
    <row r="24" spans="1:8">
      <c r="A24" s="705" t="s">
        <v>976</v>
      </c>
      <c r="B24" s="706"/>
      <c r="C24" s="706"/>
      <c r="D24" s="707"/>
      <c r="E24" s="708" t="s">
        <v>977</v>
      </c>
      <c r="F24" s="703">
        <v>254.17401666666666</v>
      </c>
      <c r="G24" s="376"/>
      <c r="H24" s="376"/>
    </row>
    <row r="25" spans="1:8">
      <c r="A25" s="1023" t="s">
        <v>978</v>
      </c>
      <c r="B25" s="1023"/>
      <c r="C25" s="1023"/>
      <c r="D25" s="1023"/>
      <c r="E25" s="1023"/>
      <c r="F25" s="703">
        <f>AVERAGE(F12:F24)</f>
        <v>291.72646282051284</v>
      </c>
      <c r="G25" s="376"/>
      <c r="H25" s="376"/>
    </row>
    <row r="26" spans="1:8">
      <c r="A26" s="1023" t="s">
        <v>979</v>
      </c>
      <c r="B26" s="1023"/>
      <c r="C26" s="1023"/>
      <c r="D26" s="1023"/>
      <c r="E26" s="1023"/>
      <c r="F26" s="715">
        <f>MEDIAN(F12:F24)</f>
        <v>310</v>
      </c>
      <c r="G26" s="376"/>
      <c r="H26" s="376"/>
    </row>
  </sheetData>
  <mergeCells count="4">
    <mergeCell ref="A4:A5"/>
    <mergeCell ref="A8:F10"/>
    <mergeCell ref="A25:E25"/>
    <mergeCell ref="A26:E26"/>
  </mergeCells>
  <pageMargins left="0.511811024" right="0.511811024" top="0.78740157499999996" bottom="0.78740157499999996" header="0.31496062000000002" footer="0.31496062000000002"/>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6F9320-159C-4E0A-8A36-58A6E8820031}">
  <sheetPr codeName="Planilha6"/>
  <dimension ref="A1:AL437"/>
  <sheetViews>
    <sheetView showGridLines="0" zoomScale="95" zoomScaleNormal="95" workbookViewId="0">
      <selection activeCell="E449" sqref="E449"/>
    </sheetView>
  </sheetViews>
  <sheetFormatPr defaultColWidth="9" defaultRowHeight="20.25" customHeight="1"/>
  <cols>
    <col min="1" max="1" width="9" style="768"/>
    <col min="2" max="2" width="75.375" style="768" customWidth="1"/>
    <col min="3" max="3" width="13.375" style="768" customWidth="1"/>
    <col min="4" max="4" width="15.875" style="768" customWidth="1"/>
    <col min="5" max="5" width="20.75" style="768" customWidth="1"/>
    <col min="6" max="6" width="16.875" style="768" bestFit="1" customWidth="1"/>
    <col min="7" max="7" width="17.75" style="768" bestFit="1" customWidth="1"/>
    <col min="8" max="27" width="9" style="768"/>
    <col min="28" max="29" width="14" style="739" customWidth="1"/>
    <col min="30" max="30" width="13.75" style="739" customWidth="1"/>
    <col min="31" max="32" width="9" style="739"/>
    <col min="33" max="16384" width="9" style="768"/>
  </cols>
  <sheetData>
    <row r="1" spans="2:7" ht="41.25" customHeight="1">
      <c r="B1" s="1024" t="s">
        <v>998</v>
      </c>
      <c r="C1" s="1024"/>
      <c r="D1" s="1024"/>
      <c r="E1" s="1024"/>
      <c r="F1" s="1024"/>
      <c r="G1" s="1024"/>
    </row>
    <row r="2" spans="2:7" ht="50.25" hidden="1" customHeight="1">
      <c r="B2" s="740" t="s">
        <v>982</v>
      </c>
      <c r="C2" s="741" t="s">
        <v>983</v>
      </c>
      <c r="D2" s="741" t="s">
        <v>984</v>
      </c>
      <c r="E2" s="741" t="s">
        <v>997</v>
      </c>
      <c r="F2" s="741" t="s">
        <v>1001</v>
      </c>
      <c r="G2" s="741" t="s">
        <v>1000</v>
      </c>
    </row>
    <row r="3" spans="2:7" ht="39" hidden="1" customHeight="1">
      <c r="B3" s="1026" t="s">
        <v>1006</v>
      </c>
      <c r="C3" s="1027" t="s">
        <v>985</v>
      </c>
      <c r="D3" s="742" t="s">
        <v>986</v>
      </c>
      <c r="E3" s="743">
        <f>ROUND(F224+(F437*12),2)</f>
        <v>418504.38</v>
      </c>
      <c r="F3" s="743">
        <f>ROUND(E3*(1+E23),2)</f>
        <v>529349.64</v>
      </c>
      <c r="G3" s="743">
        <f>ROUND((F3*5),2)</f>
        <v>2646748.2000000002</v>
      </c>
    </row>
    <row r="4" spans="2:7" ht="39" hidden="1" customHeight="1">
      <c r="B4" s="1026"/>
      <c r="C4" s="1028"/>
      <c r="D4" s="744" t="s">
        <v>987</v>
      </c>
      <c r="E4" s="743">
        <f>ROUND(F404+(F437*12),2)</f>
        <v>265799.13</v>
      </c>
      <c r="F4" s="743">
        <f>ROUND(E4*(1+F23),2)</f>
        <v>344040.18</v>
      </c>
      <c r="G4" s="743">
        <f>ROUND((F4*5),2)</f>
        <v>1720200.9</v>
      </c>
    </row>
    <row r="6" spans="2:7" s="739" customFormat="1" ht="15">
      <c r="B6" s="745" t="s">
        <v>850</v>
      </c>
      <c r="C6" s="745"/>
      <c r="D6" s="745"/>
    </row>
    <row r="7" spans="2:7" s="739" customFormat="1" ht="42" customHeight="1">
      <c r="B7" s="746" t="s">
        <v>1019</v>
      </c>
      <c r="C7" s="746"/>
      <c r="D7" s="746"/>
      <c r="E7" s="746"/>
      <c r="F7" s="746"/>
    </row>
    <row r="8" spans="2:7" s="739" customFormat="1" ht="15">
      <c r="B8" s="747" t="s">
        <v>949</v>
      </c>
      <c r="C8" s="748"/>
      <c r="D8" s="749" t="s">
        <v>950</v>
      </c>
      <c r="E8" s="747" t="s">
        <v>260</v>
      </c>
      <c r="F8" s="747" t="s">
        <v>190</v>
      </c>
    </row>
    <row r="9" spans="2:7" s="739" customFormat="1" ht="15.75" customHeight="1">
      <c r="B9" s="750" t="s">
        <v>849</v>
      </c>
      <c r="C9" s="750" t="s">
        <v>838</v>
      </c>
      <c r="D9" s="751">
        <f>SUM(D10)</f>
        <v>3.4500000000000003E-2</v>
      </c>
      <c r="E9" s="752">
        <f>SUM(E10)</f>
        <v>3.4500000000000003E-2</v>
      </c>
      <c r="F9" s="752">
        <f>SUM(F10)</f>
        <v>3.4500000000000003E-2</v>
      </c>
    </row>
    <row r="10" spans="2:7" s="739" customFormat="1" ht="15.75" customHeight="1">
      <c r="B10" s="753" t="s">
        <v>840</v>
      </c>
      <c r="C10" s="754" t="s">
        <v>839</v>
      </c>
      <c r="D10" s="755">
        <v>3.4500000000000003E-2</v>
      </c>
      <c r="E10" s="756">
        <v>3.4500000000000003E-2</v>
      </c>
      <c r="F10" s="756">
        <v>3.4500000000000003E-2</v>
      </c>
    </row>
    <row r="11" spans="2:7" s="739" customFormat="1" ht="15.75" customHeight="1">
      <c r="B11" s="750" t="s">
        <v>849</v>
      </c>
      <c r="C11" s="750" t="s">
        <v>841</v>
      </c>
      <c r="D11" s="751">
        <f>SUM(D12:D15)</f>
        <v>7.2899999999999993E-2</v>
      </c>
      <c r="E11" s="752">
        <f>SUM(E12:E15)</f>
        <v>7.2899999999999993E-2</v>
      </c>
      <c r="F11" s="752">
        <f>SUM(F12:F15)</f>
        <v>7.2899999999999993E-2</v>
      </c>
    </row>
    <row r="12" spans="2:7" s="739" customFormat="1" ht="15.75" customHeight="1">
      <c r="B12" s="757" t="s">
        <v>843</v>
      </c>
      <c r="C12" s="754" t="s">
        <v>266</v>
      </c>
      <c r="D12" s="755">
        <v>4.7999999999999996E-3</v>
      </c>
      <c r="E12" s="756">
        <v>4.7999999999999996E-3</v>
      </c>
      <c r="F12" s="756">
        <v>4.7999999999999996E-3</v>
      </c>
    </row>
    <row r="13" spans="2:7" s="739" customFormat="1" ht="15.75" customHeight="1">
      <c r="B13" s="757" t="s">
        <v>852</v>
      </c>
      <c r="C13" s="754" t="s">
        <v>2</v>
      </c>
      <c r="D13" s="755">
        <v>8.5000000000000006E-3</v>
      </c>
      <c r="E13" s="756">
        <v>8.5000000000000006E-3</v>
      </c>
      <c r="F13" s="756">
        <v>8.5000000000000006E-3</v>
      </c>
    </row>
    <row r="14" spans="2:7" s="739" customFormat="1" ht="15.75" customHeight="1">
      <c r="B14" s="757" t="s">
        <v>842</v>
      </c>
      <c r="C14" s="754" t="s">
        <v>272</v>
      </c>
      <c r="D14" s="755">
        <v>8.5000000000000006E-3</v>
      </c>
      <c r="E14" s="756">
        <v>8.5000000000000006E-3</v>
      </c>
      <c r="F14" s="756">
        <v>8.5000000000000006E-3</v>
      </c>
    </row>
    <row r="15" spans="2:7" s="739" customFormat="1" ht="15.75" customHeight="1">
      <c r="B15" s="753" t="s">
        <v>41</v>
      </c>
      <c r="C15" s="754" t="s">
        <v>851</v>
      </c>
      <c r="D15" s="755">
        <v>5.11E-2</v>
      </c>
      <c r="E15" s="756">
        <v>5.11E-2</v>
      </c>
      <c r="F15" s="756">
        <v>5.11E-2</v>
      </c>
    </row>
    <row r="16" spans="2:7" s="739" customFormat="1" ht="15.75" customHeight="1">
      <c r="B16" s="750"/>
      <c r="C16" s="750" t="s">
        <v>844</v>
      </c>
      <c r="D16" s="751">
        <f>SUM(D17:D22)</f>
        <v>0</v>
      </c>
      <c r="E16" s="752">
        <f>SUM(E17:E22)</f>
        <v>0.1225</v>
      </c>
      <c r="F16" s="752">
        <f>SUM(F17:F22)</f>
        <v>0.14250000000000002</v>
      </c>
    </row>
    <row r="17" spans="1:30" s="739" customFormat="1" ht="15.75" customHeight="1">
      <c r="B17" s="753" t="s">
        <v>37</v>
      </c>
      <c r="C17" s="754" t="s">
        <v>845</v>
      </c>
      <c r="D17" s="755"/>
      <c r="E17" s="756">
        <v>7.5999999999999998E-2</v>
      </c>
      <c r="F17" s="756">
        <v>7.5999999999999998E-2</v>
      </c>
      <c r="G17" s="1309" t="s">
        <v>1023</v>
      </c>
      <c r="H17" s="1310"/>
      <c r="I17" s="1310"/>
      <c r="J17" s="1349"/>
      <c r="K17" s="1349"/>
      <c r="L17" s="1349"/>
      <c r="M17" s="1349"/>
      <c r="N17" s="1349"/>
      <c r="O17" s="1349"/>
      <c r="P17" s="1349"/>
      <c r="Q17" s="1349"/>
      <c r="R17" s="1349"/>
      <c r="S17" s="1349"/>
      <c r="T17" s="1349"/>
      <c r="U17" s="1349"/>
      <c r="V17" s="1349"/>
      <c r="W17" s="1349"/>
      <c r="X17" s="1349"/>
      <c r="Y17" s="1349"/>
      <c r="Z17" s="1349"/>
      <c r="AA17" s="1349"/>
    </row>
    <row r="18" spans="1:30" s="739" customFormat="1" ht="15.75" customHeight="1">
      <c r="B18" s="758" t="s">
        <v>847</v>
      </c>
      <c r="C18" s="754" t="s">
        <v>846</v>
      </c>
      <c r="D18" s="755"/>
      <c r="E18" s="756">
        <v>1.6500000000000001E-2</v>
      </c>
      <c r="F18" s="756">
        <v>1.6500000000000001E-2</v>
      </c>
      <c r="G18" s="1309"/>
      <c r="H18" s="1310"/>
      <c r="I18" s="1310"/>
      <c r="J18" s="1349"/>
      <c r="K18" s="1349"/>
      <c r="L18" s="1349"/>
      <c r="M18" s="1349"/>
      <c r="N18" s="1349"/>
      <c r="O18" s="1349"/>
      <c r="P18" s="1349"/>
      <c r="Q18" s="1349"/>
      <c r="R18" s="1349"/>
      <c r="S18" s="1349"/>
      <c r="T18" s="1349"/>
      <c r="U18" s="1349"/>
      <c r="V18" s="1349"/>
      <c r="W18" s="1349"/>
      <c r="X18" s="1349"/>
      <c r="Y18" s="1349"/>
      <c r="Z18" s="1349"/>
      <c r="AA18" s="1349"/>
    </row>
    <row r="19" spans="1:30" s="739" customFormat="1" ht="21" customHeight="1">
      <c r="B19" s="759" t="s">
        <v>990</v>
      </c>
      <c r="C19" s="754" t="s">
        <v>848</v>
      </c>
      <c r="D19" s="755"/>
      <c r="E19" s="756">
        <v>0.03</v>
      </c>
      <c r="F19" s="756">
        <v>0.05</v>
      </c>
      <c r="G19" s="1309"/>
      <c r="H19" s="1310"/>
      <c r="I19" s="1310"/>
      <c r="J19" s="1349"/>
      <c r="K19" s="1349"/>
      <c r="L19" s="1349"/>
      <c r="M19" s="1349"/>
      <c r="N19" s="1349"/>
      <c r="O19" s="1349"/>
      <c r="P19" s="1349"/>
      <c r="Q19" s="1349"/>
      <c r="R19" s="1349"/>
      <c r="S19" s="1349"/>
      <c r="T19" s="1349"/>
      <c r="U19" s="1349"/>
      <c r="V19" s="1349"/>
      <c r="W19" s="1349"/>
      <c r="X19" s="1349"/>
      <c r="Y19" s="1349"/>
      <c r="Z19" s="1349"/>
      <c r="AA19" s="1349"/>
    </row>
    <row r="20" spans="1:30" s="739" customFormat="1" ht="21" customHeight="1">
      <c r="B20" s="759" t="s">
        <v>853</v>
      </c>
      <c r="C20" s="754" t="s">
        <v>854</v>
      </c>
      <c r="D20" s="755"/>
      <c r="E20" s="756"/>
      <c r="F20" s="756"/>
      <c r="G20" s="1309"/>
      <c r="H20" s="1310"/>
      <c r="I20" s="1310"/>
      <c r="J20" s="1349"/>
      <c r="K20" s="1349"/>
      <c r="L20" s="1349"/>
      <c r="M20" s="1349"/>
      <c r="N20" s="1349"/>
      <c r="O20" s="1349"/>
      <c r="P20" s="1349"/>
      <c r="Q20" s="1349"/>
      <c r="R20" s="1349"/>
      <c r="S20" s="1349"/>
      <c r="T20" s="1349"/>
      <c r="U20" s="1349"/>
      <c r="V20" s="1349"/>
      <c r="W20" s="1349"/>
      <c r="X20" s="1349"/>
      <c r="Y20" s="1349"/>
      <c r="Z20" s="1349"/>
      <c r="AA20" s="1349"/>
    </row>
    <row r="21" spans="1:30" s="739" customFormat="1" ht="15.75" customHeight="1">
      <c r="B21" s="759" t="s">
        <v>853</v>
      </c>
      <c r="C21" s="754" t="s">
        <v>855</v>
      </c>
      <c r="D21" s="755"/>
      <c r="E21" s="756"/>
      <c r="F21" s="756"/>
      <c r="G21" s="1309"/>
      <c r="H21" s="1310"/>
      <c r="I21" s="1310"/>
      <c r="J21" s="1349"/>
      <c r="K21" s="1349"/>
      <c r="L21" s="1349"/>
      <c r="M21" s="1349"/>
      <c r="N21" s="1349"/>
      <c r="O21" s="1349"/>
      <c r="P21" s="1349"/>
      <c r="Q21" s="1349"/>
      <c r="R21" s="1349"/>
      <c r="S21" s="1349"/>
      <c r="T21" s="1349"/>
      <c r="U21" s="1349"/>
      <c r="V21" s="1349"/>
      <c r="W21" s="1349"/>
      <c r="X21" s="1349"/>
      <c r="Y21" s="1349"/>
      <c r="Z21" s="1349"/>
      <c r="AA21" s="1349"/>
    </row>
    <row r="22" spans="1:30" s="739" customFormat="1" ht="15.75" customHeight="1">
      <c r="B22" s="760" t="s">
        <v>853</v>
      </c>
      <c r="C22" s="754" t="s">
        <v>991</v>
      </c>
      <c r="D22" s="761"/>
      <c r="E22" s="762"/>
      <c r="F22" s="762"/>
      <c r="G22" s="1309"/>
      <c r="H22" s="1310"/>
      <c r="I22" s="1310"/>
      <c r="J22" s="1349"/>
      <c r="K22" s="1349"/>
      <c r="L22" s="1349"/>
      <c r="M22" s="1349"/>
      <c r="N22" s="1349"/>
      <c r="O22" s="1349"/>
      <c r="P22" s="1349"/>
      <c r="Q22" s="1349"/>
      <c r="R22" s="1349"/>
      <c r="S22" s="1349"/>
      <c r="T22" s="1349"/>
      <c r="U22" s="1349"/>
      <c r="V22" s="1349"/>
      <c r="W22" s="1349"/>
      <c r="X22" s="1349"/>
      <c r="Y22" s="1349"/>
      <c r="Z22" s="1349"/>
      <c r="AA22" s="1349"/>
    </row>
    <row r="23" spans="1:30" s="739" customFormat="1" ht="57" customHeight="1">
      <c r="B23" s="763" t="s">
        <v>980</v>
      </c>
      <c r="C23" s="764"/>
      <c r="D23" s="765"/>
      <c r="E23" s="765">
        <f>(100%+E9)*(100%+E11)/(100%-E16)-100%</f>
        <v>0.2648604558404557</v>
      </c>
      <c r="F23" s="765">
        <f>(100%+F9)*(100%+F11)/(100%-F16)-100%</f>
        <v>0.29436157434402332</v>
      </c>
    </row>
    <row r="24" spans="1:30" s="739" customFormat="1" ht="48.75" customHeight="1">
      <c r="B24" s="1033" t="s">
        <v>981</v>
      </c>
      <c r="C24" s="1033"/>
      <c r="D24" s="1033"/>
      <c r="E24" s="1033"/>
      <c r="F24" s="1033"/>
      <c r="G24" s="766"/>
    </row>
    <row r="25" spans="1:30" s="739" customFormat="1" ht="32.450000000000003" customHeight="1">
      <c r="B25" s="1034" t="s">
        <v>988</v>
      </c>
      <c r="C25" s="1034"/>
      <c r="D25" s="1034"/>
      <c r="E25" s="1034"/>
      <c r="F25" s="1034"/>
      <c r="G25" s="766"/>
    </row>
    <row r="26" spans="1:30" s="739" customFormat="1" ht="15.6" customHeight="1">
      <c r="B26" s="1035" t="s">
        <v>989</v>
      </c>
      <c r="C26" s="1035"/>
      <c r="D26" s="1035"/>
      <c r="E26" s="1035"/>
      <c r="F26" s="1035"/>
      <c r="G26" s="766"/>
    </row>
    <row r="27" spans="1:30" ht="20.25" customHeight="1">
      <c r="G27" s="767"/>
    </row>
    <row r="28" spans="1:30" ht="115.5" customHeight="1">
      <c r="A28" s="1036" t="s">
        <v>1022</v>
      </c>
      <c r="B28" s="1037"/>
      <c r="C28" s="1037"/>
      <c r="D28" s="1037"/>
      <c r="E28" s="1037"/>
      <c r="F28" s="1038"/>
      <c r="G28" s="767"/>
      <c r="AB28" s="739" t="s">
        <v>1005</v>
      </c>
    </row>
    <row r="29" spans="1:30" ht="20.25" customHeight="1">
      <c r="A29" s="769" t="s">
        <v>856</v>
      </c>
      <c r="B29" s="769"/>
      <c r="C29" s="770"/>
      <c r="D29" s="770"/>
      <c r="E29" s="770"/>
      <c r="F29" s="770"/>
      <c r="G29" s="771"/>
    </row>
    <row r="30" spans="1:30" ht="20.25" customHeight="1">
      <c r="A30" s="1039" t="s">
        <v>589</v>
      </c>
      <c r="B30" s="1040"/>
      <c r="C30" s="1040"/>
      <c r="D30" s="1040"/>
      <c r="E30" s="1029" t="s">
        <v>1007</v>
      </c>
      <c r="F30" s="1031" t="s">
        <v>857</v>
      </c>
      <c r="AB30" s="772" t="s">
        <v>590</v>
      </c>
      <c r="AC30" s="772" t="s">
        <v>591</v>
      </c>
      <c r="AD30" s="772" t="s">
        <v>592</v>
      </c>
    </row>
    <row r="31" spans="1:30" ht="36" customHeight="1">
      <c r="A31" s="773" t="s">
        <v>440</v>
      </c>
      <c r="B31" s="774" t="s">
        <v>407</v>
      </c>
      <c r="C31" s="775" t="s">
        <v>390</v>
      </c>
      <c r="D31" s="775" t="s">
        <v>858</v>
      </c>
      <c r="E31" s="1030"/>
      <c r="F31" s="1032"/>
      <c r="G31" s="776"/>
      <c r="H31" s="776"/>
      <c r="I31" s="776"/>
      <c r="J31" s="776"/>
      <c r="K31" s="776"/>
      <c r="L31" s="776"/>
      <c r="M31" s="776"/>
      <c r="N31" s="776"/>
      <c r="O31" s="776"/>
      <c r="P31" s="776"/>
      <c r="Q31" s="776"/>
      <c r="R31" s="776"/>
      <c r="S31" s="776"/>
      <c r="T31" s="776"/>
      <c r="U31" s="776"/>
      <c r="V31" s="776"/>
      <c r="W31" s="776"/>
      <c r="X31" s="776"/>
      <c r="Y31" s="776"/>
      <c r="Z31" s="776"/>
      <c r="AA31" s="776"/>
      <c r="AB31" s="772" t="s">
        <v>594</v>
      </c>
      <c r="AC31" s="772" t="s">
        <v>594</v>
      </c>
      <c r="AD31" s="772" t="s">
        <v>594</v>
      </c>
    </row>
    <row r="32" spans="1:30" ht="20.25" customHeight="1">
      <c r="A32" s="777">
        <v>1</v>
      </c>
      <c r="B32" s="778" t="s">
        <v>595</v>
      </c>
      <c r="C32" s="779" t="s">
        <v>596</v>
      </c>
      <c r="D32" s="780">
        <v>1</v>
      </c>
      <c r="E32" s="1350">
        <f t="shared" ref="E32:E63" si="0">ROUND(AVERAGE(AB32,AC32,AD32),2)</f>
        <v>263</v>
      </c>
      <c r="F32" s="781">
        <f t="shared" ref="F32:F63" si="1">D32*E32</f>
        <v>263</v>
      </c>
      <c r="H32" s="782"/>
      <c r="I32" s="783"/>
      <c r="J32" s="783"/>
      <c r="K32" s="783"/>
      <c r="L32" s="783"/>
      <c r="M32" s="783"/>
      <c r="N32" s="783"/>
      <c r="O32" s="783"/>
      <c r="P32" s="783"/>
      <c r="Q32" s="783"/>
      <c r="R32" s="783"/>
      <c r="S32" s="783"/>
      <c r="T32" s="783"/>
      <c r="U32" s="783"/>
      <c r="V32" s="783"/>
      <c r="W32" s="783"/>
      <c r="X32" s="783"/>
      <c r="Y32" s="783"/>
      <c r="Z32" s="783"/>
      <c r="AA32" s="783"/>
      <c r="AB32" s="772">
        <v>239</v>
      </c>
      <c r="AC32" s="772">
        <v>230</v>
      </c>
      <c r="AD32" s="772">
        <v>320</v>
      </c>
    </row>
    <row r="33" spans="1:30" ht="20.25" customHeight="1">
      <c r="A33" s="777">
        <v>2</v>
      </c>
      <c r="B33" s="778" t="s">
        <v>597</v>
      </c>
      <c r="C33" s="779" t="s">
        <v>596</v>
      </c>
      <c r="D33" s="780">
        <v>4</v>
      </c>
      <c r="E33" s="1350">
        <f t="shared" si="0"/>
        <v>1250</v>
      </c>
      <c r="F33" s="781">
        <f t="shared" si="1"/>
        <v>5000</v>
      </c>
      <c r="H33" s="782"/>
      <c r="I33" s="783"/>
      <c r="J33" s="783"/>
      <c r="K33" s="783"/>
      <c r="L33" s="783"/>
      <c r="M33" s="783"/>
      <c r="N33" s="783"/>
      <c r="O33" s="783"/>
      <c r="P33" s="783"/>
      <c r="Q33" s="783"/>
      <c r="R33" s="783"/>
      <c r="S33" s="783"/>
      <c r="T33" s="783"/>
      <c r="U33" s="783"/>
      <c r="V33" s="783"/>
      <c r="W33" s="783"/>
      <c r="X33" s="783"/>
      <c r="Y33" s="783"/>
      <c r="Z33" s="783"/>
      <c r="AA33" s="783"/>
      <c r="AB33" s="772">
        <v>1180</v>
      </c>
      <c r="AC33" s="772">
        <v>1150</v>
      </c>
      <c r="AD33" s="772">
        <v>1420</v>
      </c>
    </row>
    <row r="34" spans="1:30" ht="15">
      <c r="A34" s="777">
        <v>3</v>
      </c>
      <c r="B34" s="778" t="s">
        <v>598</v>
      </c>
      <c r="C34" s="779" t="s">
        <v>596</v>
      </c>
      <c r="D34" s="780">
        <v>1</v>
      </c>
      <c r="E34" s="1350">
        <f t="shared" si="0"/>
        <v>2444.67</v>
      </c>
      <c r="F34" s="781">
        <f t="shared" si="1"/>
        <v>2444.67</v>
      </c>
      <c r="H34" s="782"/>
      <c r="I34" s="783"/>
      <c r="J34" s="783"/>
      <c r="K34" s="783"/>
      <c r="L34" s="783"/>
      <c r="M34" s="783"/>
      <c r="N34" s="783"/>
      <c r="O34" s="783"/>
      <c r="P34" s="783"/>
      <c r="Q34" s="783"/>
      <c r="R34" s="783"/>
      <c r="S34" s="783"/>
      <c r="T34" s="783"/>
      <c r="U34" s="783"/>
      <c r="V34" s="783"/>
      <c r="W34" s="783"/>
      <c r="X34" s="783"/>
      <c r="Y34" s="783"/>
      <c r="Z34" s="783"/>
      <c r="AA34" s="783"/>
      <c r="AB34" s="772">
        <v>2264</v>
      </c>
      <c r="AC34" s="772">
        <v>2650</v>
      </c>
      <c r="AD34" s="772">
        <v>2420</v>
      </c>
    </row>
    <row r="35" spans="1:30" ht="20.25" customHeight="1">
      <c r="A35" s="777">
        <v>4</v>
      </c>
      <c r="B35" s="778" t="s">
        <v>599</v>
      </c>
      <c r="C35" s="779" t="s">
        <v>596</v>
      </c>
      <c r="D35" s="780">
        <v>4</v>
      </c>
      <c r="E35" s="1350">
        <f t="shared" si="0"/>
        <v>798.67</v>
      </c>
      <c r="F35" s="781">
        <f t="shared" si="1"/>
        <v>3194.68</v>
      </c>
      <c r="H35" s="782"/>
      <c r="I35" s="783"/>
      <c r="J35" s="783"/>
      <c r="K35" s="783"/>
      <c r="L35" s="783"/>
      <c r="M35" s="783"/>
      <c r="N35" s="783"/>
      <c r="O35" s="783"/>
      <c r="P35" s="783"/>
      <c r="Q35" s="783"/>
      <c r="R35" s="783"/>
      <c r="S35" s="783"/>
      <c r="T35" s="783"/>
      <c r="U35" s="783"/>
      <c r="V35" s="783"/>
      <c r="W35" s="783"/>
      <c r="X35" s="783"/>
      <c r="Y35" s="783"/>
      <c r="Z35" s="783"/>
      <c r="AA35" s="783"/>
      <c r="AB35" s="772">
        <v>786</v>
      </c>
      <c r="AC35" s="772">
        <v>720</v>
      </c>
      <c r="AD35" s="772">
        <v>890</v>
      </c>
    </row>
    <row r="36" spans="1:30" ht="20.25" customHeight="1">
      <c r="A36" s="777">
        <v>5</v>
      </c>
      <c r="B36" s="778" t="s">
        <v>600</v>
      </c>
      <c r="C36" s="779" t="s">
        <v>596</v>
      </c>
      <c r="D36" s="780">
        <v>2</v>
      </c>
      <c r="E36" s="1350">
        <f t="shared" si="0"/>
        <v>4186</v>
      </c>
      <c r="F36" s="781">
        <f t="shared" si="1"/>
        <v>8372</v>
      </c>
      <c r="H36" s="782"/>
      <c r="I36" s="783"/>
      <c r="J36" s="783"/>
      <c r="K36" s="783"/>
      <c r="L36" s="783"/>
      <c r="M36" s="783"/>
      <c r="N36" s="783"/>
      <c r="O36" s="783"/>
      <c r="P36" s="783"/>
      <c r="Q36" s="783"/>
      <c r="R36" s="783"/>
      <c r="S36" s="783"/>
      <c r="T36" s="783"/>
      <c r="U36" s="783"/>
      <c r="V36" s="783"/>
      <c r="W36" s="783"/>
      <c r="X36" s="783"/>
      <c r="Y36" s="783"/>
      <c r="Z36" s="783"/>
      <c r="AA36" s="783"/>
      <c r="AB36" s="772">
        <v>3828</v>
      </c>
      <c r="AC36" s="772">
        <v>4500</v>
      </c>
      <c r="AD36" s="772">
        <v>4230</v>
      </c>
    </row>
    <row r="37" spans="1:30" ht="20.25" customHeight="1">
      <c r="A37" s="777">
        <v>6</v>
      </c>
      <c r="B37" s="778" t="s">
        <v>601</v>
      </c>
      <c r="C37" s="779" t="s">
        <v>596</v>
      </c>
      <c r="D37" s="780">
        <v>1</v>
      </c>
      <c r="E37" s="1350">
        <f t="shared" si="0"/>
        <v>3500</v>
      </c>
      <c r="F37" s="781">
        <f t="shared" si="1"/>
        <v>3500</v>
      </c>
      <c r="H37" s="782"/>
      <c r="I37" s="783"/>
      <c r="J37" s="783"/>
      <c r="K37" s="783"/>
      <c r="L37" s="783"/>
      <c r="M37" s="783"/>
      <c r="N37" s="783"/>
      <c r="O37" s="783"/>
      <c r="P37" s="783"/>
      <c r="Q37" s="783"/>
      <c r="R37" s="783"/>
      <c r="S37" s="783"/>
      <c r="T37" s="783"/>
      <c r="U37" s="783"/>
      <c r="V37" s="783"/>
      <c r="W37" s="783"/>
      <c r="X37" s="783"/>
      <c r="Y37" s="783"/>
      <c r="Z37" s="783"/>
      <c r="AA37" s="783"/>
      <c r="AB37" s="772">
        <v>3130</v>
      </c>
      <c r="AC37" s="772">
        <v>3950</v>
      </c>
      <c r="AD37" s="772">
        <v>3420</v>
      </c>
    </row>
    <row r="38" spans="1:30" ht="20.25" customHeight="1">
      <c r="A38" s="777">
        <v>7</v>
      </c>
      <c r="B38" s="778" t="s">
        <v>602</v>
      </c>
      <c r="C38" s="779" t="s">
        <v>596</v>
      </c>
      <c r="D38" s="780">
        <v>2</v>
      </c>
      <c r="E38" s="1350">
        <f t="shared" si="0"/>
        <v>2460</v>
      </c>
      <c r="F38" s="781">
        <f t="shared" si="1"/>
        <v>4920</v>
      </c>
      <c r="H38" s="782"/>
      <c r="I38" s="783"/>
      <c r="J38" s="783"/>
      <c r="K38" s="783"/>
      <c r="L38" s="783"/>
      <c r="M38" s="783"/>
      <c r="N38" s="783"/>
      <c r="O38" s="783"/>
      <c r="P38" s="783"/>
      <c r="Q38" s="783"/>
      <c r="R38" s="783"/>
      <c r="S38" s="783"/>
      <c r="T38" s="783"/>
      <c r="U38" s="783"/>
      <c r="V38" s="783"/>
      <c r="W38" s="783"/>
      <c r="X38" s="783"/>
      <c r="Y38" s="783"/>
      <c r="Z38" s="783"/>
      <c r="AA38" s="783"/>
      <c r="AB38" s="772">
        <v>2500</v>
      </c>
      <c r="AC38" s="772">
        <v>2100</v>
      </c>
      <c r="AD38" s="772">
        <v>2780</v>
      </c>
    </row>
    <row r="39" spans="1:30" ht="20.25" customHeight="1">
      <c r="A39" s="777">
        <v>8</v>
      </c>
      <c r="B39" s="778" t="s">
        <v>603</v>
      </c>
      <c r="C39" s="779" t="s">
        <v>596</v>
      </c>
      <c r="D39" s="780">
        <v>2</v>
      </c>
      <c r="E39" s="1350">
        <f t="shared" si="0"/>
        <v>2356.67</v>
      </c>
      <c r="F39" s="781">
        <f t="shared" si="1"/>
        <v>4713.34</v>
      </c>
      <c r="H39" s="782"/>
      <c r="I39" s="783"/>
      <c r="J39" s="783"/>
      <c r="K39" s="783"/>
      <c r="L39" s="783"/>
      <c r="M39" s="783"/>
      <c r="N39" s="783"/>
      <c r="O39" s="783"/>
      <c r="P39" s="783"/>
      <c r="Q39" s="783"/>
      <c r="R39" s="783"/>
      <c r="S39" s="783"/>
      <c r="T39" s="783"/>
      <c r="U39" s="783"/>
      <c r="V39" s="783"/>
      <c r="W39" s="783"/>
      <c r="X39" s="783"/>
      <c r="Y39" s="783"/>
      <c r="Z39" s="783"/>
      <c r="AA39" s="783"/>
      <c r="AB39" s="772">
        <v>2220</v>
      </c>
      <c r="AC39" s="772">
        <v>2200</v>
      </c>
      <c r="AD39" s="772">
        <v>2650</v>
      </c>
    </row>
    <row r="40" spans="1:30" ht="20.25" customHeight="1">
      <c r="A40" s="777">
        <v>9</v>
      </c>
      <c r="B40" s="778" t="s">
        <v>604</v>
      </c>
      <c r="C40" s="779" t="s">
        <v>605</v>
      </c>
      <c r="D40" s="780">
        <v>1</v>
      </c>
      <c r="E40" s="1350">
        <f t="shared" si="0"/>
        <v>899.67</v>
      </c>
      <c r="F40" s="781">
        <f t="shared" si="1"/>
        <v>899.67</v>
      </c>
      <c r="H40" s="782"/>
      <c r="I40" s="783"/>
      <c r="J40" s="783"/>
      <c r="K40" s="783"/>
      <c r="L40" s="783"/>
      <c r="M40" s="783"/>
      <c r="N40" s="783"/>
      <c r="O40" s="783"/>
      <c r="P40" s="783"/>
      <c r="Q40" s="783"/>
      <c r="R40" s="783"/>
      <c r="S40" s="783"/>
      <c r="T40" s="783"/>
      <c r="U40" s="783"/>
      <c r="V40" s="783"/>
      <c r="W40" s="783"/>
      <c r="X40" s="783"/>
      <c r="Y40" s="783"/>
      <c r="Z40" s="783"/>
      <c r="AA40" s="783"/>
      <c r="AB40" s="772">
        <v>899</v>
      </c>
      <c r="AC40" s="772">
        <v>850</v>
      </c>
      <c r="AD40" s="772">
        <v>950</v>
      </c>
    </row>
    <row r="41" spans="1:30" ht="20.25" customHeight="1">
      <c r="A41" s="777">
        <v>10</v>
      </c>
      <c r="B41" s="778" t="s">
        <v>606</v>
      </c>
      <c r="C41" s="779" t="s">
        <v>596</v>
      </c>
      <c r="D41" s="780">
        <v>1</v>
      </c>
      <c r="E41" s="1350">
        <f t="shared" si="0"/>
        <v>516</v>
      </c>
      <c r="F41" s="781">
        <f t="shared" si="1"/>
        <v>516</v>
      </c>
      <c r="H41" s="782"/>
      <c r="I41" s="783"/>
      <c r="J41" s="783"/>
      <c r="K41" s="783"/>
      <c r="L41" s="783"/>
      <c r="M41" s="783"/>
      <c r="N41" s="783"/>
      <c r="O41" s="783"/>
      <c r="P41" s="783"/>
      <c r="Q41" s="783"/>
      <c r="R41" s="783"/>
      <c r="S41" s="783"/>
      <c r="T41" s="783"/>
      <c r="U41" s="783"/>
      <c r="V41" s="783"/>
      <c r="W41" s="783"/>
      <c r="X41" s="783"/>
      <c r="Y41" s="783"/>
      <c r="Z41" s="783"/>
      <c r="AA41" s="783"/>
      <c r="AB41" s="772">
        <v>478</v>
      </c>
      <c r="AC41" s="772">
        <v>430</v>
      </c>
      <c r="AD41" s="772">
        <v>640</v>
      </c>
    </row>
    <row r="42" spans="1:30" ht="20.25" customHeight="1">
      <c r="A42" s="777">
        <v>11</v>
      </c>
      <c r="B42" s="778" t="s">
        <v>607</v>
      </c>
      <c r="C42" s="779" t="s">
        <v>596</v>
      </c>
      <c r="D42" s="780">
        <v>4</v>
      </c>
      <c r="E42" s="1350">
        <f t="shared" si="0"/>
        <v>73.33</v>
      </c>
      <c r="F42" s="781">
        <f t="shared" si="1"/>
        <v>293.32</v>
      </c>
      <c r="H42" s="782"/>
      <c r="I42" s="783"/>
      <c r="J42" s="783"/>
      <c r="K42" s="783"/>
      <c r="L42" s="783"/>
      <c r="M42" s="783"/>
      <c r="N42" s="783"/>
      <c r="O42" s="783"/>
      <c r="P42" s="783"/>
      <c r="Q42" s="783"/>
      <c r="R42" s="783"/>
      <c r="S42" s="783"/>
      <c r="T42" s="783"/>
      <c r="U42" s="783"/>
      <c r="V42" s="783"/>
      <c r="W42" s="783"/>
      <c r="X42" s="783"/>
      <c r="Y42" s="783"/>
      <c r="Z42" s="783"/>
      <c r="AA42" s="783"/>
      <c r="AB42" s="772">
        <v>65</v>
      </c>
      <c r="AC42" s="772">
        <v>60</v>
      </c>
      <c r="AD42" s="772">
        <v>95</v>
      </c>
    </row>
    <row r="43" spans="1:30" ht="20.25" customHeight="1">
      <c r="A43" s="777">
        <v>12</v>
      </c>
      <c r="B43" s="784" t="s">
        <v>608</v>
      </c>
      <c r="C43" s="779" t="s">
        <v>596</v>
      </c>
      <c r="D43" s="780">
        <v>1</v>
      </c>
      <c r="E43" s="1350">
        <f t="shared" si="0"/>
        <v>2150</v>
      </c>
      <c r="F43" s="781">
        <f t="shared" si="1"/>
        <v>2150</v>
      </c>
      <c r="H43" s="782"/>
      <c r="I43" s="783"/>
      <c r="J43" s="783"/>
      <c r="K43" s="783"/>
      <c r="L43" s="783"/>
      <c r="M43" s="783"/>
      <c r="N43" s="783"/>
      <c r="O43" s="783"/>
      <c r="P43" s="783"/>
      <c r="Q43" s="783"/>
      <c r="R43" s="783"/>
      <c r="S43" s="783"/>
      <c r="T43" s="783"/>
      <c r="U43" s="783"/>
      <c r="V43" s="783"/>
      <c r="W43" s="783"/>
      <c r="X43" s="783"/>
      <c r="Y43" s="783"/>
      <c r="Z43" s="783"/>
      <c r="AA43" s="783"/>
      <c r="AB43" s="772">
        <v>1980</v>
      </c>
      <c r="AC43" s="772">
        <v>2150</v>
      </c>
      <c r="AD43" s="772">
        <v>2320</v>
      </c>
    </row>
    <row r="44" spans="1:30" ht="20.25" customHeight="1">
      <c r="A44" s="777">
        <v>13</v>
      </c>
      <c r="B44" s="778" t="s">
        <v>609</v>
      </c>
      <c r="C44" s="779" t="s">
        <v>610</v>
      </c>
      <c r="D44" s="780">
        <v>2</v>
      </c>
      <c r="E44" s="1350">
        <f t="shared" si="0"/>
        <v>3983.33</v>
      </c>
      <c r="F44" s="781">
        <f t="shared" si="1"/>
        <v>7966.66</v>
      </c>
      <c r="H44" s="782"/>
      <c r="I44" s="783"/>
      <c r="J44" s="783"/>
      <c r="K44" s="783"/>
      <c r="L44" s="783"/>
      <c r="M44" s="783"/>
      <c r="N44" s="783"/>
      <c r="O44" s="783"/>
      <c r="P44" s="783"/>
      <c r="Q44" s="783"/>
      <c r="R44" s="783"/>
      <c r="S44" s="783"/>
      <c r="T44" s="783"/>
      <c r="U44" s="783"/>
      <c r="V44" s="783"/>
      <c r="W44" s="783"/>
      <c r="X44" s="783"/>
      <c r="Y44" s="783"/>
      <c r="Z44" s="783"/>
      <c r="AA44" s="783"/>
      <c r="AB44" s="772">
        <v>3950</v>
      </c>
      <c r="AC44" s="772">
        <v>3800</v>
      </c>
      <c r="AD44" s="772">
        <v>4200</v>
      </c>
    </row>
    <row r="45" spans="1:30" ht="20.25" customHeight="1">
      <c r="A45" s="777">
        <v>14</v>
      </c>
      <c r="B45" s="778" t="s">
        <v>611</v>
      </c>
      <c r="C45" s="779" t="s">
        <v>610</v>
      </c>
      <c r="D45" s="780">
        <v>2</v>
      </c>
      <c r="E45" s="1350">
        <f t="shared" si="0"/>
        <v>3059.67</v>
      </c>
      <c r="F45" s="781">
        <f t="shared" si="1"/>
        <v>6119.34</v>
      </c>
      <c r="H45" s="782"/>
      <c r="I45" s="783"/>
      <c r="J45" s="783"/>
      <c r="K45" s="783"/>
      <c r="L45" s="783"/>
      <c r="M45" s="783"/>
      <c r="N45" s="783"/>
      <c r="O45" s="783"/>
      <c r="P45" s="783"/>
      <c r="Q45" s="783"/>
      <c r="R45" s="783"/>
      <c r="S45" s="783"/>
      <c r="T45" s="783"/>
      <c r="U45" s="783"/>
      <c r="V45" s="783"/>
      <c r="W45" s="783"/>
      <c r="X45" s="783"/>
      <c r="Y45" s="783"/>
      <c r="Z45" s="783"/>
      <c r="AA45" s="783"/>
      <c r="AB45" s="772">
        <v>2979</v>
      </c>
      <c r="AC45" s="772">
        <v>2940</v>
      </c>
      <c r="AD45" s="772">
        <v>3260</v>
      </c>
    </row>
    <row r="46" spans="1:30" ht="20.25" customHeight="1">
      <c r="A46" s="777">
        <v>15</v>
      </c>
      <c r="B46" s="778" t="s">
        <v>612</v>
      </c>
      <c r="C46" s="779" t="s">
        <v>610</v>
      </c>
      <c r="D46" s="780">
        <v>1</v>
      </c>
      <c r="E46" s="1350">
        <f t="shared" si="0"/>
        <v>3056.67</v>
      </c>
      <c r="F46" s="781">
        <f t="shared" si="1"/>
        <v>3056.67</v>
      </c>
      <c r="H46" s="782"/>
      <c r="I46" s="783"/>
      <c r="J46" s="783"/>
      <c r="K46" s="783"/>
      <c r="L46" s="783"/>
      <c r="M46" s="783"/>
      <c r="N46" s="783"/>
      <c r="O46" s="783"/>
      <c r="P46" s="783"/>
      <c r="Q46" s="783"/>
      <c r="R46" s="783"/>
      <c r="S46" s="783"/>
      <c r="T46" s="783"/>
      <c r="U46" s="783"/>
      <c r="V46" s="783"/>
      <c r="W46" s="783"/>
      <c r="X46" s="783"/>
      <c r="Y46" s="783"/>
      <c r="Z46" s="783"/>
      <c r="AA46" s="783"/>
      <c r="AB46" s="772">
        <v>2790</v>
      </c>
      <c r="AC46" s="772">
        <v>2600</v>
      </c>
      <c r="AD46" s="772">
        <v>3780</v>
      </c>
    </row>
    <row r="47" spans="1:30" ht="20.25" customHeight="1">
      <c r="A47" s="777">
        <v>16</v>
      </c>
      <c r="B47" s="778" t="s">
        <v>613</v>
      </c>
      <c r="C47" s="779" t="s">
        <v>610</v>
      </c>
      <c r="D47" s="779">
        <v>1</v>
      </c>
      <c r="E47" s="1350">
        <f t="shared" si="0"/>
        <v>2002.1</v>
      </c>
      <c r="F47" s="781">
        <f t="shared" si="1"/>
        <v>2002.1</v>
      </c>
      <c r="H47" s="782"/>
      <c r="I47" s="783"/>
      <c r="J47" s="783"/>
      <c r="K47" s="783"/>
      <c r="L47" s="783"/>
      <c r="M47" s="783"/>
      <c r="N47" s="783"/>
      <c r="O47" s="783"/>
      <c r="P47" s="783"/>
      <c r="Q47" s="783"/>
      <c r="R47" s="783"/>
      <c r="S47" s="783"/>
      <c r="T47" s="783"/>
      <c r="U47" s="783"/>
      <c r="V47" s="783"/>
      <c r="W47" s="783"/>
      <c r="X47" s="783"/>
      <c r="Y47" s="783"/>
      <c r="Z47" s="783"/>
      <c r="AA47" s="783"/>
      <c r="AB47" s="772">
        <v>1896.3</v>
      </c>
      <c r="AC47" s="772">
        <v>1750</v>
      </c>
      <c r="AD47" s="772">
        <v>2360</v>
      </c>
    </row>
    <row r="48" spans="1:30" ht="20.25" customHeight="1">
      <c r="A48" s="777">
        <v>17</v>
      </c>
      <c r="B48" s="785" t="s">
        <v>614</v>
      </c>
      <c r="C48" s="779" t="s">
        <v>610</v>
      </c>
      <c r="D48" s="779">
        <v>1</v>
      </c>
      <c r="E48" s="1350">
        <f t="shared" si="0"/>
        <v>24366.67</v>
      </c>
      <c r="F48" s="781">
        <f t="shared" si="1"/>
        <v>24366.67</v>
      </c>
      <c r="H48" s="782"/>
      <c r="I48" s="783"/>
      <c r="J48" s="783"/>
      <c r="K48" s="783"/>
      <c r="L48" s="783"/>
      <c r="M48" s="783"/>
      <c r="N48" s="783"/>
      <c r="O48" s="783"/>
      <c r="P48" s="783"/>
      <c r="Q48" s="783"/>
      <c r="R48" s="783"/>
      <c r="S48" s="783"/>
      <c r="T48" s="783"/>
      <c r="U48" s="783"/>
      <c r="V48" s="783"/>
      <c r="W48" s="783"/>
      <c r="X48" s="783"/>
      <c r="Y48" s="783"/>
      <c r="Z48" s="783"/>
      <c r="AA48" s="783"/>
      <c r="AB48" s="772">
        <v>24500</v>
      </c>
      <c r="AC48" s="772">
        <v>23000</v>
      </c>
      <c r="AD48" s="772">
        <v>25600</v>
      </c>
    </row>
    <row r="49" spans="1:30" ht="20.25" customHeight="1">
      <c r="A49" s="777">
        <v>18</v>
      </c>
      <c r="B49" s="785" t="s">
        <v>615</v>
      </c>
      <c r="C49" s="779" t="s">
        <v>596</v>
      </c>
      <c r="D49" s="779">
        <v>1</v>
      </c>
      <c r="E49" s="1350">
        <f t="shared" si="0"/>
        <v>23533.33</v>
      </c>
      <c r="F49" s="781">
        <f t="shared" si="1"/>
        <v>23533.33</v>
      </c>
      <c r="H49" s="782"/>
      <c r="I49" s="783"/>
      <c r="J49" s="783"/>
      <c r="K49" s="783"/>
      <c r="L49" s="783"/>
      <c r="M49" s="783"/>
      <c r="N49" s="783"/>
      <c r="O49" s="783"/>
      <c r="P49" s="783"/>
      <c r="Q49" s="783"/>
      <c r="R49" s="783"/>
      <c r="S49" s="783"/>
      <c r="T49" s="783"/>
      <c r="U49" s="783"/>
      <c r="V49" s="783"/>
      <c r="W49" s="783"/>
      <c r="X49" s="783"/>
      <c r="Y49" s="783"/>
      <c r="Z49" s="783"/>
      <c r="AA49" s="783"/>
      <c r="AB49" s="772">
        <v>23150</v>
      </c>
      <c r="AC49" s="772">
        <v>23200</v>
      </c>
      <c r="AD49" s="772">
        <v>24250</v>
      </c>
    </row>
    <row r="50" spans="1:30" ht="20.25" customHeight="1">
      <c r="A50" s="777">
        <v>19</v>
      </c>
      <c r="B50" s="778" t="s">
        <v>616</v>
      </c>
      <c r="C50" s="779" t="s">
        <v>605</v>
      </c>
      <c r="D50" s="779">
        <v>1</v>
      </c>
      <c r="E50" s="1350">
        <f t="shared" si="0"/>
        <v>54233.33</v>
      </c>
      <c r="F50" s="781">
        <f t="shared" si="1"/>
        <v>54233.33</v>
      </c>
      <c r="H50" s="782"/>
      <c r="I50" s="783"/>
      <c r="J50" s="783"/>
      <c r="K50" s="783"/>
      <c r="L50" s="783"/>
      <c r="M50" s="783"/>
      <c r="N50" s="783"/>
      <c r="O50" s="783"/>
      <c r="P50" s="783"/>
      <c r="Q50" s="783"/>
      <c r="R50" s="783"/>
      <c r="S50" s="783"/>
      <c r="T50" s="783"/>
      <c r="U50" s="783"/>
      <c r="V50" s="783"/>
      <c r="W50" s="783"/>
      <c r="X50" s="783"/>
      <c r="Y50" s="783"/>
      <c r="Z50" s="783"/>
      <c r="AA50" s="783"/>
      <c r="AB50" s="772">
        <v>55000</v>
      </c>
      <c r="AC50" s="772">
        <v>52000</v>
      </c>
      <c r="AD50" s="772">
        <v>55700</v>
      </c>
    </row>
    <row r="51" spans="1:30" ht="20.25" customHeight="1">
      <c r="A51" s="777">
        <v>20</v>
      </c>
      <c r="B51" s="778" t="s">
        <v>617</v>
      </c>
      <c r="C51" s="779" t="s">
        <v>596</v>
      </c>
      <c r="D51" s="779">
        <v>1</v>
      </c>
      <c r="E51" s="1350">
        <f t="shared" si="0"/>
        <v>24566.67</v>
      </c>
      <c r="F51" s="781">
        <f t="shared" si="1"/>
        <v>24566.67</v>
      </c>
      <c r="H51" s="782"/>
      <c r="I51" s="783"/>
      <c r="J51" s="783"/>
      <c r="K51" s="783"/>
      <c r="L51" s="783"/>
      <c r="M51" s="783"/>
      <c r="N51" s="783"/>
      <c r="O51" s="783"/>
      <c r="P51" s="783"/>
      <c r="Q51" s="783"/>
      <c r="R51" s="783"/>
      <c r="S51" s="783"/>
      <c r="T51" s="783"/>
      <c r="U51" s="783"/>
      <c r="V51" s="783"/>
      <c r="W51" s="783"/>
      <c r="X51" s="783"/>
      <c r="Y51" s="783"/>
      <c r="Z51" s="783"/>
      <c r="AA51" s="783"/>
      <c r="AB51" s="772">
        <v>24500</v>
      </c>
      <c r="AC51" s="772">
        <v>23100</v>
      </c>
      <c r="AD51" s="772">
        <v>26100</v>
      </c>
    </row>
    <row r="52" spans="1:30" ht="20.25" customHeight="1">
      <c r="A52" s="777">
        <v>21</v>
      </c>
      <c r="B52" s="778" t="s">
        <v>618</v>
      </c>
      <c r="C52" s="779" t="s">
        <v>596</v>
      </c>
      <c r="D52" s="779">
        <v>1</v>
      </c>
      <c r="E52" s="1350">
        <f t="shared" si="0"/>
        <v>500</v>
      </c>
      <c r="F52" s="781">
        <f t="shared" si="1"/>
        <v>500</v>
      </c>
      <c r="H52" s="782"/>
      <c r="I52" s="783"/>
      <c r="J52" s="783"/>
      <c r="K52" s="783"/>
      <c r="L52" s="783"/>
      <c r="M52" s="783"/>
      <c r="N52" s="783"/>
      <c r="O52" s="783"/>
      <c r="P52" s="783"/>
      <c r="Q52" s="783"/>
      <c r="R52" s="783"/>
      <c r="S52" s="783"/>
      <c r="T52" s="783"/>
      <c r="U52" s="783"/>
      <c r="V52" s="783"/>
      <c r="W52" s="783"/>
      <c r="X52" s="783"/>
      <c r="Y52" s="783"/>
      <c r="Z52" s="783"/>
      <c r="AA52" s="783"/>
      <c r="AB52" s="772">
        <v>480</v>
      </c>
      <c r="AC52" s="772">
        <v>500</v>
      </c>
      <c r="AD52" s="772">
        <v>520</v>
      </c>
    </row>
    <row r="53" spans="1:30" ht="20.25" customHeight="1">
      <c r="A53" s="777">
        <v>22</v>
      </c>
      <c r="B53" s="778" t="s">
        <v>619</v>
      </c>
      <c r="C53" s="779" t="s">
        <v>596</v>
      </c>
      <c r="D53" s="779">
        <v>1</v>
      </c>
      <c r="E53" s="1350">
        <f t="shared" si="0"/>
        <v>2246</v>
      </c>
      <c r="F53" s="781">
        <f t="shared" si="1"/>
        <v>2246</v>
      </c>
      <c r="H53" s="782"/>
      <c r="I53" s="783"/>
      <c r="J53" s="783"/>
      <c r="K53" s="783"/>
      <c r="L53" s="783"/>
      <c r="M53" s="783"/>
      <c r="N53" s="783"/>
      <c r="O53" s="783"/>
      <c r="P53" s="783"/>
      <c r="Q53" s="783"/>
      <c r="R53" s="783"/>
      <c r="S53" s="783"/>
      <c r="T53" s="783"/>
      <c r="U53" s="783"/>
      <c r="V53" s="783"/>
      <c r="W53" s="783"/>
      <c r="X53" s="783"/>
      <c r="Y53" s="783"/>
      <c r="Z53" s="783"/>
      <c r="AA53" s="783"/>
      <c r="AB53" s="772">
        <v>2158</v>
      </c>
      <c r="AC53" s="772">
        <v>2100</v>
      </c>
      <c r="AD53" s="772">
        <v>2480</v>
      </c>
    </row>
    <row r="54" spans="1:30" ht="20.25" customHeight="1">
      <c r="A54" s="777">
        <v>23</v>
      </c>
      <c r="B54" s="778" t="s">
        <v>620</v>
      </c>
      <c r="C54" s="779" t="s">
        <v>596</v>
      </c>
      <c r="D54" s="779">
        <v>1</v>
      </c>
      <c r="E54" s="1350">
        <f t="shared" si="0"/>
        <v>501.67</v>
      </c>
      <c r="F54" s="781">
        <f t="shared" si="1"/>
        <v>501.67</v>
      </c>
      <c r="H54" s="782"/>
      <c r="I54" s="783"/>
      <c r="J54" s="783"/>
      <c r="K54" s="783"/>
      <c r="L54" s="783"/>
      <c r="M54" s="783"/>
      <c r="N54" s="783"/>
      <c r="O54" s="783"/>
      <c r="P54" s="783"/>
      <c r="Q54" s="783"/>
      <c r="R54" s="783"/>
      <c r="S54" s="783"/>
      <c r="T54" s="783"/>
      <c r="U54" s="783"/>
      <c r="V54" s="783"/>
      <c r="W54" s="783"/>
      <c r="X54" s="783"/>
      <c r="Y54" s="783"/>
      <c r="Z54" s="783"/>
      <c r="AA54" s="783"/>
      <c r="AB54" s="772">
        <v>435</v>
      </c>
      <c r="AC54" s="772">
        <v>450</v>
      </c>
      <c r="AD54" s="772">
        <v>620</v>
      </c>
    </row>
    <row r="55" spans="1:30" ht="20.25" customHeight="1">
      <c r="A55" s="777">
        <v>24</v>
      </c>
      <c r="B55" s="778" t="s">
        <v>621</v>
      </c>
      <c r="C55" s="779" t="s">
        <v>596</v>
      </c>
      <c r="D55" s="779">
        <v>2</v>
      </c>
      <c r="E55" s="1350">
        <f t="shared" si="0"/>
        <v>209.33</v>
      </c>
      <c r="F55" s="781">
        <f t="shared" si="1"/>
        <v>418.66</v>
      </c>
      <c r="H55" s="782"/>
      <c r="I55" s="783"/>
      <c r="J55" s="783"/>
      <c r="K55" s="783"/>
      <c r="L55" s="783"/>
      <c r="M55" s="783"/>
      <c r="N55" s="783"/>
      <c r="O55" s="783"/>
      <c r="P55" s="783"/>
      <c r="Q55" s="783"/>
      <c r="R55" s="783"/>
      <c r="S55" s="783"/>
      <c r="T55" s="783"/>
      <c r="U55" s="783"/>
      <c r="V55" s="783"/>
      <c r="W55" s="783"/>
      <c r="X55" s="783"/>
      <c r="Y55" s="783"/>
      <c r="Z55" s="783"/>
      <c r="AA55" s="783"/>
      <c r="AB55" s="772">
        <v>192</v>
      </c>
      <c r="AC55" s="772">
        <v>186</v>
      </c>
      <c r="AD55" s="772">
        <v>250</v>
      </c>
    </row>
    <row r="56" spans="1:30" ht="20.25" customHeight="1">
      <c r="A56" s="777">
        <v>25</v>
      </c>
      <c r="B56" s="778" t="s">
        <v>622</v>
      </c>
      <c r="C56" s="779" t="s">
        <v>596</v>
      </c>
      <c r="D56" s="779">
        <v>1</v>
      </c>
      <c r="E56" s="1350">
        <f t="shared" si="0"/>
        <v>320</v>
      </c>
      <c r="F56" s="781">
        <f t="shared" si="1"/>
        <v>320</v>
      </c>
      <c r="H56" s="782"/>
      <c r="I56" s="783"/>
      <c r="J56" s="783"/>
      <c r="K56" s="783"/>
      <c r="L56" s="783"/>
      <c r="M56" s="783"/>
      <c r="N56" s="783"/>
      <c r="O56" s="783"/>
      <c r="P56" s="783"/>
      <c r="Q56" s="783"/>
      <c r="R56" s="783"/>
      <c r="S56" s="783"/>
      <c r="T56" s="783"/>
      <c r="U56" s="783"/>
      <c r="V56" s="783"/>
      <c r="W56" s="783"/>
      <c r="X56" s="783"/>
      <c r="Y56" s="783"/>
      <c r="Z56" s="783"/>
      <c r="AA56" s="783"/>
      <c r="AB56" s="772">
        <v>300</v>
      </c>
      <c r="AC56" s="772">
        <v>270</v>
      </c>
      <c r="AD56" s="772">
        <v>390</v>
      </c>
    </row>
    <row r="57" spans="1:30" ht="20.25" customHeight="1" thickBot="1">
      <c r="A57" s="777">
        <v>26</v>
      </c>
      <c r="B57" s="778" t="s">
        <v>623</v>
      </c>
      <c r="C57" s="779" t="s">
        <v>596</v>
      </c>
      <c r="D57" s="779">
        <v>2</v>
      </c>
      <c r="E57" s="1350">
        <f t="shared" si="0"/>
        <v>913.33</v>
      </c>
      <c r="F57" s="781">
        <f t="shared" si="1"/>
        <v>1826.66</v>
      </c>
      <c r="H57" s="782"/>
      <c r="I57" s="783"/>
      <c r="J57" s="783"/>
      <c r="K57" s="783"/>
      <c r="L57" s="783"/>
      <c r="M57" s="783"/>
      <c r="N57" s="783"/>
      <c r="O57" s="783"/>
      <c r="P57" s="783"/>
      <c r="Q57" s="783"/>
      <c r="R57" s="783"/>
      <c r="S57" s="783"/>
      <c r="T57" s="783"/>
      <c r="U57" s="783"/>
      <c r="V57" s="783"/>
      <c r="W57" s="783"/>
      <c r="X57" s="783"/>
      <c r="Y57" s="783"/>
      <c r="Z57" s="783"/>
      <c r="AA57" s="783"/>
      <c r="AB57" s="772">
        <v>480</v>
      </c>
      <c r="AC57" s="772">
        <v>480</v>
      </c>
      <c r="AD57" s="772">
        <v>1780</v>
      </c>
    </row>
    <row r="58" spans="1:30" ht="20.25" customHeight="1" thickBot="1">
      <c r="A58" s="777">
        <v>27</v>
      </c>
      <c r="B58" s="786" t="s">
        <v>624</v>
      </c>
      <c r="C58" s="779" t="s">
        <v>596</v>
      </c>
      <c r="D58" s="779">
        <v>1</v>
      </c>
      <c r="E58" s="1350">
        <f t="shared" si="0"/>
        <v>1642.67</v>
      </c>
      <c r="F58" s="781">
        <f t="shared" si="1"/>
        <v>1642.67</v>
      </c>
      <c r="H58" s="782"/>
      <c r="I58" s="783"/>
      <c r="J58" s="783"/>
      <c r="K58" s="783"/>
      <c r="L58" s="783"/>
      <c r="M58" s="783"/>
      <c r="N58" s="783"/>
      <c r="O58" s="783"/>
      <c r="P58" s="783"/>
      <c r="Q58" s="783"/>
      <c r="R58" s="783"/>
      <c r="S58" s="783"/>
      <c r="T58" s="783"/>
      <c r="U58" s="783"/>
      <c r="V58" s="783"/>
      <c r="W58" s="783"/>
      <c r="X58" s="783"/>
      <c r="Y58" s="783"/>
      <c r="Z58" s="783"/>
      <c r="AA58" s="783"/>
      <c r="AB58" s="772">
        <v>1478</v>
      </c>
      <c r="AC58" s="772">
        <v>1500</v>
      </c>
      <c r="AD58" s="772">
        <v>1950</v>
      </c>
    </row>
    <row r="59" spans="1:30" ht="20.25" customHeight="1" thickBot="1">
      <c r="A59" s="777">
        <v>28</v>
      </c>
      <c r="B59" s="787" t="s">
        <v>625</v>
      </c>
      <c r="C59" s="779" t="s">
        <v>596</v>
      </c>
      <c r="D59" s="779">
        <v>2</v>
      </c>
      <c r="E59" s="1350">
        <f t="shared" si="0"/>
        <v>2703.33</v>
      </c>
      <c r="F59" s="781">
        <f t="shared" si="1"/>
        <v>5406.66</v>
      </c>
      <c r="H59" s="782"/>
      <c r="I59" s="783"/>
      <c r="J59" s="783"/>
      <c r="K59" s="783"/>
      <c r="L59" s="783"/>
      <c r="M59" s="783"/>
      <c r="N59" s="783"/>
      <c r="O59" s="783"/>
      <c r="P59" s="783"/>
      <c r="Q59" s="783"/>
      <c r="R59" s="783"/>
      <c r="S59" s="783"/>
      <c r="T59" s="783"/>
      <c r="U59" s="783"/>
      <c r="V59" s="783"/>
      <c r="W59" s="783"/>
      <c r="X59" s="783"/>
      <c r="Y59" s="783"/>
      <c r="Z59" s="783"/>
      <c r="AA59" s="783"/>
      <c r="AB59" s="772">
        <v>2750</v>
      </c>
      <c r="AC59" s="772">
        <v>2800</v>
      </c>
      <c r="AD59" s="772">
        <v>2560</v>
      </c>
    </row>
    <row r="60" spans="1:30" ht="15.75" thickBot="1">
      <c r="A60" s="777">
        <v>29</v>
      </c>
      <c r="B60" s="787" t="s">
        <v>626</v>
      </c>
      <c r="C60" s="779" t="s">
        <v>596</v>
      </c>
      <c r="D60" s="779">
        <v>1</v>
      </c>
      <c r="E60" s="1350">
        <f t="shared" si="0"/>
        <v>13933.33</v>
      </c>
      <c r="F60" s="781">
        <f t="shared" si="1"/>
        <v>13933.33</v>
      </c>
      <c r="H60" s="782"/>
      <c r="I60" s="783"/>
      <c r="J60" s="783"/>
      <c r="K60" s="783"/>
      <c r="L60" s="783"/>
      <c r="M60" s="783"/>
      <c r="N60" s="783"/>
      <c r="O60" s="783"/>
      <c r="P60" s="783"/>
      <c r="Q60" s="783"/>
      <c r="R60" s="783"/>
      <c r="S60" s="783"/>
      <c r="T60" s="783"/>
      <c r="U60" s="783"/>
      <c r="V60" s="783"/>
      <c r="W60" s="783"/>
      <c r="X60" s="783"/>
      <c r="Y60" s="783"/>
      <c r="Z60" s="783"/>
      <c r="AA60" s="783"/>
      <c r="AB60" s="772">
        <v>13700</v>
      </c>
      <c r="AC60" s="772">
        <v>14000</v>
      </c>
      <c r="AD60" s="772">
        <v>14100</v>
      </c>
    </row>
    <row r="61" spans="1:30" ht="20.25" customHeight="1" thickBot="1">
      <c r="A61" s="777">
        <v>30</v>
      </c>
      <c r="B61" s="787" t="s">
        <v>627</v>
      </c>
      <c r="C61" s="779" t="s">
        <v>596</v>
      </c>
      <c r="D61" s="779">
        <v>1</v>
      </c>
      <c r="E61" s="1350">
        <f t="shared" si="0"/>
        <v>1849.33</v>
      </c>
      <c r="F61" s="781">
        <f t="shared" si="1"/>
        <v>1849.33</v>
      </c>
      <c r="H61" s="782"/>
      <c r="I61" s="783"/>
      <c r="J61" s="783"/>
      <c r="K61" s="783"/>
      <c r="L61" s="783"/>
      <c r="M61" s="783"/>
      <c r="N61" s="783"/>
      <c r="O61" s="783"/>
      <c r="P61" s="783"/>
      <c r="Q61" s="783"/>
      <c r="R61" s="783"/>
      <c r="S61" s="783"/>
      <c r="T61" s="783"/>
      <c r="U61" s="783"/>
      <c r="V61" s="783"/>
      <c r="W61" s="783"/>
      <c r="X61" s="783"/>
      <c r="Y61" s="783"/>
      <c r="Z61" s="783"/>
      <c r="AA61" s="783"/>
      <c r="AB61" s="772">
        <v>1798</v>
      </c>
      <c r="AC61" s="772">
        <v>1800</v>
      </c>
      <c r="AD61" s="772">
        <v>1950</v>
      </c>
    </row>
    <row r="62" spans="1:30" ht="20.25" customHeight="1" thickBot="1">
      <c r="A62" s="777">
        <v>31</v>
      </c>
      <c r="B62" s="787" t="s">
        <v>628</v>
      </c>
      <c r="C62" s="779" t="s">
        <v>596</v>
      </c>
      <c r="D62" s="779">
        <v>1</v>
      </c>
      <c r="E62" s="1350">
        <f t="shared" si="0"/>
        <v>17683.330000000002</v>
      </c>
      <c r="F62" s="781">
        <f t="shared" si="1"/>
        <v>17683.330000000002</v>
      </c>
      <c r="H62" s="782"/>
      <c r="I62" s="783"/>
      <c r="J62" s="783"/>
      <c r="K62" s="783"/>
      <c r="L62" s="783"/>
      <c r="M62" s="783"/>
      <c r="N62" s="783"/>
      <c r="O62" s="783"/>
      <c r="P62" s="783"/>
      <c r="Q62" s="783"/>
      <c r="R62" s="783"/>
      <c r="S62" s="783"/>
      <c r="T62" s="783"/>
      <c r="U62" s="783"/>
      <c r="V62" s="783"/>
      <c r="W62" s="783"/>
      <c r="X62" s="783"/>
      <c r="Y62" s="783"/>
      <c r="Z62" s="783"/>
      <c r="AA62" s="783"/>
      <c r="AB62" s="772">
        <v>17500</v>
      </c>
      <c r="AC62" s="772">
        <v>17650</v>
      </c>
      <c r="AD62" s="772">
        <v>17900</v>
      </c>
    </row>
    <row r="63" spans="1:30" ht="20.25" customHeight="1">
      <c r="A63" s="777">
        <v>32</v>
      </c>
      <c r="B63" s="778" t="s">
        <v>629</v>
      </c>
      <c r="C63" s="779" t="s">
        <v>596</v>
      </c>
      <c r="D63" s="779">
        <v>1</v>
      </c>
      <c r="E63" s="1350">
        <f t="shared" si="0"/>
        <v>113</v>
      </c>
      <c r="F63" s="781">
        <f t="shared" si="1"/>
        <v>113</v>
      </c>
      <c r="H63" s="782"/>
      <c r="I63" s="783"/>
      <c r="J63" s="783"/>
      <c r="K63" s="783"/>
      <c r="L63" s="783"/>
      <c r="M63" s="783"/>
      <c r="N63" s="783"/>
      <c r="O63" s="783"/>
      <c r="P63" s="783"/>
      <c r="Q63" s="783"/>
      <c r="R63" s="783"/>
      <c r="S63" s="783"/>
      <c r="T63" s="783"/>
      <c r="U63" s="783"/>
      <c r="V63" s="783"/>
      <c r="W63" s="783"/>
      <c r="X63" s="783"/>
      <c r="Y63" s="783"/>
      <c r="Z63" s="783"/>
      <c r="AA63" s="783"/>
      <c r="AB63" s="772">
        <v>99</v>
      </c>
      <c r="AC63" s="772">
        <v>110</v>
      </c>
      <c r="AD63" s="772">
        <v>130</v>
      </c>
    </row>
    <row r="64" spans="1:30" ht="20.25" customHeight="1">
      <c r="A64" s="777">
        <v>33</v>
      </c>
      <c r="B64" s="778" t="s">
        <v>630</v>
      </c>
      <c r="C64" s="779" t="s">
        <v>631</v>
      </c>
      <c r="D64" s="779">
        <v>1</v>
      </c>
      <c r="E64" s="1350">
        <f t="shared" ref="E64:E82" si="2">ROUND(AVERAGE(AB64,AC64,AD64),2)</f>
        <v>112.67</v>
      </c>
      <c r="F64" s="781">
        <f t="shared" ref="F64:F82" si="3">D64*E64</f>
        <v>112.67</v>
      </c>
      <c r="H64" s="782"/>
      <c r="I64" s="783"/>
      <c r="J64" s="783"/>
      <c r="K64" s="783"/>
      <c r="L64" s="783"/>
      <c r="M64" s="783"/>
      <c r="N64" s="783"/>
      <c r="O64" s="783"/>
      <c r="P64" s="783"/>
      <c r="Q64" s="783"/>
      <c r="R64" s="783"/>
      <c r="S64" s="783"/>
      <c r="T64" s="783"/>
      <c r="U64" s="783"/>
      <c r="V64" s="783"/>
      <c r="W64" s="783"/>
      <c r="X64" s="783"/>
      <c r="Y64" s="783"/>
      <c r="Z64" s="783"/>
      <c r="AA64" s="783"/>
      <c r="AB64" s="772">
        <v>105</v>
      </c>
      <c r="AC64" s="772">
        <v>118</v>
      </c>
      <c r="AD64" s="772">
        <v>115</v>
      </c>
    </row>
    <row r="65" spans="1:30" ht="20.25" customHeight="1">
      <c r="A65" s="777">
        <v>34</v>
      </c>
      <c r="B65" s="742" t="s">
        <v>632</v>
      </c>
      <c r="C65" s="777" t="s">
        <v>610</v>
      </c>
      <c r="D65" s="777">
        <v>20</v>
      </c>
      <c r="E65" s="1350">
        <f t="shared" si="2"/>
        <v>2.67</v>
      </c>
      <c r="F65" s="781">
        <f t="shared" si="3"/>
        <v>53.4</v>
      </c>
      <c r="H65" s="782"/>
      <c r="I65" s="783"/>
      <c r="J65" s="783"/>
      <c r="K65" s="783"/>
      <c r="L65" s="783"/>
      <c r="M65" s="783"/>
      <c r="N65" s="783"/>
      <c r="O65" s="783"/>
      <c r="P65" s="783"/>
      <c r="Q65" s="783"/>
      <c r="R65" s="783"/>
      <c r="S65" s="783"/>
      <c r="T65" s="783"/>
      <c r="U65" s="783"/>
      <c r="V65" s="783"/>
      <c r="W65" s="783"/>
      <c r="X65" s="783"/>
      <c r="Y65" s="783"/>
      <c r="Z65" s="783"/>
      <c r="AA65" s="783"/>
      <c r="AB65" s="772">
        <v>2</v>
      </c>
      <c r="AC65" s="772">
        <v>1.5</v>
      </c>
      <c r="AD65" s="772">
        <v>4.5</v>
      </c>
    </row>
    <row r="66" spans="1:30" ht="20.25" customHeight="1">
      <c r="A66" s="777">
        <v>35</v>
      </c>
      <c r="B66" s="742" t="s">
        <v>633</v>
      </c>
      <c r="C66" s="777" t="s">
        <v>634</v>
      </c>
      <c r="D66" s="777">
        <v>10</v>
      </c>
      <c r="E66" s="1350">
        <f t="shared" si="2"/>
        <v>10.62</v>
      </c>
      <c r="F66" s="781">
        <f t="shared" si="3"/>
        <v>106.19999999999999</v>
      </c>
      <c r="H66" s="782"/>
      <c r="I66" s="783"/>
      <c r="J66" s="783"/>
      <c r="K66" s="783"/>
      <c r="L66" s="783"/>
      <c r="M66" s="783"/>
      <c r="N66" s="783"/>
      <c r="O66" s="783"/>
      <c r="P66" s="783"/>
      <c r="Q66" s="783"/>
      <c r="R66" s="783"/>
      <c r="S66" s="783"/>
      <c r="T66" s="783"/>
      <c r="U66" s="783"/>
      <c r="V66" s="783"/>
      <c r="W66" s="783"/>
      <c r="X66" s="783"/>
      <c r="Y66" s="783"/>
      <c r="Z66" s="783"/>
      <c r="AA66" s="783"/>
      <c r="AB66" s="772">
        <v>9.75</v>
      </c>
      <c r="AC66" s="772">
        <v>9.8000000000000007</v>
      </c>
      <c r="AD66" s="772">
        <v>12.3</v>
      </c>
    </row>
    <row r="67" spans="1:30" ht="20.25" customHeight="1">
      <c r="A67" s="777">
        <v>36</v>
      </c>
      <c r="B67" s="742" t="s">
        <v>635</v>
      </c>
      <c r="C67" s="777" t="s">
        <v>634</v>
      </c>
      <c r="D67" s="777">
        <v>10</v>
      </c>
      <c r="E67" s="1350">
        <f t="shared" si="2"/>
        <v>34.5</v>
      </c>
      <c r="F67" s="781">
        <f t="shared" si="3"/>
        <v>345</v>
      </c>
      <c r="H67" s="782"/>
      <c r="I67" s="783"/>
      <c r="J67" s="783"/>
      <c r="K67" s="783"/>
      <c r="L67" s="783"/>
      <c r="M67" s="783"/>
      <c r="N67" s="783"/>
      <c r="O67" s="783"/>
      <c r="P67" s="783"/>
      <c r="Q67" s="783"/>
      <c r="R67" s="783"/>
      <c r="S67" s="783"/>
      <c r="T67" s="783"/>
      <c r="U67" s="783"/>
      <c r="V67" s="783"/>
      <c r="W67" s="783"/>
      <c r="X67" s="783"/>
      <c r="Y67" s="783"/>
      <c r="Z67" s="783"/>
      <c r="AA67" s="783"/>
      <c r="AB67" s="772">
        <v>28.9</v>
      </c>
      <c r="AC67" s="772">
        <v>28.7</v>
      </c>
      <c r="AD67" s="772">
        <v>45.9</v>
      </c>
    </row>
    <row r="68" spans="1:30" ht="20.25" customHeight="1">
      <c r="A68" s="777">
        <v>37</v>
      </c>
      <c r="B68" s="742" t="s">
        <v>636</v>
      </c>
      <c r="C68" s="777" t="s">
        <v>610</v>
      </c>
      <c r="D68" s="777">
        <v>3</v>
      </c>
      <c r="E68" s="1350">
        <f t="shared" si="2"/>
        <v>79.33</v>
      </c>
      <c r="F68" s="781">
        <f t="shared" si="3"/>
        <v>237.99</v>
      </c>
      <c r="H68" s="782"/>
      <c r="I68" s="783"/>
      <c r="J68" s="783"/>
      <c r="K68" s="783"/>
      <c r="L68" s="783"/>
      <c r="M68" s="783"/>
      <c r="N68" s="783"/>
      <c r="O68" s="783"/>
      <c r="P68" s="783"/>
      <c r="Q68" s="783"/>
      <c r="R68" s="783"/>
      <c r="S68" s="783"/>
      <c r="T68" s="783"/>
      <c r="U68" s="783"/>
      <c r="V68" s="783"/>
      <c r="W68" s="783"/>
      <c r="X68" s="783"/>
      <c r="Y68" s="783"/>
      <c r="Z68" s="783"/>
      <c r="AA68" s="783"/>
      <c r="AB68" s="772">
        <v>75</v>
      </c>
      <c r="AC68" s="772">
        <v>78</v>
      </c>
      <c r="AD68" s="772">
        <v>85</v>
      </c>
    </row>
    <row r="69" spans="1:30" ht="20.25" customHeight="1">
      <c r="A69" s="777">
        <v>38</v>
      </c>
      <c r="B69" s="742" t="s">
        <v>637</v>
      </c>
      <c r="C69" s="777" t="s">
        <v>610</v>
      </c>
      <c r="D69" s="777">
        <v>6</v>
      </c>
      <c r="E69" s="1350">
        <f t="shared" si="2"/>
        <v>27.9</v>
      </c>
      <c r="F69" s="781">
        <f t="shared" si="3"/>
        <v>167.39999999999998</v>
      </c>
      <c r="H69" s="782"/>
      <c r="I69" s="783"/>
      <c r="J69" s="783"/>
      <c r="K69" s="783"/>
      <c r="L69" s="783"/>
      <c r="M69" s="783"/>
      <c r="N69" s="783"/>
      <c r="O69" s="783"/>
      <c r="P69" s="783"/>
      <c r="Q69" s="783"/>
      <c r="R69" s="783"/>
      <c r="S69" s="783"/>
      <c r="T69" s="783"/>
      <c r="U69" s="783"/>
      <c r="V69" s="783"/>
      <c r="W69" s="783"/>
      <c r="X69" s="783"/>
      <c r="Y69" s="783"/>
      <c r="Z69" s="783"/>
      <c r="AA69" s="783"/>
      <c r="AB69" s="772">
        <v>25</v>
      </c>
      <c r="AC69" s="772">
        <v>26.5</v>
      </c>
      <c r="AD69" s="772">
        <v>32.200000000000003</v>
      </c>
    </row>
    <row r="70" spans="1:30" ht="20.25" customHeight="1">
      <c r="A70" s="777">
        <v>39</v>
      </c>
      <c r="B70" s="742" t="s">
        <v>638</v>
      </c>
      <c r="C70" s="777" t="s">
        <v>639</v>
      </c>
      <c r="D70" s="777">
        <v>2</v>
      </c>
      <c r="E70" s="1350">
        <f t="shared" si="2"/>
        <v>12.85</v>
      </c>
      <c r="F70" s="781">
        <f t="shared" si="3"/>
        <v>25.7</v>
      </c>
      <c r="H70" s="782"/>
      <c r="I70" s="783"/>
      <c r="J70" s="783"/>
      <c r="K70" s="783"/>
      <c r="L70" s="783"/>
      <c r="M70" s="783"/>
      <c r="N70" s="783"/>
      <c r="O70" s="783"/>
      <c r="P70" s="783"/>
      <c r="Q70" s="783"/>
      <c r="R70" s="783"/>
      <c r="S70" s="783"/>
      <c r="T70" s="783"/>
      <c r="U70" s="783"/>
      <c r="V70" s="783"/>
      <c r="W70" s="783"/>
      <c r="X70" s="783"/>
      <c r="Y70" s="783"/>
      <c r="Z70" s="783"/>
      <c r="AA70" s="783"/>
      <c r="AB70" s="772">
        <v>10</v>
      </c>
      <c r="AC70" s="772">
        <v>12</v>
      </c>
      <c r="AD70" s="772">
        <v>16.54</v>
      </c>
    </row>
    <row r="71" spans="1:30" ht="20.25" customHeight="1">
      <c r="A71" s="777">
        <v>40</v>
      </c>
      <c r="B71" s="742" t="s">
        <v>640</v>
      </c>
      <c r="C71" s="777" t="s">
        <v>639</v>
      </c>
      <c r="D71" s="777">
        <v>2</v>
      </c>
      <c r="E71" s="1350">
        <f t="shared" si="2"/>
        <v>11.77</v>
      </c>
      <c r="F71" s="781">
        <f t="shared" si="3"/>
        <v>23.54</v>
      </c>
      <c r="H71" s="782"/>
      <c r="I71" s="783"/>
      <c r="J71" s="783"/>
      <c r="K71" s="783"/>
      <c r="L71" s="783"/>
      <c r="M71" s="783"/>
      <c r="N71" s="783"/>
      <c r="O71" s="783"/>
      <c r="P71" s="783"/>
      <c r="Q71" s="783"/>
      <c r="R71" s="783"/>
      <c r="S71" s="783"/>
      <c r="T71" s="783"/>
      <c r="U71" s="783"/>
      <c r="V71" s="783"/>
      <c r="W71" s="783"/>
      <c r="X71" s="783"/>
      <c r="Y71" s="783"/>
      <c r="Z71" s="783"/>
      <c r="AA71" s="783"/>
      <c r="AB71" s="772">
        <v>10</v>
      </c>
      <c r="AC71" s="772">
        <v>11</v>
      </c>
      <c r="AD71" s="772">
        <v>14.32</v>
      </c>
    </row>
    <row r="72" spans="1:30" ht="20.25" customHeight="1">
      <c r="A72" s="777">
        <v>41</v>
      </c>
      <c r="B72" s="742" t="s">
        <v>641</v>
      </c>
      <c r="C72" s="777" t="s">
        <v>639</v>
      </c>
      <c r="D72" s="777">
        <v>3</v>
      </c>
      <c r="E72" s="1350">
        <f t="shared" si="2"/>
        <v>24.2</v>
      </c>
      <c r="F72" s="781">
        <f t="shared" si="3"/>
        <v>72.599999999999994</v>
      </c>
      <c r="H72" s="782"/>
      <c r="I72" s="783"/>
      <c r="J72" s="783"/>
      <c r="K72" s="783"/>
      <c r="L72" s="783"/>
      <c r="M72" s="783"/>
      <c r="N72" s="783"/>
      <c r="O72" s="783"/>
      <c r="P72" s="783"/>
      <c r="Q72" s="783"/>
      <c r="R72" s="783"/>
      <c r="S72" s="783"/>
      <c r="T72" s="783"/>
      <c r="U72" s="783"/>
      <c r="V72" s="783"/>
      <c r="W72" s="783"/>
      <c r="X72" s="783"/>
      <c r="Y72" s="783"/>
      <c r="Z72" s="783"/>
      <c r="AA72" s="783"/>
      <c r="AB72" s="772">
        <v>20</v>
      </c>
      <c r="AC72" s="772">
        <v>24</v>
      </c>
      <c r="AD72" s="772">
        <v>28.6</v>
      </c>
    </row>
    <row r="73" spans="1:30" ht="20.25" customHeight="1">
      <c r="A73" s="777">
        <v>42</v>
      </c>
      <c r="B73" s="742" t="s">
        <v>642</v>
      </c>
      <c r="C73" s="777" t="s">
        <v>610</v>
      </c>
      <c r="D73" s="777">
        <v>100</v>
      </c>
      <c r="E73" s="1350">
        <f t="shared" si="2"/>
        <v>2.25</v>
      </c>
      <c r="F73" s="781">
        <f t="shared" si="3"/>
        <v>225</v>
      </c>
      <c r="H73" s="782"/>
      <c r="I73" s="783"/>
      <c r="J73" s="783"/>
      <c r="K73" s="783"/>
      <c r="L73" s="783"/>
      <c r="M73" s="783"/>
      <c r="N73" s="783"/>
      <c r="O73" s="783"/>
      <c r="P73" s="783"/>
      <c r="Q73" s="783"/>
      <c r="R73" s="783"/>
      <c r="S73" s="783"/>
      <c r="T73" s="783"/>
      <c r="U73" s="783"/>
      <c r="V73" s="783"/>
      <c r="W73" s="783"/>
      <c r="X73" s="783"/>
      <c r="Y73" s="783"/>
      <c r="Z73" s="783"/>
      <c r="AA73" s="783"/>
      <c r="AB73" s="772">
        <v>1.7</v>
      </c>
      <c r="AC73" s="772">
        <v>1.9</v>
      </c>
      <c r="AD73" s="772">
        <v>3.15</v>
      </c>
    </row>
    <row r="74" spans="1:30" ht="20.25" customHeight="1">
      <c r="A74" s="777">
        <v>43</v>
      </c>
      <c r="B74" s="742" t="s">
        <v>643</v>
      </c>
      <c r="C74" s="777" t="s">
        <v>610</v>
      </c>
      <c r="D74" s="777">
        <v>8</v>
      </c>
      <c r="E74" s="1350">
        <f t="shared" si="2"/>
        <v>26.37</v>
      </c>
      <c r="F74" s="781">
        <f t="shared" si="3"/>
        <v>210.96</v>
      </c>
      <c r="H74" s="782"/>
      <c r="I74" s="783"/>
      <c r="J74" s="783"/>
      <c r="K74" s="783"/>
      <c r="L74" s="783"/>
      <c r="M74" s="783"/>
      <c r="N74" s="783"/>
      <c r="O74" s="783"/>
      <c r="P74" s="783"/>
      <c r="Q74" s="783"/>
      <c r="R74" s="783"/>
      <c r="S74" s="783"/>
      <c r="T74" s="783"/>
      <c r="U74" s="783"/>
      <c r="V74" s="783"/>
      <c r="W74" s="783"/>
      <c r="X74" s="783"/>
      <c r="Y74" s="783"/>
      <c r="Z74" s="783"/>
      <c r="AA74" s="783"/>
      <c r="AB74" s="772">
        <v>24</v>
      </c>
      <c r="AC74" s="772">
        <v>25.5</v>
      </c>
      <c r="AD74" s="772">
        <v>29.6</v>
      </c>
    </row>
    <row r="75" spans="1:30" ht="20.25" customHeight="1">
      <c r="A75" s="777">
        <v>44</v>
      </c>
      <c r="B75" s="788" t="s">
        <v>644</v>
      </c>
      <c r="C75" s="777" t="s">
        <v>610</v>
      </c>
      <c r="D75" s="777">
        <v>2</v>
      </c>
      <c r="E75" s="1350">
        <f t="shared" si="2"/>
        <v>2670</v>
      </c>
      <c r="F75" s="781">
        <f t="shared" si="3"/>
        <v>5340</v>
      </c>
      <c r="H75" s="782"/>
      <c r="I75" s="783"/>
      <c r="J75" s="783"/>
      <c r="K75" s="783"/>
      <c r="L75" s="783"/>
      <c r="M75" s="783"/>
      <c r="N75" s="783"/>
      <c r="O75" s="783"/>
      <c r="P75" s="783"/>
      <c r="Q75" s="783"/>
      <c r="R75" s="783"/>
      <c r="S75" s="783"/>
      <c r="T75" s="783"/>
      <c r="U75" s="783"/>
      <c r="V75" s="783"/>
      <c r="W75" s="783"/>
      <c r="X75" s="783"/>
      <c r="Y75" s="783"/>
      <c r="Z75" s="783"/>
      <c r="AA75" s="783"/>
      <c r="AB75" s="772">
        <v>2520</v>
      </c>
      <c r="AC75" s="772">
        <v>2600</v>
      </c>
      <c r="AD75" s="772">
        <v>2890</v>
      </c>
    </row>
    <row r="76" spans="1:30" ht="20.25" customHeight="1">
      <c r="A76" s="777">
        <v>45</v>
      </c>
      <c r="B76" s="742" t="s">
        <v>645</v>
      </c>
      <c r="C76" s="777" t="s">
        <v>610</v>
      </c>
      <c r="D76" s="777">
        <v>1</v>
      </c>
      <c r="E76" s="1350">
        <f t="shared" si="2"/>
        <v>323.33</v>
      </c>
      <c r="F76" s="781">
        <f t="shared" si="3"/>
        <v>323.33</v>
      </c>
      <c r="H76" s="782"/>
      <c r="I76" s="783"/>
      <c r="J76" s="783"/>
      <c r="K76" s="783"/>
      <c r="L76" s="783"/>
      <c r="M76" s="783"/>
      <c r="N76" s="783"/>
      <c r="O76" s="783"/>
      <c r="P76" s="783"/>
      <c r="Q76" s="783"/>
      <c r="R76" s="783"/>
      <c r="S76" s="783"/>
      <c r="T76" s="783"/>
      <c r="U76" s="783"/>
      <c r="V76" s="783"/>
      <c r="W76" s="783"/>
      <c r="X76" s="783"/>
      <c r="Y76" s="783"/>
      <c r="Z76" s="783"/>
      <c r="AA76" s="783"/>
      <c r="AB76" s="772">
        <v>305</v>
      </c>
      <c r="AC76" s="772">
        <v>310</v>
      </c>
      <c r="AD76" s="772">
        <v>355</v>
      </c>
    </row>
    <row r="77" spans="1:30" ht="20.25" customHeight="1">
      <c r="A77" s="777">
        <v>46</v>
      </c>
      <c r="B77" s="742" t="s">
        <v>646</v>
      </c>
      <c r="C77" s="777" t="s">
        <v>610</v>
      </c>
      <c r="D77" s="777">
        <v>1</v>
      </c>
      <c r="E77" s="1350">
        <f t="shared" si="2"/>
        <v>335</v>
      </c>
      <c r="F77" s="781">
        <f t="shared" si="3"/>
        <v>335</v>
      </c>
      <c r="H77" s="782"/>
      <c r="I77" s="783"/>
      <c r="J77" s="783"/>
      <c r="K77" s="783"/>
      <c r="L77" s="783"/>
      <c r="M77" s="783"/>
      <c r="N77" s="783"/>
      <c r="O77" s="783"/>
      <c r="P77" s="783"/>
      <c r="Q77" s="783"/>
      <c r="R77" s="783"/>
      <c r="S77" s="783"/>
      <c r="T77" s="783"/>
      <c r="U77" s="783"/>
      <c r="V77" s="783"/>
      <c r="W77" s="783"/>
      <c r="X77" s="783"/>
      <c r="Y77" s="783"/>
      <c r="Z77" s="783"/>
      <c r="AA77" s="783"/>
      <c r="AB77" s="772">
        <v>305</v>
      </c>
      <c r="AC77" s="772">
        <v>310</v>
      </c>
      <c r="AD77" s="772">
        <v>390</v>
      </c>
    </row>
    <row r="78" spans="1:30" ht="20.25" customHeight="1">
      <c r="A78" s="777">
        <v>47</v>
      </c>
      <c r="B78" s="742" t="s">
        <v>647</v>
      </c>
      <c r="C78" s="777" t="s">
        <v>610</v>
      </c>
      <c r="D78" s="777">
        <v>2</v>
      </c>
      <c r="E78" s="1350">
        <f t="shared" si="2"/>
        <v>158.33000000000001</v>
      </c>
      <c r="F78" s="781">
        <f t="shared" si="3"/>
        <v>316.66000000000003</v>
      </c>
      <c r="H78" s="782"/>
      <c r="I78" s="783"/>
      <c r="J78" s="783"/>
      <c r="K78" s="783"/>
      <c r="L78" s="783"/>
      <c r="M78" s="783"/>
      <c r="N78" s="783"/>
      <c r="O78" s="783"/>
      <c r="P78" s="783"/>
      <c r="Q78" s="783"/>
      <c r="R78" s="783"/>
      <c r="S78" s="783"/>
      <c r="T78" s="783"/>
      <c r="U78" s="783"/>
      <c r="V78" s="783"/>
      <c r="W78" s="783"/>
      <c r="X78" s="783"/>
      <c r="Y78" s="783"/>
      <c r="Z78" s="783"/>
      <c r="AA78" s="783"/>
      <c r="AB78" s="772">
        <v>145</v>
      </c>
      <c r="AC78" s="772">
        <v>150</v>
      </c>
      <c r="AD78" s="772">
        <v>180</v>
      </c>
    </row>
    <row r="79" spans="1:30" ht="20.25" customHeight="1">
      <c r="A79" s="777">
        <v>48</v>
      </c>
      <c r="B79" s="742" t="s">
        <v>648</v>
      </c>
      <c r="C79" s="777" t="s">
        <v>610</v>
      </c>
      <c r="D79" s="777">
        <v>2</v>
      </c>
      <c r="E79" s="1350">
        <f t="shared" si="2"/>
        <v>151.66999999999999</v>
      </c>
      <c r="F79" s="781">
        <f t="shared" si="3"/>
        <v>303.33999999999997</v>
      </c>
      <c r="H79" s="782"/>
      <c r="I79" s="783"/>
      <c r="J79" s="783"/>
      <c r="K79" s="783"/>
      <c r="L79" s="783"/>
      <c r="M79" s="783"/>
      <c r="N79" s="783"/>
      <c r="O79" s="783"/>
      <c r="P79" s="783"/>
      <c r="Q79" s="783"/>
      <c r="R79" s="783"/>
      <c r="S79" s="783"/>
      <c r="T79" s="783"/>
      <c r="U79" s="783"/>
      <c r="V79" s="783"/>
      <c r="W79" s="783"/>
      <c r="X79" s="783"/>
      <c r="Y79" s="783"/>
      <c r="Z79" s="783"/>
      <c r="AA79" s="783"/>
      <c r="AB79" s="772">
        <v>145</v>
      </c>
      <c r="AC79" s="772">
        <v>145</v>
      </c>
      <c r="AD79" s="772">
        <v>165</v>
      </c>
    </row>
    <row r="80" spans="1:30" ht="20.25" customHeight="1">
      <c r="A80" s="777">
        <v>49</v>
      </c>
      <c r="B80" s="742" t="s">
        <v>649</v>
      </c>
      <c r="C80" s="777" t="s">
        <v>639</v>
      </c>
      <c r="D80" s="777">
        <v>1</v>
      </c>
      <c r="E80" s="1350">
        <f t="shared" si="2"/>
        <v>68</v>
      </c>
      <c r="F80" s="781">
        <f t="shared" si="3"/>
        <v>68</v>
      </c>
      <c r="H80" s="782"/>
      <c r="I80" s="783"/>
      <c r="J80" s="783"/>
      <c r="K80" s="783"/>
      <c r="L80" s="783"/>
      <c r="M80" s="783"/>
      <c r="N80" s="783"/>
      <c r="O80" s="783"/>
      <c r="P80" s="783"/>
      <c r="Q80" s="783"/>
      <c r="R80" s="783"/>
      <c r="S80" s="783"/>
      <c r="T80" s="783"/>
      <c r="U80" s="783"/>
      <c r="V80" s="783"/>
      <c r="W80" s="783"/>
      <c r="X80" s="783"/>
      <c r="Y80" s="783"/>
      <c r="Z80" s="783"/>
      <c r="AA80" s="783"/>
      <c r="AB80" s="772">
        <v>55</v>
      </c>
      <c r="AC80" s="772">
        <v>60</v>
      </c>
      <c r="AD80" s="772">
        <v>89</v>
      </c>
    </row>
    <row r="81" spans="1:30" ht="20.25" customHeight="1">
      <c r="A81" s="777">
        <v>50</v>
      </c>
      <c r="B81" s="742" t="s">
        <v>650</v>
      </c>
      <c r="C81" s="777" t="s">
        <v>610</v>
      </c>
      <c r="D81" s="777">
        <v>100</v>
      </c>
      <c r="E81" s="1350">
        <f t="shared" si="2"/>
        <v>10</v>
      </c>
      <c r="F81" s="781">
        <f t="shared" si="3"/>
        <v>1000</v>
      </c>
      <c r="H81" s="782"/>
      <c r="I81" s="783"/>
      <c r="J81" s="783"/>
      <c r="K81" s="783"/>
      <c r="L81" s="783"/>
      <c r="M81" s="783"/>
      <c r="N81" s="783"/>
      <c r="O81" s="783"/>
      <c r="P81" s="783"/>
      <c r="Q81" s="783"/>
      <c r="R81" s="783"/>
      <c r="S81" s="783"/>
      <c r="T81" s="783"/>
      <c r="U81" s="783"/>
      <c r="V81" s="783"/>
      <c r="W81" s="783"/>
      <c r="X81" s="783"/>
      <c r="Y81" s="783"/>
      <c r="Z81" s="783"/>
      <c r="AA81" s="783"/>
      <c r="AB81" s="772">
        <v>6</v>
      </c>
      <c r="AC81" s="772">
        <v>6.2</v>
      </c>
      <c r="AD81" s="772">
        <v>17.8</v>
      </c>
    </row>
    <row r="82" spans="1:30" ht="20.25" customHeight="1">
      <c r="A82" s="777">
        <v>51</v>
      </c>
      <c r="B82" s="789" t="s">
        <v>651</v>
      </c>
      <c r="C82" s="777" t="s">
        <v>610</v>
      </c>
      <c r="D82" s="777">
        <v>2</v>
      </c>
      <c r="E82" s="1350">
        <f t="shared" si="2"/>
        <v>114.85</v>
      </c>
      <c r="F82" s="781">
        <f t="shared" si="3"/>
        <v>229.7</v>
      </c>
      <c r="H82" s="782"/>
      <c r="I82" s="783"/>
      <c r="J82" s="783"/>
      <c r="K82" s="783"/>
      <c r="L82" s="783"/>
      <c r="M82" s="783"/>
      <c r="N82" s="783"/>
      <c r="O82" s="783"/>
      <c r="P82" s="783"/>
      <c r="Q82" s="783"/>
      <c r="R82" s="783"/>
      <c r="S82" s="783"/>
      <c r="T82" s="783"/>
      <c r="U82" s="783"/>
      <c r="V82" s="783"/>
      <c r="W82" s="783"/>
      <c r="X82" s="783"/>
      <c r="Y82" s="783"/>
      <c r="Z82" s="783"/>
      <c r="AA82" s="783"/>
      <c r="AB82" s="772">
        <v>99.56</v>
      </c>
      <c r="AC82" s="772">
        <v>100</v>
      </c>
      <c r="AD82" s="772">
        <v>145</v>
      </c>
    </row>
    <row r="83" spans="1:30" ht="20.25" customHeight="1">
      <c r="A83" s="790" t="s">
        <v>652</v>
      </c>
      <c r="B83" s="791"/>
      <c r="C83" s="791"/>
      <c r="D83" s="791"/>
      <c r="E83" s="1354" t="s">
        <v>1008</v>
      </c>
      <c r="F83" s="1031" t="s">
        <v>857</v>
      </c>
      <c r="H83" s="782"/>
      <c r="I83" s="783"/>
      <c r="J83" s="783"/>
      <c r="K83" s="783"/>
      <c r="L83" s="783"/>
      <c r="M83" s="783"/>
      <c r="N83" s="783"/>
      <c r="O83" s="783"/>
      <c r="P83" s="783"/>
      <c r="Q83" s="783"/>
      <c r="R83" s="783"/>
      <c r="S83" s="783"/>
      <c r="T83" s="783"/>
      <c r="U83" s="783"/>
      <c r="V83" s="783"/>
      <c r="W83" s="783"/>
      <c r="X83" s="783"/>
      <c r="Y83" s="783"/>
      <c r="Z83" s="783"/>
      <c r="AA83" s="783"/>
      <c r="AB83" s="772" t="s">
        <v>590</v>
      </c>
      <c r="AC83" s="772" t="s">
        <v>591</v>
      </c>
      <c r="AD83" s="772" t="s">
        <v>592</v>
      </c>
    </row>
    <row r="84" spans="1:30" ht="20.25" customHeight="1">
      <c r="A84" s="792" t="s">
        <v>440</v>
      </c>
      <c r="B84" s="774" t="s">
        <v>407</v>
      </c>
      <c r="C84" s="775" t="s">
        <v>390</v>
      </c>
      <c r="D84" s="775"/>
      <c r="E84" s="1355"/>
      <c r="F84" s="1032"/>
      <c r="H84" s="782"/>
      <c r="I84" s="783"/>
      <c r="J84" s="783"/>
      <c r="K84" s="783"/>
      <c r="L84" s="783"/>
      <c r="M84" s="783"/>
      <c r="N84" s="783"/>
      <c r="O84" s="783"/>
      <c r="P84" s="783"/>
      <c r="Q84" s="783"/>
      <c r="R84" s="783"/>
      <c r="S84" s="783"/>
      <c r="T84" s="783"/>
      <c r="U84" s="783"/>
      <c r="V84" s="783"/>
      <c r="W84" s="783"/>
      <c r="X84" s="783"/>
      <c r="Y84" s="783"/>
      <c r="Z84" s="783"/>
      <c r="AA84" s="783"/>
      <c r="AB84" s="772" t="s">
        <v>594</v>
      </c>
      <c r="AC84" s="772" t="s">
        <v>594</v>
      </c>
      <c r="AD84" s="772" t="s">
        <v>594</v>
      </c>
    </row>
    <row r="85" spans="1:30" ht="20.25" customHeight="1">
      <c r="A85" s="777">
        <v>52</v>
      </c>
      <c r="B85" s="788" t="s">
        <v>653</v>
      </c>
      <c r="C85" s="777" t="s">
        <v>610</v>
      </c>
      <c r="D85" s="777">
        <v>2</v>
      </c>
      <c r="E85" s="1350">
        <f t="shared" ref="E85:E116" si="4">ROUND(AVERAGE(AB85,AC85,AD85),2)</f>
        <v>321.43</v>
      </c>
      <c r="F85" s="781">
        <f t="shared" ref="F85:F116" si="5">D85*E85</f>
        <v>642.86</v>
      </c>
      <c r="H85" s="782"/>
      <c r="I85" s="783"/>
      <c r="J85" s="783"/>
      <c r="K85" s="783"/>
      <c r="L85" s="783"/>
      <c r="M85" s="783"/>
      <c r="N85" s="783"/>
      <c r="O85" s="783"/>
      <c r="P85" s="783"/>
      <c r="Q85" s="783"/>
      <c r="R85" s="783"/>
      <c r="S85" s="783"/>
      <c r="T85" s="783"/>
      <c r="U85" s="783"/>
      <c r="V85" s="783"/>
      <c r="W85" s="783"/>
      <c r="X85" s="783"/>
      <c r="Y85" s="783"/>
      <c r="Z85" s="783"/>
      <c r="AA85" s="783"/>
      <c r="AB85" s="772">
        <v>305</v>
      </c>
      <c r="AC85" s="772">
        <v>299</v>
      </c>
      <c r="AD85" s="772">
        <v>360.3</v>
      </c>
    </row>
    <row r="86" spans="1:30" ht="20.25" customHeight="1">
      <c r="A86" s="777">
        <v>53</v>
      </c>
      <c r="B86" s="788" t="s">
        <v>654</v>
      </c>
      <c r="C86" s="777" t="s">
        <v>610</v>
      </c>
      <c r="D86" s="777">
        <v>4</v>
      </c>
      <c r="E86" s="1350">
        <f t="shared" si="4"/>
        <v>43.67</v>
      </c>
      <c r="F86" s="781">
        <f t="shared" si="5"/>
        <v>174.68</v>
      </c>
      <c r="H86" s="782"/>
      <c r="I86" s="783"/>
      <c r="J86" s="783"/>
      <c r="K86" s="783"/>
      <c r="L86" s="783"/>
      <c r="M86" s="783"/>
      <c r="N86" s="783"/>
      <c r="O86" s="783"/>
      <c r="P86" s="783"/>
      <c r="Q86" s="783"/>
      <c r="R86" s="783"/>
      <c r="S86" s="783"/>
      <c r="T86" s="783"/>
      <c r="U86" s="783"/>
      <c r="V86" s="783"/>
      <c r="W86" s="783"/>
      <c r="X86" s="783"/>
      <c r="Y86" s="783"/>
      <c r="Z86" s="783"/>
      <c r="AA86" s="783"/>
      <c r="AB86" s="772">
        <v>37</v>
      </c>
      <c r="AC86" s="772">
        <v>38</v>
      </c>
      <c r="AD86" s="772">
        <v>56</v>
      </c>
    </row>
    <row r="87" spans="1:30" ht="20.25" customHeight="1">
      <c r="A87" s="777">
        <v>54</v>
      </c>
      <c r="B87" s="788" t="s">
        <v>655</v>
      </c>
      <c r="C87" s="777" t="s">
        <v>610</v>
      </c>
      <c r="D87" s="777">
        <v>2</v>
      </c>
      <c r="E87" s="1350">
        <f t="shared" si="4"/>
        <v>45</v>
      </c>
      <c r="F87" s="781">
        <f t="shared" si="5"/>
        <v>90</v>
      </c>
      <c r="H87" s="782"/>
      <c r="I87" s="783"/>
      <c r="J87" s="783"/>
      <c r="K87" s="783"/>
      <c r="L87" s="783"/>
      <c r="M87" s="783"/>
      <c r="N87" s="783"/>
      <c r="O87" s="783"/>
      <c r="P87" s="783"/>
      <c r="Q87" s="783"/>
      <c r="R87" s="783"/>
      <c r="S87" s="783"/>
      <c r="T87" s="783"/>
      <c r="U87" s="783"/>
      <c r="V87" s="783"/>
      <c r="W87" s="783"/>
      <c r="X87" s="783"/>
      <c r="Y87" s="783"/>
      <c r="Z87" s="783"/>
      <c r="AA87" s="783"/>
      <c r="AB87" s="772">
        <v>36</v>
      </c>
      <c r="AC87" s="772">
        <v>37</v>
      </c>
      <c r="AD87" s="772">
        <v>62</v>
      </c>
    </row>
    <row r="88" spans="1:30" ht="20.25" customHeight="1">
      <c r="A88" s="777">
        <v>55</v>
      </c>
      <c r="B88" s="788" t="s">
        <v>656</v>
      </c>
      <c r="C88" s="777" t="s">
        <v>610</v>
      </c>
      <c r="D88" s="777">
        <v>4</v>
      </c>
      <c r="E88" s="1350">
        <f t="shared" si="4"/>
        <v>56</v>
      </c>
      <c r="F88" s="781">
        <f t="shared" si="5"/>
        <v>224</v>
      </c>
      <c r="H88" s="782"/>
      <c r="I88" s="783"/>
      <c r="J88" s="783"/>
      <c r="K88" s="783"/>
      <c r="L88" s="783"/>
      <c r="M88" s="783"/>
      <c r="N88" s="783"/>
      <c r="O88" s="783"/>
      <c r="P88" s="783"/>
      <c r="Q88" s="783"/>
      <c r="R88" s="783"/>
      <c r="S88" s="783"/>
      <c r="T88" s="783"/>
      <c r="U88" s="783"/>
      <c r="V88" s="783"/>
      <c r="W88" s="783"/>
      <c r="X88" s="783"/>
      <c r="Y88" s="783"/>
      <c r="Z88" s="783"/>
      <c r="AA88" s="783"/>
      <c r="AB88" s="772">
        <v>40</v>
      </c>
      <c r="AC88" s="772">
        <v>43</v>
      </c>
      <c r="AD88" s="772">
        <v>85</v>
      </c>
    </row>
    <row r="89" spans="1:30" ht="20.25" customHeight="1">
      <c r="A89" s="777">
        <v>56</v>
      </c>
      <c r="B89" s="788" t="s">
        <v>657</v>
      </c>
      <c r="C89" s="777" t="s">
        <v>610</v>
      </c>
      <c r="D89" s="777">
        <v>2</v>
      </c>
      <c r="E89" s="1350">
        <f t="shared" si="4"/>
        <v>285.67</v>
      </c>
      <c r="F89" s="781">
        <f t="shared" si="5"/>
        <v>571.34</v>
      </c>
      <c r="H89" s="782"/>
      <c r="I89" s="783"/>
      <c r="J89" s="783"/>
      <c r="K89" s="783"/>
      <c r="L89" s="783"/>
      <c r="M89" s="783"/>
      <c r="N89" s="783"/>
      <c r="O89" s="783"/>
      <c r="P89" s="783"/>
      <c r="Q89" s="783"/>
      <c r="R89" s="783"/>
      <c r="S89" s="783"/>
      <c r="T89" s="783"/>
      <c r="U89" s="783"/>
      <c r="V89" s="783"/>
      <c r="W89" s="783"/>
      <c r="X89" s="783"/>
      <c r="Y89" s="783"/>
      <c r="Z89" s="783"/>
      <c r="AA89" s="783"/>
      <c r="AB89" s="772">
        <v>270</v>
      </c>
      <c r="AC89" s="772">
        <v>267</v>
      </c>
      <c r="AD89" s="772">
        <v>320</v>
      </c>
    </row>
    <row r="90" spans="1:30" ht="20.25" customHeight="1">
      <c r="A90" s="777">
        <v>57</v>
      </c>
      <c r="B90" s="788" t="s">
        <v>658</v>
      </c>
      <c r="C90" s="777" t="s">
        <v>610</v>
      </c>
      <c r="D90" s="777">
        <v>4</v>
      </c>
      <c r="E90" s="1350">
        <f t="shared" si="4"/>
        <v>338</v>
      </c>
      <c r="F90" s="781">
        <f t="shared" si="5"/>
        <v>1352</v>
      </c>
      <c r="H90" s="782"/>
      <c r="I90" s="783"/>
      <c r="J90" s="783"/>
      <c r="K90" s="783"/>
      <c r="L90" s="783"/>
      <c r="M90" s="783"/>
      <c r="N90" s="783"/>
      <c r="O90" s="783"/>
      <c r="P90" s="783"/>
      <c r="Q90" s="783"/>
      <c r="R90" s="783"/>
      <c r="S90" s="783"/>
      <c r="T90" s="783"/>
      <c r="U90" s="783"/>
      <c r="V90" s="783"/>
      <c r="W90" s="783"/>
      <c r="X90" s="783"/>
      <c r="Y90" s="783"/>
      <c r="Z90" s="783"/>
      <c r="AA90" s="783"/>
      <c r="AB90" s="772">
        <v>320</v>
      </c>
      <c r="AC90" s="772">
        <v>314</v>
      </c>
      <c r="AD90" s="772">
        <v>380</v>
      </c>
    </row>
    <row r="91" spans="1:30" ht="20.25" customHeight="1">
      <c r="A91" s="777">
        <v>58</v>
      </c>
      <c r="B91" s="788" t="s">
        <v>659</v>
      </c>
      <c r="C91" s="777" t="s">
        <v>610</v>
      </c>
      <c r="D91" s="777">
        <v>4</v>
      </c>
      <c r="E91" s="1350">
        <f t="shared" si="4"/>
        <v>1873.33</v>
      </c>
      <c r="F91" s="781">
        <f t="shared" si="5"/>
        <v>7493.32</v>
      </c>
      <c r="H91" s="782"/>
      <c r="I91" s="783"/>
      <c r="J91" s="783"/>
      <c r="K91" s="783"/>
      <c r="L91" s="783"/>
      <c r="M91" s="783"/>
      <c r="N91" s="783"/>
      <c r="O91" s="783"/>
      <c r="P91" s="783"/>
      <c r="Q91" s="783"/>
      <c r="R91" s="783"/>
      <c r="S91" s="783"/>
      <c r="T91" s="783"/>
      <c r="U91" s="783"/>
      <c r="V91" s="783"/>
      <c r="W91" s="783"/>
      <c r="X91" s="783"/>
      <c r="Y91" s="783"/>
      <c r="Z91" s="783"/>
      <c r="AA91" s="783"/>
      <c r="AB91" s="772">
        <v>1890</v>
      </c>
      <c r="AC91" s="772">
        <v>1750</v>
      </c>
      <c r="AD91" s="772">
        <v>1980</v>
      </c>
    </row>
    <row r="92" spans="1:30" ht="20.25" customHeight="1">
      <c r="A92" s="777">
        <v>59</v>
      </c>
      <c r="B92" s="788" t="s">
        <v>660</v>
      </c>
      <c r="C92" s="777" t="s">
        <v>610</v>
      </c>
      <c r="D92" s="777">
        <v>1</v>
      </c>
      <c r="E92" s="1350">
        <f t="shared" si="4"/>
        <v>1061.67</v>
      </c>
      <c r="F92" s="781">
        <f t="shared" si="5"/>
        <v>1061.67</v>
      </c>
      <c r="H92" s="782"/>
      <c r="I92" s="783"/>
      <c r="J92" s="783"/>
      <c r="K92" s="783"/>
      <c r="L92" s="783"/>
      <c r="M92" s="783"/>
      <c r="N92" s="783"/>
      <c r="O92" s="783"/>
      <c r="P92" s="783"/>
      <c r="Q92" s="783"/>
      <c r="R92" s="783"/>
      <c r="S92" s="783"/>
      <c r="T92" s="783"/>
      <c r="U92" s="783"/>
      <c r="V92" s="783"/>
      <c r="W92" s="783"/>
      <c r="X92" s="783"/>
      <c r="Y92" s="783"/>
      <c r="Z92" s="783"/>
      <c r="AA92" s="783"/>
      <c r="AB92" s="772">
        <v>1020</v>
      </c>
      <c r="AC92" s="772">
        <v>1045</v>
      </c>
      <c r="AD92" s="772">
        <v>1120</v>
      </c>
    </row>
    <row r="93" spans="1:30" ht="20.25" customHeight="1">
      <c r="A93" s="777">
        <v>60</v>
      </c>
      <c r="B93" s="788" t="s">
        <v>661</v>
      </c>
      <c r="C93" s="777" t="s">
        <v>610</v>
      </c>
      <c r="D93" s="777">
        <v>2</v>
      </c>
      <c r="E93" s="1350">
        <f t="shared" si="4"/>
        <v>85.33</v>
      </c>
      <c r="F93" s="781">
        <f t="shared" si="5"/>
        <v>170.66</v>
      </c>
      <c r="H93" s="782"/>
      <c r="I93" s="783"/>
      <c r="J93" s="783"/>
      <c r="K93" s="783"/>
      <c r="L93" s="783"/>
      <c r="M93" s="783"/>
      <c r="N93" s="783"/>
      <c r="O93" s="783"/>
      <c r="P93" s="783"/>
      <c r="Q93" s="783"/>
      <c r="R93" s="783"/>
      <c r="S93" s="783"/>
      <c r="T93" s="783"/>
      <c r="U93" s="783"/>
      <c r="V93" s="783"/>
      <c r="W93" s="783"/>
      <c r="X93" s="783"/>
      <c r="Y93" s="783"/>
      <c r="Z93" s="783"/>
      <c r="AA93" s="783"/>
      <c r="AB93" s="772">
        <v>80</v>
      </c>
      <c r="AC93" s="772">
        <v>84</v>
      </c>
      <c r="AD93" s="772">
        <v>92</v>
      </c>
    </row>
    <row r="94" spans="1:30" ht="20.25" customHeight="1">
      <c r="A94" s="777">
        <v>61</v>
      </c>
      <c r="B94" s="788" t="s">
        <v>662</v>
      </c>
      <c r="C94" s="777" t="s">
        <v>610</v>
      </c>
      <c r="D94" s="777">
        <v>2</v>
      </c>
      <c r="E94" s="1350">
        <f t="shared" si="4"/>
        <v>317.67</v>
      </c>
      <c r="F94" s="781">
        <f t="shared" si="5"/>
        <v>635.34</v>
      </c>
      <c r="H94" s="782"/>
      <c r="I94" s="783"/>
      <c r="J94" s="783"/>
      <c r="K94" s="783"/>
      <c r="L94" s="783"/>
      <c r="M94" s="783"/>
      <c r="N94" s="783"/>
      <c r="O94" s="783"/>
      <c r="P94" s="783"/>
      <c r="Q94" s="783"/>
      <c r="R94" s="783"/>
      <c r="S94" s="783"/>
      <c r="T94" s="783"/>
      <c r="U94" s="783"/>
      <c r="V94" s="783"/>
      <c r="W94" s="783"/>
      <c r="X94" s="783"/>
      <c r="Y94" s="783"/>
      <c r="Z94" s="783"/>
      <c r="AA94" s="783"/>
      <c r="AB94" s="772">
        <v>310</v>
      </c>
      <c r="AC94" s="772">
        <v>303</v>
      </c>
      <c r="AD94" s="772">
        <v>340</v>
      </c>
    </row>
    <row r="95" spans="1:30" ht="20.25" customHeight="1">
      <c r="A95" s="777">
        <v>62</v>
      </c>
      <c r="B95" s="788" t="s">
        <v>663</v>
      </c>
      <c r="C95" s="777" t="s">
        <v>610</v>
      </c>
      <c r="D95" s="777">
        <v>2</v>
      </c>
      <c r="E95" s="1350">
        <f t="shared" si="4"/>
        <v>1766.67</v>
      </c>
      <c r="F95" s="781">
        <f t="shared" si="5"/>
        <v>3533.34</v>
      </c>
      <c r="H95" s="782"/>
      <c r="I95" s="783"/>
      <c r="J95" s="783"/>
      <c r="K95" s="783"/>
      <c r="L95" s="783"/>
      <c r="M95" s="783"/>
      <c r="N95" s="783"/>
      <c r="O95" s="783"/>
      <c r="P95" s="783"/>
      <c r="Q95" s="783"/>
      <c r="R95" s="783"/>
      <c r="S95" s="783"/>
      <c r="T95" s="783"/>
      <c r="U95" s="783"/>
      <c r="V95" s="783"/>
      <c r="W95" s="783"/>
      <c r="X95" s="783"/>
      <c r="Y95" s="783"/>
      <c r="Z95" s="783"/>
      <c r="AA95" s="783"/>
      <c r="AB95" s="772">
        <v>1730</v>
      </c>
      <c r="AC95" s="772">
        <v>1640</v>
      </c>
      <c r="AD95" s="772">
        <v>1930</v>
      </c>
    </row>
    <row r="96" spans="1:30" ht="20.25" customHeight="1">
      <c r="A96" s="777">
        <v>63</v>
      </c>
      <c r="B96" s="788" t="s">
        <v>664</v>
      </c>
      <c r="C96" s="777" t="s">
        <v>610</v>
      </c>
      <c r="D96" s="777">
        <v>2</v>
      </c>
      <c r="E96" s="1350">
        <f t="shared" si="4"/>
        <v>1210</v>
      </c>
      <c r="F96" s="781">
        <f t="shared" si="5"/>
        <v>2420</v>
      </c>
      <c r="H96" s="782"/>
      <c r="I96" s="783"/>
      <c r="J96" s="783"/>
      <c r="K96" s="783"/>
      <c r="L96" s="783"/>
      <c r="M96" s="783"/>
      <c r="N96" s="783"/>
      <c r="O96" s="783"/>
      <c r="P96" s="783"/>
      <c r="Q96" s="783"/>
      <c r="R96" s="783"/>
      <c r="S96" s="783"/>
      <c r="T96" s="783"/>
      <c r="U96" s="783"/>
      <c r="V96" s="783"/>
      <c r="W96" s="783"/>
      <c r="X96" s="783"/>
      <c r="Y96" s="783"/>
      <c r="Z96" s="783"/>
      <c r="AA96" s="783"/>
      <c r="AB96" s="772">
        <v>1150</v>
      </c>
      <c r="AC96" s="772">
        <v>1160</v>
      </c>
      <c r="AD96" s="772">
        <v>1320</v>
      </c>
    </row>
    <row r="97" spans="1:30" ht="20.25" customHeight="1">
      <c r="A97" s="777">
        <v>64</v>
      </c>
      <c r="B97" s="788" t="s">
        <v>665</v>
      </c>
      <c r="C97" s="777" t="s">
        <v>610</v>
      </c>
      <c r="D97" s="777">
        <v>4</v>
      </c>
      <c r="E97" s="1350">
        <f t="shared" si="4"/>
        <v>105</v>
      </c>
      <c r="F97" s="781">
        <f t="shared" si="5"/>
        <v>420</v>
      </c>
      <c r="H97" s="782"/>
      <c r="I97" s="783"/>
      <c r="J97" s="783"/>
      <c r="K97" s="783"/>
      <c r="L97" s="783"/>
      <c r="M97" s="783"/>
      <c r="N97" s="783"/>
      <c r="O97" s="783"/>
      <c r="P97" s="783"/>
      <c r="Q97" s="783"/>
      <c r="R97" s="783"/>
      <c r="S97" s="783"/>
      <c r="T97" s="783"/>
      <c r="U97" s="783"/>
      <c r="V97" s="783"/>
      <c r="W97" s="783"/>
      <c r="X97" s="783"/>
      <c r="Y97" s="783"/>
      <c r="Z97" s="783"/>
      <c r="AA97" s="783"/>
      <c r="AB97" s="772">
        <v>100</v>
      </c>
      <c r="AC97" s="772">
        <v>100</v>
      </c>
      <c r="AD97" s="772">
        <v>115</v>
      </c>
    </row>
    <row r="98" spans="1:30" ht="20.25" customHeight="1">
      <c r="A98" s="777">
        <v>65</v>
      </c>
      <c r="B98" s="788" t="s">
        <v>666</v>
      </c>
      <c r="C98" s="777" t="s">
        <v>610</v>
      </c>
      <c r="D98" s="777">
        <v>2</v>
      </c>
      <c r="E98" s="1350">
        <f t="shared" si="4"/>
        <v>3216.67</v>
      </c>
      <c r="F98" s="781">
        <f t="shared" si="5"/>
        <v>6433.34</v>
      </c>
      <c r="H98" s="782"/>
      <c r="I98" s="783"/>
      <c r="J98" s="783"/>
      <c r="K98" s="783"/>
      <c r="L98" s="783"/>
      <c r="M98" s="783"/>
      <c r="N98" s="783"/>
      <c r="O98" s="783"/>
      <c r="P98" s="783"/>
      <c r="Q98" s="783"/>
      <c r="R98" s="783"/>
      <c r="S98" s="783"/>
      <c r="T98" s="783"/>
      <c r="U98" s="783"/>
      <c r="V98" s="783"/>
      <c r="W98" s="783"/>
      <c r="X98" s="783"/>
      <c r="Y98" s="783"/>
      <c r="Z98" s="783"/>
      <c r="AA98" s="783"/>
      <c r="AB98" s="772">
        <v>3200</v>
      </c>
      <c r="AC98" s="772">
        <v>3100</v>
      </c>
      <c r="AD98" s="772">
        <v>3350</v>
      </c>
    </row>
    <row r="99" spans="1:30" ht="20.25" customHeight="1">
      <c r="A99" s="777">
        <v>66</v>
      </c>
      <c r="B99" s="788" t="s">
        <v>667</v>
      </c>
      <c r="C99" s="777" t="s">
        <v>610</v>
      </c>
      <c r="D99" s="777">
        <v>2</v>
      </c>
      <c r="E99" s="1350">
        <f t="shared" si="4"/>
        <v>353.67</v>
      </c>
      <c r="F99" s="781">
        <f t="shared" si="5"/>
        <v>707.34</v>
      </c>
      <c r="H99" s="782"/>
      <c r="I99" s="783"/>
      <c r="J99" s="783"/>
      <c r="K99" s="783"/>
      <c r="L99" s="783"/>
      <c r="M99" s="783"/>
      <c r="N99" s="783"/>
      <c r="O99" s="783"/>
      <c r="P99" s="783"/>
      <c r="Q99" s="783"/>
      <c r="R99" s="783"/>
      <c r="S99" s="783"/>
      <c r="T99" s="783"/>
      <c r="U99" s="783"/>
      <c r="V99" s="783"/>
      <c r="W99" s="783"/>
      <c r="X99" s="783"/>
      <c r="Y99" s="783"/>
      <c r="Z99" s="783"/>
      <c r="AA99" s="783"/>
      <c r="AB99" s="772">
        <v>348</v>
      </c>
      <c r="AC99" s="772">
        <v>348</v>
      </c>
      <c r="AD99" s="772">
        <v>365</v>
      </c>
    </row>
    <row r="100" spans="1:30" ht="20.25" customHeight="1">
      <c r="A100" s="777">
        <v>67</v>
      </c>
      <c r="B100" s="788" t="s">
        <v>668</v>
      </c>
      <c r="C100" s="777" t="s">
        <v>610</v>
      </c>
      <c r="D100" s="777">
        <v>4</v>
      </c>
      <c r="E100" s="1350">
        <f t="shared" si="4"/>
        <v>165</v>
      </c>
      <c r="F100" s="781">
        <f t="shared" si="5"/>
        <v>660</v>
      </c>
      <c r="H100" s="782"/>
      <c r="I100" s="783"/>
      <c r="J100" s="783"/>
      <c r="K100" s="783"/>
      <c r="L100" s="783"/>
      <c r="M100" s="783"/>
      <c r="N100" s="783"/>
      <c r="O100" s="783"/>
      <c r="P100" s="783"/>
      <c r="Q100" s="783"/>
      <c r="R100" s="783"/>
      <c r="S100" s="783"/>
      <c r="T100" s="783"/>
      <c r="U100" s="783"/>
      <c r="V100" s="783"/>
      <c r="W100" s="783"/>
      <c r="X100" s="783"/>
      <c r="Y100" s="783"/>
      <c r="Z100" s="783"/>
      <c r="AA100" s="783"/>
      <c r="AB100" s="772">
        <v>150</v>
      </c>
      <c r="AC100" s="772">
        <v>160</v>
      </c>
      <c r="AD100" s="772">
        <v>185</v>
      </c>
    </row>
    <row r="101" spans="1:30" ht="20.25" customHeight="1">
      <c r="A101" s="777">
        <v>68</v>
      </c>
      <c r="B101" s="788" t="s">
        <v>669</v>
      </c>
      <c r="C101" s="777" t="s">
        <v>610</v>
      </c>
      <c r="D101" s="777">
        <v>4</v>
      </c>
      <c r="E101" s="1350">
        <f t="shared" si="4"/>
        <v>118.67</v>
      </c>
      <c r="F101" s="781">
        <f t="shared" si="5"/>
        <v>474.68</v>
      </c>
      <c r="H101" s="782"/>
      <c r="I101" s="783"/>
      <c r="J101" s="783"/>
      <c r="K101" s="783"/>
      <c r="L101" s="783"/>
      <c r="M101" s="783"/>
      <c r="N101" s="783"/>
      <c r="O101" s="783"/>
      <c r="P101" s="783"/>
      <c r="Q101" s="783"/>
      <c r="R101" s="783"/>
      <c r="S101" s="783"/>
      <c r="T101" s="783"/>
      <c r="U101" s="783"/>
      <c r="V101" s="783"/>
      <c r="W101" s="783"/>
      <c r="X101" s="783"/>
      <c r="Y101" s="783"/>
      <c r="Z101" s="783"/>
      <c r="AA101" s="783"/>
      <c r="AB101" s="772">
        <v>115</v>
      </c>
      <c r="AC101" s="772">
        <v>116</v>
      </c>
      <c r="AD101" s="772">
        <v>125</v>
      </c>
    </row>
    <row r="102" spans="1:30" ht="20.25" customHeight="1">
      <c r="A102" s="777">
        <v>69</v>
      </c>
      <c r="B102" s="788" t="s">
        <v>670</v>
      </c>
      <c r="C102" s="777" t="s">
        <v>610</v>
      </c>
      <c r="D102" s="777">
        <v>4</v>
      </c>
      <c r="E102" s="1350">
        <f t="shared" si="4"/>
        <v>132</v>
      </c>
      <c r="F102" s="781">
        <f t="shared" si="5"/>
        <v>528</v>
      </c>
      <c r="H102" s="782"/>
      <c r="I102" s="783"/>
      <c r="J102" s="783"/>
      <c r="K102" s="783"/>
      <c r="L102" s="783"/>
      <c r="M102" s="783"/>
      <c r="N102" s="783"/>
      <c r="O102" s="783"/>
      <c r="P102" s="783"/>
      <c r="Q102" s="783"/>
      <c r="R102" s="783"/>
      <c r="S102" s="783"/>
      <c r="T102" s="783"/>
      <c r="U102" s="783"/>
      <c r="V102" s="783"/>
      <c r="W102" s="783"/>
      <c r="X102" s="783"/>
      <c r="Y102" s="783"/>
      <c r="Z102" s="783"/>
      <c r="AA102" s="783"/>
      <c r="AB102" s="772">
        <v>125</v>
      </c>
      <c r="AC102" s="772">
        <v>126</v>
      </c>
      <c r="AD102" s="772">
        <v>145</v>
      </c>
    </row>
    <row r="103" spans="1:30" ht="20.25" customHeight="1">
      <c r="A103" s="777">
        <v>70</v>
      </c>
      <c r="B103" s="788" t="s">
        <v>671</v>
      </c>
      <c r="C103" s="777" t="s">
        <v>610</v>
      </c>
      <c r="D103" s="777">
        <v>8</v>
      </c>
      <c r="E103" s="1350">
        <f t="shared" si="4"/>
        <v>60.33</v>
      </c>
      <c r="F103" s="781">
        <f t="shared" si="5"/>
        <v>482.64</v>
      </c>
      <c r="H103" s="782"/>
      <c r="I103" s="783"/>
      <c r="J103" s="783"/>
      <c r="K103" s="783"/>
      <c r="L103" s="783"/>
      <c r="M103" s="783"/>
      <c r="N103" s="783"/>
      <c r="O103" s="783"/>
      <c r="P103" s="783"/>
      <c r="Q103" s="783"/>
      <c r="R103" s="783"/>
      <c r="S103" s="783"/>
      <c r="T103" s="783"/>
      <c r="U103" s="783"/>
      <c r="V103" s="783"/>
      <c r="W103" s="783"/>
      <c r="X103" s="783"/>
      <c r="Y103" s="783"/>
      <c r="Z103" s="783"/>
      <c r="AA103" s="783"/>
      <c r="AB103" s="772">
        <v>59</v>
      </c>
      <c r="AC103" s="772">
        <v>53</v>
      </c>
      <c r="AD103" s="772">
        <v>69</v>
      </c>
    </row>
    <row r="104" spans="1:30" ht="20.25" customHeight="1">
      <c r="A104" s="777">
        <v>71</v>
      </c>
      <c r="B104" s="788" t="s">
        <v>672</v>
      </c>
      <c r="C104" s="777" t="s">
        <v>610</v>
      </c>
      <c r="D104" s="777">
        <v>1</v>
      </c>
      <c r="E104" s="1350">
        <f t="shared" si="4"/>
        <v>972</v>
      </c>
      <c r="F104" s="781">
        <f t="shared" si="5"/>
        <v>972</v>
      </c>
      <c r="H104" s="782"/>
      <c r="I104" s="783"/>
      <c r="J104" s="783"/>
      <c r="K104" s="783"/>
      <c r="L104" s="783"/>
      <c r="M104" s="783"/>
      <c r="N104" s="783"/>
      <c r="O104" s="783"/>
      <c r="P104" s="783"/>
      <c r="Q104" s="783"/>
      <c r="R104" s="783"/>
      <c r="S104" s="783"/>
      <c r="T104" s="783"/>
      <c r="U104" s="783"/>
      <c r="V104" s="783"/>
      <c r="W104" s="783"/>
      <c r="X104" s="783"/>
      <c r="Y104" s="783"/>
      <c r="Z104" s="783"/>
      <c r="AA104" s="783"/>
      <c r="AB104" s="772">
        <v>968</v>
      </c>
      <c r="AC104" s="772">
        <v>950</v>
      </c>
      <c r="AD104" s="772">
        <v>998</v>
      </c>
    </row>
    <row r="105" spans="1:30" ht="20.25" customHeight="1">
      <c r="A105" s="777">
        <v>72</v>
      </c>
      <c r="B105" s="788" t="s">
        <v>673</v>
      </c>
      <c r="C105" s="777" t="s">
        <v>610</v>
      </c>
      <c r="D105" s="777">
        <v>1</v>
      </c>
      <c r="E105" s="1350">
        <f t="shared" si="4"/>
        <v>989.33</v>
      </c>
      <c r="F105" s="781">
        <f t="shared" si="5"/>
        <v>989.33</v>
      </c>
      <c r="H105" s="782"/>
      <c r="I105" s="783"/>
      <c r="J105" s="783"/>
      <c r="K105" s="783"/>
      <c r="L105" s="783"/>
      <c r="M105" s="783"/>
      <c r="N105" s="783"/>
      <c r="O105" s="783"/>
      <c r="P105" s="783"/>
      <c r="Q105" s="783"/>
      <c r="R105" s="783"/>
      <c r="S105" s="783"/>
      <c r="T105" s="783"/>
      <c r="U105" s="783"/>
      <c r="V105" s="783"/>
      <c r="W105" s="783"/>
      <c r="X105" s="783"/>
      <c r="Y105" s="783"/>
      <c r="Z105" s="783"/>
      <c r="AA105" s="783"/>
      <c r="AB105" s="772">
        <v>968</v>
      </c>
      <c r="AC105" s="772">
        <v>940</v>
      </c>
      <c r="AD105" s="772">
        <v>1060</v>
      </c>
    </row>
    <row r="106" spans="1:30" ht="20.25" customHeight="1">
      <c r="A106" s="777">
        <v>73</v>
      </c>
      <c r="B106" s="788" t="s">
        <v>674</v>
      </c>
      <c r="C106" s="777" t="s">
        <v>610</v>
      </c>
      <c r="D106" s="777">
        <v>12</v>
      </c>
      <c r="E106" s="1350">
        <f t="shared" si="4"/>
        <v>95</v>
      </c>
      <c r="F106" s="781">
        <f t="shared" si="5"/>
        <v>1140</v>
      </c>
      <c r="H106" s="782"/>
      <c r="I106" s="783"/>
      <c r="J106" s="783"/>
      <c r="K106" s="783"/>
      <c r="L106" s="783"/>
      <c r="M106" s="783"/>
      <c r="N106" s="783"/>
      <c r="O106" s="783"/>
      <c r="P106" s="783"/>
      <c r="Q106" s="783"/>
      <c r="R106" s="783"/>
      <c r="S106" s="783"/>
      <c r="T106" s="783"/>
      <c r="U106" s="783"/>
      <c r="V106" s="783"/>
      <c r="W106" s="783"/>
      <c r="X106" s="783"/>
      <c r="Y106" s="783"/>
      <c r="Z106" s="783"/>
      <c r="AA106" s="783"/>
      <c r="AB106" s="772">
        <v>96</v>
      </c>
      <c r="AC106" s="772">
        <v>86</v>
      </c>
      <c r="AD106" s="772">
        <v>103</v>
      </c>
    </row>
    <row r="107" spans="1:30" ht="20.25" customHeight="1">
      <c r="A107" s="777">
        <v>74</v>
      </c>
      <c r="B107" s="788" t="s">
        <v>675</v>
      </c>
      <c r="C107" s="777" t="s">
        <v>610</v>
      </c>
      <c r="D107" s="777">
        <v>4</v>
      </c>
      <c r="E107" s="1350">
        <f t="shared" si="4"/>
        <v>2486.67</v>
      </c>
      <c r="F107" s="781">
        <f t="shared" si="5"/>
        <v>9946.68</v>
      </c>
      <c r="H107" s="782"/>
      <c r="I107" s="783"/>
      <c r="J107" s="783"/>
      <c r="K107" s="783"/>
      <c r="L107" s="783"/>
      <c r="M107" s="783"/>
      <c r="N107" s="783"/>
      <c r="O107" s="783"/>
      <c r="P107" s="783"/>
      <c r="Q107" s="783"/>
      <c r="R107" s="783"/>
      <c r="S107" s="783"/>
      <c r="T107" s="783"/>
      <c r="U107" s="783"/>
      <c r="V107" s="783"/>
      <c r="W107" s="783"/>
      <c r="X107" s="783"/>
      <c r="Y107" s="783"/>
      <c r="Z107" s="783"/>
      <c r="AA107" s="783"/>
      <c r="AB107" s="772">
        <v>2500</v>
      </c>
      <c r="AC107" s="772">
        <v>2100</v>
      </c>
      <c r="AD107" s="772">
        <v>2860</v>
      </c>
    </row>
    <row r="108" spans="1:30" ht="20.25" customHeight="1">
      <c r="A108" s="777">
        <v>75</v>
      </c>
      <c r="B108" s="788" t="s">
        <v>676</v>
      </c>
      <c r="C108" s="777" t="s">
        <v>610</v>
      </c>
      <c r="D108" s="777">
        <v>2</v>
      </c>
      <c r="E108" s="1350">
        <f t="shared" si="4"/>
        <v>316.67</v>
      </c>
      <c r="F108" s="781">
        <f t="shared" si="5"/>
        <v>633.34</v>
      </c>
      <c r="H108" s="782"/>
      <c r="I108" s="783"/>
      <c r="J108" s="783"/>
      <c r="K108" s="783"/>
      <c r="L108" s="783"/>
      <c r="M108" s="783"/>
      <c r="N108" s="783"/>
      <c r="O108" s="783"/>
      <c r="P108" s="783"/>
      <c r="Q108" s="783"/>
      <c r="R108" s="783"/>
      <c r="S108" s="783"/>
      <c r="T108" s="783"/>
      <c r="U108" s="783"/>
      <c r="V108" s="783"/>
      <c r="W108" s="783"/>
      <c r="X108" s="783"/>
      <c r="Y108" s="783"/>
      <c r="Z108" s="783"/>
      <c r="AA108" s="783"/>
      <c r="AB108" s="772">
        <v>310</v>
      </c>
      <c r="AC108" s="772">
        <v>320</v>
      </c>
      <c r="AD108" s="772">
        <v>320</v>
      </c>
    </row>
    <row r="109" spans="1:30" ht="20.25" customHeight="1">
      <c r="A109" s="777">
        <v>76</v>
      </c>
      <c r="B109" s="788" t="s">
        <v>677</v>
      </c>
      <c r="C109" s="777" t="s">
        <v>678</v>
      </c>
      <c r="D109" s="777">
        <v>60</v>
      </c>
      <c r="E109" s="1350">
        <f t="shared" si="4"/>
        <v>58.33</v>
      </c>
      <c r="F109" s="781">
        <f t="shared" si="5"/>
        <v>3499.7999999999997</v>
      </c>
      <c r="H109" s="782"/>
      <c r="I109" s="783"/>
      <c r="J109" s="783"/>
      <c r="K109" s="783"/>
      <c r="L109" s="783"/>
      <c r="M109" s="783"/>
      <c r="N109" s="783"/>
      <c r="O109" s="783"/>
      <c r="P109" s="783"/>
      <c r="Q109" s="783"/>
      <c r="R109" s="783"/>
      <c r="S109" s="783"/>
      <c r="T109" s="783"/>
      <c r="U109" s="783"/>
      <c r="V109" s="783"/>
      <c r="W109" s="783"/>
      <c r="X109" s="783"/>
      <c r="Y109" s="783"/>
      <c r="Z109" s="783"/>
      <c r="AA109" s="783"/>
      <c r="AB109" s="772">
        <v>55</v>
      </c>
      <c r="AC109" s="772">
        <v>52</v>
      </c>
      <c r="AD109" s="772">
        <v>68</v>
      </c>
    </row>
    <row r="110" spans="1:30" ht="20.25" customHeight="1">
      <c r="A110" s="777">
        <v>77</v>
      </c>
      <c r="B110" s="788" t="s">
        <v>679</v>
      </c>
      <c r="C110" s="777" t="s">
        <v>610</v>
      </c>
      <c r="D110" s="777">
        <v>2</v>
      </c>
      <c r="E110" s="1350">
        <f t="shared" si="4"/>
        <v>298.33</v>
      </c>
      <c r="F110" s="781">
        <f t="shared" si="5"/>
        <v>596.66</v>
      </c>
      <c r="H110" s="782"/>
      <c r="I110" s="783"/>
      <c r="J110" s="783"/>
      <c r="K110" s="783"/>
      <c r="L110" s="783"/>
      <c r="M110" s="783"/>
      <c r="N110" s="783"/>
      <c r="O110" s="783"/>
      <c r="P110" s="783"/>
      <c r="Q110" s="783"/>
      <c r="R110" s="783"/>
      <c r="S110" s="783"/>
      <c r="T110" s="783"/>
      <c r="U110" s="783"/>
      <c r="V110" s="783"/>
      <c r="W110" s="783"/>
      <c r="X110" s="783"/>
      <c r="Y110" s="783"/>
      <c r="Z110" s="783"/>
      <c r="AA110" s="783"/>
      <c r="AB110" s="772">
        <v>295</v>
      </c>
      <c r="AC110" s="772">
        <v>280</v>
      </c>
      <c r="AD110" s="772">
        <v>320</v>
      </c>
    </row>
    <row r="111" spans="1:30" ht="20.25" customHeight="1">
      <c r="A111" s="777">
        <v>78</v>
      </c>
      <c r="B111" s="788" t="s">
        <v>680</v>
      </c>
      <c r="C111" s="777" t="s">
        <v>678</v>
      </c>
      <c r="D111" s="777">
        <v>2</v>
      </c>
      <c r="E111" s="1350">
        <f t="shared" si="4"/>
        <v>37.33</v>
      </c>
      <c r="F111" s="781">
        <f t="shared" si="5"/>
        <v>74.66</v>
      </c>
      <c r="H111" s="782"/>
      <c r="I111" s="783"/>
      <c r="J111" s="783"/>
      <c r="K111" s="783"/>
      <c r="L111" s="783"/>
      <c r="M111" s="783"/>
      <c r="N111" s="783"/>
      <c r="O111" s="783"/>
      <c r="P111" s="783"/>
      <c r="Q111" s="783"/>
      <c r="R111" s="783"/>
      <c r="S111" s="783"/>
      <c r="T111" s="783"/>
      <c r="U111" s="783"/>
      <c r="V111" s="783"/>
      <c r="W111" s="783"/>
      <c r="X111" s="783"/>
      <c r="Y111" s="783"/>
      <c r="Z111" s="783"/>
      <c r="AA111" s="783"/>
      <c r="AB111" s="772">
        <v>35</v>
      </c>
      <c r="AC111" s="772">
        <v>35</v>
      </c>
      <c r="AD111" s="772">
        <v>42</v>
      </c>
    </row>
    <row r="112" spans="1:30" ht="20.25" customHeight="1">
      <c r="A112" s="777">
        <v>79</v>
      </c>
      <c r="B112" s="788" t="s">
        <v>681</v>
      </c>
      <c r="C112" s="777" t="s">
        <v>610</v>
      </c>
      <c r="D112" s="777">
        <v>4</v>
      </c>
      <c r="E112" s="1350">
        <f t="shared" si="4"/>
        <v>103.67</v>
      </c>
      <c r="F112" s="781">
        <f t="shared" si="5"/>
        <v>414.68</v>
      </c>
      <c r="H112" s="782"/>
      <c r="I112" s="783"/>
      <c r="J112" s="783"/>
      <c r="K112" s="783"/>
      <c r="L112" s="783"/>
      <c r="M112" s="783"/>
      <c r="N112" s="783"/>
      <c r="O112" s="783"/>
      <c r="P112" s="783"/>
      <c r="Q112" s="783"/>
      <c r="R112" s="783"/>
      <c r="S112" s="783"/>
      <c r="T112" s="783"/>
      <c r="U112" s="783"/>
      <c r="V112" s="783"/>
      <c r="W112" s="783"/>
      <c r="X112" s="783"/>
      <c r="Y112" s="783"/>
      <c r="Z112" s="783"/>
      <c r="AA112" s="783"/>
      <c r="AB112" s="772">
        <v>90</v>
      </c>
      <c r="AC112" s="772">
        <v>91</v>
      </c>
      <c r="AD112" s="772">
        <v>130</v>
      </c>
    </row>
    <row r="113" spans="1:30" ht="20.25" customHeight="1">
      <c r="A113" s="777">
        <v>80</v>
      </c>
      <c r="B113" s="788" t="s">
        <v>682</v>
      </c>
      <c r="C113" s="777" t="s">
        <v>610</v>
      </c>
      <c r="D113" s="777">
        <v>1</v>
      </c>
      <c r="E113" s="1350">
        <f t="shared" si="4"/>
        <v>268.33</v>
      </c>
      <c r="F113" s="781">
        <f t="shared" si="5"/>
        <v>268.33</v>
      </c>
      <c r="H113" s="782"/>
      <c r="I113" s="783"/>
      <c r="J113" s="783"/>
      <c r="K113" s="783"/>
      <c r="L113" s="783"/>
      <c r="M113" s="783"/>
      <c r="N113" s="783"/>
      <c r="O113" s="783"/>
      <c r="P113" s="783"/>
      <c r="Q113" s="783"/>
      <c r="R113" s="783"/>
      <c r="S113" s="783"/>
      <c r="T113" s="783"/>
      <c r="U113" s="783"/>
      <c r="V113" s="783"/>
      <c r="W113" s="783"/>
      <c r="X113" s="783"/>
      <c r="Y113" s="783"/>
      <c r="Z113" s="783"/>
      <c r="AA113" s="783"/>
      <c r="AB113" s="772">
        <v>245</v>
      </c>
      <c r="AC113" s="772">
        <v>250</v>
      </c>
      <c r="AD113" s="772">
        <v>310</v>
      </c>
    </row>
    <row r="114" spans="1:30" ht="20.25" customHeight="1">
      <c r="A114" s="777">
        <v>81</v>
      </c>
      <c r="B114" s="788" t="s">
        <v>683</v>
      </c>
      <c r="C114" s="777" t="s">
        <v>610</v>
      </c>
      <c r="D114" s="777">
        <v>6</v>
      </c>
      <c r="E114" s="1350">
        <f t="shared" si="4"/>
        <v>49.67</v>
      </c>
      <c r="F114" s="781">
        <f t="shared" si="5"/>
        <v>298.02</v>
      </c>
      <c r="H114" s="782"/>
      <c r="I114" s="783"/>
      <c r="J114" s="783"/>
      <c r="K114" s="783"/>
      <c r="L114" s="783"/>
      <c r="M114" s="783"/>
      <c r="N114" s="783"/>
      <c r="O114" s="783"/>
      <c r="P114" s="783"/>
      <c r="Q114" s="783"/>
      <c r="R114" s="783"/>
      <c r="S114" s="783"/>
      <c r="T114" s="783"/>
      <c r="U114" s="783"/>
      <c r="V114" s="783"/>
      <c r="W114" s="783"/>
      <c r="X114" s="783"/>
      <c r="Y114" s="783"/>
      <c r="Z114" s="783"/>
      <c r="AA114" s="783"/>
      <c r="AB114" s="772">
        <v>49</v>
      </c>
      <c r="AC114" s="772">
        <v>45</v>
      </c>
      <c r="AD114" s="772">
        <v>55</v>
      </c>
    </row>
    <row r="115" spans="1:30" ht="20.25" customHeight="1">
      <c r="A115" s="777">
        <v>82</v>
      </c>
      <c r="B115" s="788" t="s">
        <v>684</v>
      </c>
      <c r="C115" s="777" t="s">
        <v>610</v>
      </c>
      <c r="D115" s="777">
        <v>1</v>
      </c>
      <c r="E115" s="1350">
        <f t="shared" si="4"/>
        <v>128.33000000000001</v>
      </c>
      <c r="F115" s="781">
        <f t="shared" si="5"/>
        <v>128.33000000000001</v>
      </c>
      <c r="H115" s="782"/>
      <c r="I115" s="783"/>
      <c r="J115" s="783"/>
      <c r="K115" s="783"/>
      <c r="L115" s="783"/>
      <c r="M115" s="783"/>
      <c r="N115" s="783"/>
      <c r="O115" s="783"/>
      <c r="P115" s="783"/>
      <c r="Q115" s="783"/>
      <c r="R115" s="783"/>
      <c r="S115" s="783"/>
      <c r="T115" s="783"/>
      <c r="U115" s="783"/>
      <c r="V115" s="783"/>
      <c r="W115" s="783"/>
      <c r="X115" s="783"/>
      <c r="Y115" s="783"/>
      <c r="Z115" s="783"/>
      <c r="AA115" s="783"/>
      <c r="AB115" s="772">
        <v>120</v>
      </c>
      <c r="AC115" s="772">
        <v>120</v>
      </c>
      <c r="AD115" s="772">
        <v>145</v>
      </c>
    </row>
    <row r="116" spans="1:30" ht="20.25" customHeight="1">
      <c r="A116" s="777">
        <v>83</v>
      </c>
      <c r="B116" s="788" t="s">
        <v>685</v>
      </c>
      <c r="C116" s="777" t="s">
        <v>610</v>
      </c>
      <c r="D116" s="777">
        <v>4</v>
      </c>
      <c r="E116" s="1350">
        <f t="shared" si="4"/>
        <v>49.33</v>
      </c>
      <c r="F116" s="781">
        <f t="shared" si="5"/>
        <v>197.32</v>
      </c>
      <c r="H116" s="782"/>
      <c r="I116" s="783"/>
      <c r="J116" s="783"/>
      <c r="K116" s="783"/>
      <c r="L116" s="783"/>
      <c r="M116" s="783"/>
      <c r="N116" s="783"/>
      <c r="O116" s="783"/>
      <c r="P116" s="783"/>
      <c r="Q116" s="783"/>
      <c r="R116" s="783"/>
      <c r="S116" s="783"/>
      <c r="T116" s="783"/>
      <c r="U116" s="783"/>
      <c r="V116" s="783"/>
      <c r="W116" s="783"/>
      <c r="X116" s="783"/>
      <c r="Y116" s="783"/>
      <c r="Z116" s="783"/>
      <c r="AA116" s="783"/>
      <c r="AB116" s="772">
        <v>45</v>
      </c>
      <c r="AC116" s="772">
        <v>45</v>
      </c>
      <c r="AD116" s="772">
        <v>58</v>
      </c>
    </row>
    <row r="117" spans="1:30" ht="20.25" customHeight="1">
      <c r="A117" s="777">
        <v>84</v>
      </c>
      <c r="B117" s="788" t="s">
        <v>686</v>
      </c>
      <c r="C117" s="777" t="s">
        <v>610</v>
      </c>
      <c r="D117" s="777">
        <v>4</v>
      </c>
      <c r="E117" s="1350">
        <f t="shared" ref="E117:E133" si="6">ROUND(AVERAGE(AB117,AC117,AD117),2)</f>
        <v>255</v>
      </c>
      <c r="F117" s="781">
        <f t="shared" ref="F117:F133" si="7">D117*E117</f>
        <v>1020</v>
      </c>
      <c r="H117" s="782"/>
      <c r="I117" s="783"/>
      <c r="J117" s="783"/>
      <c r="K117" s="783"/>
      <c r="L117" s="783"/>
      <c r="M117" s="783"/>
      <c r="N117" s="783"/>
      <c r="O117" s="783"/>
      <c r="P117" s="783"/>
      <c r="Q117" s="783"/>
      <c r="R117" s="783"/>
      <c r="S117" s="783"/>
      <c r="T117" s="783"/>
      <c r="U117" s="783"/>
      <c r="V117" s="783"/>
      <c r="W117" s="783"/>
      <c r="X117" s="783"/>
      <c r="Y117" s="783"/>
      <c r="Z117" s="783"/>
      <c r="AA117" s="783"/>
      <c r="AB117" s="772">
        <v>235</v>
      </c>
      <c r="AC117" s="772">
        <v>250</v>
      </c>
      <c r="AD117" s="772">
        <v>280</v>
      </c>
    </row>
    <row r="118" spans="1:30" ht="20.25" customHeight="1">
      <c r="A118" s="777">
        <v>85</v>
      </c>
      <c r="B118" s="788" t="s">
        <v>687</v>
      </c>
      <c r="C118" s="777" t="s">
        <v>610</v>
      </c>
      <c r="D118" s="777">
        <v>2</v>
      </c>
      <c r="E118" s="1350">
        <f t="shared" si="6"/>
        <v>175</v>
      </c>
      <c r="F118" s="781">
        <f t="shared" si="7"/>
        <v>350</v>
      </c>
      <c r="H118" s="782"/>
      <c r="I118" s="783"/>
      <c r="J118" s="783"/>
      <c r="K118" s="783"/>
      <c r="L118" s="783"/>
      <c r="M118" s="783"/>
      <c r="N118" s="783"/>
      <c r="O118" s="783"/>
      <c r="P118" s="783"/>
      <c r="Q118" s="783"/>
      <c r="R118" s="783"/>
      <c r="S118" s="783"/>
      <c r="T118" s="783"/>
      <c r="U118" s="783"/>
      <c r="V118" s="783"/>
      <c r="W118" s="783"/>
      <c r="X118" s="783"/>
      <c r="Y118" s="783"/>
      <c r="Z118" s="783"/>
      <c r="AA118" s="783"/>
      <c r="AB118" s="772">
        <v>168</v>
      </c>
      <c r="AC118" s="772">
        <v>168</v>
      </c>
      <c r="AD118" s="772">
        <v>189</v>
      </c>
    </row>
    <row r="119" spans="1:30" ht="20.25" customHeight="1">
      <c r="A119" s="777">
        <v>86</v>
      </c>
      <c r="B119" s="788" t="s">
        <v>688</v>
      </c>
      <c r="C119" s="777" t="s">
        <v>610</v>
      </c>
      <c r="D119" s="777">
        <v>4</v>
      </c>
      <c r="E119" s="1350">
        <f t="shared" si="6"/>
        <v>82.33</v>
      </c>
      <c r="F119" s="781">
        <f t="shared" si="7"/>
        <v>329.32</v>
      </c>
      <c r="H119" s="782"/>
      <c r="I119" s="783"/>
      <c r="J119" s="783"/>
      <c r="K119" s="783"/>
      <c r="L119" s="783"/>
      <c r="M119" s="783"/>
      <c r="N119" s="783"/>
      <c r="O119" s="783"/>
      <c r="P119" s="783"/>
      <c r="Q119" s="783"/>
      <c r="R119" s="783"/>
      <c r="S119" s="783"/>
      <c r="T119" s="783"/>
      <c r="U119" s="783"/>
      <c r="V119" s="783"/>
      <c r="W119" s="783"/>
      <c r="X119" s="783"/>
      <c r="Y119" s="783"/>
      <c r="Z119" s="783"/>
      <c r="AA119" s="783"/>
      <c r="AB119" s="772">
        <v>79</v>
      </c>
      <c r="AC119" s="772">
        <v>73</v>
      </c>
      <c r="AD119" s="772">
        <v>95</v>
      </c>
    </row>
    <row r="120" spans="1:30" ht="20.25" customHeight="1">
      <c r="A120" s="777">
        <v>87</v>
      </c>
      <c r="B120" s="788" t="s">
        <v>689</v>
      </c>
      <c r="C120" s="777" t="s">
        <v>610</v>
      </c>
      <c r="D120" s="777">
        <v>1</v>
      </c>
      <c r="E120" s="1350">
        <f t="shared" si="6"/>
        <v>8225</v>
      </c>
      <c r="F120" s="781">
        <f t="shared" si="7"/>
        <v>8225</v>
      </c>
      <c r="H120" s="782"/>
      <c r="I120" s="783"/>
      <c r="J120" s="783"/>
      <c r="K120" s="783"/>
      <c r="L120" s="783"/>
      <c r="M120" s="783"/>
      <c r="N120" s="783"/>
      <c r="O120" s="783"/>
      <c r="P120" s="783"/>
      <c r="Q120" s="783"/>
      <c r="R120" s="783"/>
      <c r="S120" s="783"/>
      <c r="T120" s="783"/>
      <c r="U120" s="783"/>
      <c r="V120" s="783"/>
      <c r="W120" s="783"/>
      <c r="X120" s="783"/>
      <c r="Y120" s="783"/>
      <c r="Z120" s="783"/>
      <c r="AA120" s="783"/>
      <c r="AB120" s="772">
        <v>8155</v>
      </c>
      <c r="AC120" s="772">
        <v>8200</v>
      </c>
      <c r="AD120" s="772">
        <v>8320</v>
      </c>
    </row>
    <row r="121" spans="1:30" ht="20.25" customHeight="1">
      <c r="A121" s="777">
        <v>88</v>
      </c>
      <c r="B121" s="788" t="s">
        <v>690</v>
      </c>
      <c r="C121" s="777" t="s">
        <v>610</v>
      </c>
      <c r="D121" s="777">
        <v>1</v>
      </c>
      <c r="E121" s="1350">
        <f t="shared" si="6"/>
        <v>16032.33</v>
      </c>
      <c r="F121" s="781">
        <f t="shared" si="7"/>
        <v>16032.33</v>
      </c>
      <c r="H121" s="782"/>
      <c r="I121" s="783"/>
      <c r="J121" s="783"/>
      <c r="K121" s="783"/>
      <c r="L121" s="783"/>
      <c r="M121" s="783"/>
      <c r="N121" s="783"/>
      <c r="O121" s="783"/>
      <c r="P121" s="783"/>
      <c r="Q121" s="783"/>
      <c r="R121" s="783"/>
      <c r="S121" s="783"/>
      <c r="T121" s="783"/>
      <c r="U121" s="783"/>
      <c r="V121" s="783"/>
      <c r="W121" s="783"/>
      <c r="X121" s="783"/>
      <c r="Y121" s="783"/>
      <c r="Z121" s="783"/>
      <c r="AA121" s="783"/>
      <c r="AB121" s="772">
        <v>15997</v>
      </c>
      <c r="AC121" s="772">
        <v>16000</v>
      </c>
      <c r="AD121" s="772">
        <v>16100</v>
      </c>
    </row>
    <row r="122" spans="1:30" ht="20.25" customHeight="1">
      <c r="A122" s="777">
        <v>89</v>
      </c>
      <c r="B122" s="788" t="s">
        <v>691</v>
      </c>
      <c r="C122" s="777" t="s">
        <v>610</v>
      </c>
      <c r="D122" s="777">
        <v>1</v>
      </c>
      <c r="E122" s="1350">
        <f t="shared" si="6"/>
        <v>1170</v>
      </c>
      <c r="F122" s="781">
        <f t="shared" si="7"/>
        <v>1170</v>
      </c>
      <c r="H122" s="782"/>
      <c r="I122" s="783"/>
      <c r="J122" s="783"/>
      <c r="K122" s="783"/>
      <c r="L122" s="783"/>
      <c r="M122" s="783"/>
      <c r="N122" s="783"/>
      <c r="O122" s="783"/>
      <c r="P122" s="783"/>
      <c r="Q122" s="783"/>
      <c r="R122" s="783"/>
      <c r="S122" s="783"/>
      <c r="T122" s="783"/>
      <c r="U122" s="783"/>
      <c r="V122" s="783"/>
      <c r="W122" s="783"/>
      <c r="X122" s="783"/>
      <c r="Y122" s="783"/>
      <c r="Z122" s="783"/>
      <c r="AA122" s="783"/>
      <c r="AB122" s="772">
        <v>1100</v>
      </c>
      <c r="AC122" s="772">
        <v>1200</v>
      </c>
      <c r="AD122" s="772">
        <v>1210</v>
      </c>
    </row>
    <row r="123" spans="1:30" ht="20.25" customHeight="1">
      <c r="A123" s="777">
        <v>90</v>
      </c>
      <c r="B123" s="788" t="s">
        <v>692</v>
      </c>
      <c r="C123" s="777" t="s">
        <v>610</v>
      </c>
      <c r="D123" s="777">
        <v>1</v>
      </c>
      <c r="E123" s="1350">
        <f t="shared" si="6"/>
        <v>6961.67</v>
      </c>
      <c r="F123" s="781">
        <f t="shared" si="7"/>
        <v>6961.67</v>
      </c>
      <c r="H123" s="782"/>
      <c r="I123" s="783"/>
      <c r="J123" s="783"/>
      <c r="K123" s="783"/>
      <c r="L123" s="783"/>
      <c r="M123" s="783"/>
      <c r="N123" s="783"/>
      <c r="O123" s="783"/>
      <c r="P123" s="783"/>
      <c r="Q123" s="783"/>
      <c r="R123" s="783"/>
      <c r="S123" s="783"/>
      <c r="T123" s="783"/>
      <c r="U123" s="783"/>
      <c r="V123" s="783"/>
      <c r="W123" s="783"/>
      <c r="X123" s="783"/>
      <c r="Y123" s="783"/>
      <c r="Z123" s="783"/>
      <c r="AA123" s="783"/>
      <c r="AB123" s="772">
        <v>6900</v>
      </c>
      <c r="AC123" s="772">
        <v>6940</v>
      </c>
      <c r="AD123" s="772">
        <v>7045</v>
      </c>
    </row>
    <row r="124" spans="1:30" ht="20.25" customHeight="1">
      <c r="A124" s="777">
        <v>91</v>
      </c>
      <c r="B124" s="778" t="s">
        <v>693</v>
      </c>
      <c r="C124" s="779" t="s">
        <v>610</v>
      </c>
      <c r="D124" s="779">
        <v>2</v>
      </c>
      <c r="E124" s="1350">
        <f t="shared" si="6"/>
        <v>55.5</v>
      </c>
      <c r="F124" s="781">
        <f t="shared" si="7"/>
        <v>111</v>
      </c>
      <c r="H124" s="782"/>
      <c r="I124" s="783"/>
      <c r="J124" s="783"/>
      <c r="K124" s="783"/>
      <c r="L124" s="783"/>
      <c r="M124" s="783"/>
      <c r="N124" s="783"/>
      <c r="O124" s="783"/>
      <c r="P124" s="783"/>
      <c r="Q124" s="783"/>
      <c r="R124" s="783"/>
      <c r="S124" s="783"/>
      <c r="T124" s="783"/>
      <c r="U124" s="783"/>
      <c r="V124" s="783"/>
      <c r="W124" s="783"/>
      <c r="X124" s="783"/>
      <c r="Y124" s="783"/>
      <c r="Z124" s="783"/>
      <c r="AA124" s="783"/>
      <c r="AB124" s="772">
        <v>50</v>
      </c>
      <c r="AC124" s="772">
        <v>54.5</v>
      </c>
      <c r="AD124" s="772">
        <v>62</v>
      </c>
    </row>
    <row r="125" spans="1:30" ht="20.25" customHeight="1">
      <c r="A125" s="777">
        <v>92</v>
      </c>
      <c r="B125" s="778" t="s">
        <v>694</v>
      </c>
      <c r="C125" s="779" t="s">
        <v>610</v>
      </c>
      <c r="D125" s="779">
        <v>2</v>
      </c>
      <c r="E125" s="1350">
        <f t="shared" si="6"/>
        <v>694.33</v>
      </c>
      <c r="F125" s="781">
        <f t="shared" si="7"/>
        <v>1388.66</v>
      </c>
      <c r="H125" s="782"/>
      <c r="I125" s="783"/>
      <c r="J125" s="783"/>
      <c r="K125" s="783"/>
      <c r="L125" s="783"/>
      <c r="M125" s="783"/>
      <c r="N125" s="783"/>
      <c r="O125" s="783"/>
      <c r="P125" s="783"/>
      <c r="Q125" s="783"/>
      <c r="R125" s="783"/>
      <c r="S125" s="783"/>
      <c r="T125" s="783"/>
      <c r="U125" s="783"/>
      <c r="V125" s="783"/>
      <c r="W125" s="783"/>
      <c r="X125" s="783"/>
      <c r="Y125" s="783"/>
      <c r="Z125" s="783"/>
      <c r="AA125" s="783"/>
      <c r="AB125" s="772">
        <v>687</v>
      </c>
      <c r="AC125" s="772">
        <v>700</v>
      </c>
      <c r="AD125" s="772">
        <v>696</v>
      </c>
    </row>
    <row r="126" spans="1:30" ht="20.25" customHeight="1">
      <c r="A126" s="777">
        <v>93</v>
      </c>
      <c r="B126" s="778" t="s">
        <v>695</v>
      </c>
      <c r="C126" s="779" t="s">
        <v>610</v>
      </c>
      <c r="D126" s="779">
        <v>2</v>
      </c>
      <c r="E126" s="1350">
        <f t="shared" si="6"/>
        <v>846.33</v>
      </c>
      <c r="F126" s="781">
        <f t="shared" si="7"/>
        <v>1692.66</v>
      </c>
      <c r="H126" s="782"/>
      <c r="I126" s="783"/>
      <c r="J126" s="783"/>
      <c r="K126" s="783"/>
      <c r="L126" s="783"/>
      <c r="M126" s="783"/>
      <c r="N126" s="783"/>
      <c r="O126" s="783"/>
      <c r="P126" s="783"/>
      <c r="Q126" s="783"/>
      <c r="R126" s="783"/>
      <c r="S126" s="783"/>
      <c r="T126" s="783"/>
      <c r="U126" s="783"/>
      <c r="V126" s="783"/>
      <c r="W126" s="783"/>
      <c r="X126" s="783"/>
      <c r="Y126" s="783"/>
      <c r="Z126" s="783"/>
      <c r="AA126" s="783"/>
      <c r="AB126" s="772">
        <v>835</v>
      </c>
      <c r="AC126" s="772">
        <v>826</v>
      </c>
      <c r="AD126" s="772">
        <v>878</v>
      </c>
    </row>
    <row r="127" spans="1:30" ht="20.25" customHeight="1">
      <c r="A127" s="777">
        <v>94</v>
      </c>
      <c r="B127" s="778" t="s">
        <v>696</v>
      </c>
      <c r="C127" s="779" t="s">
        <v>610</v>
      </c>
      <c r="D127" s="779">
        <v>1</v>
      </c>
      <c r="E127" s="1350">
        <f t="shared" si="6"/>
        <v>2873.67</v>
      </c>
      <c r="F127" s="781">
        <f t="shared" si="7"/>
        <v>2873.67</v>
      </c>
      <c r="H127" s="782"/>
      <c r="I127" s="783"/>
      <c r="J127" s="783"/>
      <c r="K127" s="783"/>
      <c r="L127" s="783"/>
      <c r="M127" s="783"/>
      <c r="N127" s="783"/>
      <c r="O127" s="783"/>
      <c r="P127" s="783"/>
      <c r="Q127" s="783"/>
      <c r="R127" s="783"/>
      <c r="S127" s="783"/>
      <c r="T127" s="783"/>
      <c r="U127" s="783"/>
      <c r="V127" s="783"/>
      <c r="W127" s="783"/>
      <c r="X127" s="783"/>
      <c r="Y127" s="783"/>
      <c r="Z127" s="783"/>
      <c r="AA127" s="783"/>
      <c r="AB127" s="772">
        <v>2855</v>
      </c>
      <c r="AC127" s="772">
        <v>2800</v>
      </c>
      <c r="AD127" s="772">
        <v>2966</v>
      </c>
    </row>
    <row r="128" spans="1:30" ht="20.25" customHeight="1">
      <c r="A128" s="777">
        <v>95</v>
      </c>
      <c r="B128" s="778" t="s">
        <v>697</v>
      </c>
      <c r="C128" s="779" t="s">
        <v>698</v>
      </c>
      <c r="D128" s="779">
        <v>6</v>
      </c>
      <c r="E128" s="1350">
        <f t="shared" si="6"/>
        <v>717.33</v>
      </c>
      <c r="F128" s="781">
        <f t="shared" si="7"/>
        <v>4303.9800000000005</v>
      </c>
      <c r="H128" s="782"/>
      <c r="I128" s="783"/>
      <c r="J128" s="783"/>
      <c r="K128" s="783"/>
      <c r="L128" s="783"/>
      <c r="M128" s="783"/>
      <c r="N128" s="783"/>
      <c r="O128" s="783"/>
      <c r="P128" s="783"/>
      <c r="Q128" s="783"/>
      <c r="R128" s="783"/>
      <c r="S128" s="783"/>
      <c r="T128" s="783"/>
      <c r="U128" s="783"/>
      <c r="V128" s="783"/>
      <c r="W128" s="783"/>
      <c r="X128" s="783"/>
      <c r="Y128" s="783"/>
      <c r="Z128" s="783"/>
      <c r="AA128" s="783"/>
      <c r="AB128" s="772">
        <v>700</v>
      </c>
      <c r="AC128" s="772">
        <v>710</v>
      </c>
      <c r="AD128" s="772">
        <v>742</v>
      </c>
    </row>
    <row r="129" spans="1:30" ht="20.25" customHeight="1">
      <c r="A129" s="777">
        <v>96</v>
      </c>
      <c r="B129" s="778" t="s">
        <v>699</v>
      </c>
      <c r="C129" s="779" t="s">
        <v>678</v>
      </c>
      <c r="D129" s="779">
        <v>6</v>
      </c>
      <c r="E129" s="1350">
        <f t="shared" si="6"/>
        <v>1603</v>
      </c>
      <c r="F129" s="781">
        <f t="shared" si="7"/>
        <v>9618</v>
      </c>
      <c r="H129" s="782"/>
      <c r="I129" s="783"/>
      <c r="J129" s="783"/>
      <c r="K129" s="783"/>
      <c r="L129" s="783"/>
      <c r="M129" s="783"/>
      <c r="N129" s="783"/>
      <c r="O129" s="783"/>
      <c r="P129" s="783"/>
      <c r="Q129" s="783"/>
      <c r="R129" s="783"/>
      <c r="S129" s="783"/>
      <c r="T129" s="783"/>
      <c r="U129" s="783"/>
      <c r="V129" s="783"/>
      <c r="W129" s="783"/>
      <c r="X129" s="783"/>
      <c r="Y129" s="783"/>
      <c r="Z129" s="783"/>
      <c r="AA129" s="783"/>
      <c r="AB129" s="772">
        <v>1579</v>
      </c>
      <c r="AC129" s="772">
        <v>1590</v>
      </c>
      <c r="AD129" s="772">
        <v>1640</v>
      </c>
    </row>
    <row r="130" spans="1:30" ht="20.25" customHeight="1">
      <c r="A130" s="777">
        <v>97</v>
      </c>
      <c r="B130" s="778" t="s">
        <v>700</v>
      </c>
      <c r="C130" s="779" t="s">
        <v>678</v>
      </c>
      <c r="D130" s="779">
        <v>36</v>
      </c>
      <c r="E130" s="1350">
        <f t="shared" si="6"/>
        <v>104</v>
      </c>
      <c r="F130" s="781">
        <f t="shared" si="7"/>
        <v>3744</v>
      </c>
      <c r="H130" s="782"/>
      <c r="I130" s="783"/>
      <c r="J130" s="783"/>
      <c r="K130" s="783"/>
      <c r="L130" s="783"/>
      <c r="M130" s="783"/>
      <c r="N130" s="783"/>
      <c r="O130" s="783"/>
      <c r="P130" s="783"/>
      <c r="Q130" s="783"/>
      <c r="R130" s="783"/>
      <c r="S130" s="783"/>
      <c r="T130" s="783"/>
      <c r="U130" s="783"/>
      <c r="V130" s="783"/>
      <c r="W130" s="783"/>
      <c r="X130" s="783"/>
      <c r="Y130" s="783"/>
      <c r="Z130" s="783"/>
      <c r="AA130" s="783"/>
      <c r="AB130" s="772">
        <v>96</v>
      </c>
      <c r="AC130" s="772">
        <v>86</v>
      </c>
      <c r="AD130" s="772">
        <v>130</v>
      </c>
    </row>
    <row r="131" spans="1:30" ht="20.25" customHeight="1">
      <c r="A131" s="777">
        <v>98</v>
      </c>
      <c r="B131" s="778" t="s">
        <v>701</v>
      </c>
      <c r="C131" s="779" t="s">
        <v>678</v>
      </c>
      <c r="D131" s="779">
        <v>12</v>
      </c>
      <c r="E131" s="1350">
        <f t="shared" si="6"/>
        <v>49.73</v>
      </c>
      <c r="F131" s="781">
        <f t="shared" si="7"/>
        <v>596.76</v>
      </c>
      <c r="H131" s="782"/>
      <c r="I131" s="783"/>
      <c r="J131" s="783"/>
      <c r="K131" s="783"/>
      <c r="L131" s="783"/>
      <c r="M131" s="783"/>
      <c r="N131" s="783"/>
      <c r="O131" s="783"/>
      <c r="P131" s="783"/>
      <c r="Q131" s="783"/>
      <c r="R131" s="783"/>
      <c r="S131" s="783"/>
      <c r="T131" s="783"/>
      <c r="U131" s="783"/>
      <c r="V131" s="783"/>
      <c r="W131" s="783"/>
      <c r="X131" s="783"/>
      <c r="Y131" s="783"/>
      <c r="Z131" s="783"/>
      <c r="AA131" s="783"/>
      <c r="AB131" s="772">
        <v>45</v>
      </c>
      <c r="AC131" s="772">
        <v>46.2</v>
      </c>
      <c r="AD131" s="772">
        <v>58</v>
      </c>
    </row>
    <row r="132" spans="1:30" ht="20.25" customHeight="1">
      <c r="A132" s="777">
        <v>99</v>
      </c>
      <c r="B132" s="778" t="s">
        <v>702</v>
      </c>
      <c r="C132" s="779" t="s">
        <v>678</v>
      </c>
      <c r="D132" s="779">
        <v>2</v>
      </c>
      <c r="E132" s="1350">
        <f t="shared" si="6"/>
        <v>310</v>
      </c>
      <c r="F132" s="781">
        <f t="shared" si="7"/>
        <v>620</v>
      </c>
      <c r="H132" s="782"/>
      <c r="I132" s="783"/>
      <c r="J132" s="783"/>
      <c r="K132" s="783"/>
      <c r="L132" s="783"/>
      <c r="M132" s="783"/>
      <c r="N132" s="783"/>
      <c r="O132" s="783"/>
      <c r="P132" s="783"/>
      <c r="Q132" s="783"/>
      <c r="R132" s="783"/>
      <c r="S132" s="783"/>
      <c r="T132" s="783"/>
      <c r="U132" s="783"/>
      <c r="V132" s="783"/>
      <c r="W132" s="783"/>
      <c r="X132" s="783"/>
      <c r="Y132" s="783"/>
      <c r="Z132" s="783"/>
      <c r="AA132" s="783"/>
      <c r="AB132" s="772">
        <v>300</v>
      </c>
      <c r="AC132" s="772">
        <v>310</v>
      </c>
      <c r="AD132" s="772">
        <v>320</v>
      </c>
    </row>
    <row r="133" spans="1:30" ht="20.25" customHeight="1">
      <c r="A133" s="777">
        <v>100</v>
      </c>
      <c r="B133" s="778" t="s">
        <v>703</v>
      </c>
      <c r="C133" s="779" t="s">
        <v>704</v>
      </c>
      <c r="D133" s="779">
        <v>20</v>
      </c>
      <c r="E133" s="1350">
        <f t="shared" si="6"/>
        <v>67.67</v>
      </c>
      <c r="F133" s="781">
        <f t="shared" si="7"/>
        <v>1353.4</v>
      </c>
      <c r="H133" s="782"/>
      <c r="I133" s="783"/>
      <c r="J133" s="783"/>
      <c r="K133" s="783"/>
      <c r="L133" s="783"/>
      <c r="M133" s="783"/>
      <c r="N133" s="783"/>
      <c r="O133" s="783"/>
      <c r="P133" s="783"/>
      <c r="Q133" s="783"/>
      <c r="R133" s="783"/>
      <c r="S133" s="783"/>
      <c r="T133" s="783"/>
      <c r="U133" s="783"/>
      <c r="V133" s="783"/>
      <c r="W133" s="783"/>
      <c r="X133" s="783"/>
      <c r="Y133" s="783"/>
      <c r="Z133" s="783"/>
      <c r="AA133" s="783"/>
      <c r="AB133" s="772">
        <v>63</v>
      </c>
      <c r="AC133" s="772">
        <v>65</v>
      </c>
      <c r="AD133" s="772">
        <v>75</v>
      </c>
    </row>
    <row r="134" spans="1:30" ht="20.25" customHeight="1">
      <c r="A134" s="790" t="s">
        <v>705</v>
      </c>
      <c r="B134" s="791"/>
      <c r="C134" s="791"/>
      <c r="D134" s="791"/>
      <c r="E134" s="1354" t="s">
        <v>1008</v>
      </c>
      <c r="F134" s="1031" t="s">
        <v>857</v>
      </c>
      <c r="H134" s="782"/>
      <c r="I134" s="783"/>
      <c r="J134" s="783"/>
      <c r="K134" s="783"/>
      <c r="L134" s="783"/>
      <c r="M134" s="783"/>
      <c r="N134" s="783"/>
      <c r="O134" s="783"/>
      <c r="P134" s="783"/>
      <c r="Q134" s="783"/>
      <c r="R134" s="783"/>
      <c r="S134" s="783"/>
      <c r="T134" s="783"/>
      <c r="U134" s="783"/>
      <c r="V134" s="783"/>
      <c r="W134" s="783"/>
      <c r="X134" s="783"/>
      <c r="Y134" s="783"/>
      <c r="Z134" s="783"/>
      <c r="AA134" s="783"/>
      <c r="AB134" s="772" t="s">
        <v>590</v>
      </c>
      <c r="AC134" s="772" t="s">
        <v>591</v>
      </c>
      <c r="AD134" s="772" t="s">
        <v>592</v>
      </c>
    </row>
    <row r="135" spans="1:30" ht="20.25" customHeight="1">
      <c r="A135" s="792" t="s">
        <v>440</v>
      </c>
      <c r="B135" s="774" t="s">
        <v>407</v>
      </c>
      <c r="C135" s="775" t="s">
        <v>390</v>
      </c>
      <c r="D135" s="775"/>
      <c r="E135" s="1355"/>
      <c r="F135" s="1032"/>
      <c r="H135" s="782"/>
      <c r="I135" s="783"/>
      <c r="J135" s="783"/>
      <c r="K135" s="783"/>
      <c r="L135" s="783"/>
      <c r="M135" s="783"/>
      <c r="N135" s="783"/>
      <c r="O135" s="783"/>
      <c r="P135" s="783"/>
      <c r="Q135" s="783"/>
      <c r="R135" s="783"/>
      <c r="S135" s="783"/>
      <c r="T135" s="783"/>
      <c r="U135" s="783"/>
      <c r="V135" s="783"/>
      <c r="W135" s="783"/>
      <c r="X135" s="783"/>
      <c r="Y135" s="783"/>
      <c r="Z135" s="783"/>
      <c r="AA135" s="783"/>
      <c r="AB135" s="772" t="s">
        <v>594</v>
      </c>
      <c r="AC135" s="772" t="s">
        <v>594</v>
      </c>
      <c r="AD135" s="772" t="s">
        <v>594</v>
      </c>
    </row>
    <row r="136" spans="1:30" ht="20.25" customHeight="1">
      <c r="A136" s="793">
        <v>101</v>
      </c>
      <c r="B136" s="794" t="s">
        <v>706</v>
      </c>
      <c r="C136" s="793" t="s">
        <v>678</v>
      </c>
      <c r="D136" s="793">
        <v>2</v>
      </c>
      <c r="E136" s="1350">
        <f t="shared" ref="E136:E164" si="8">ROUND(AVERAGE(AB136,AC136,AD136),2)</f>
        <v>153.66999999999999</v>
      </c>
      <c r="F136" s="781">
        <f t="shared" ref="F136:F164" si="9">D136*E136</f>
        <v>307.33999999999997</v>
      </c>
      <c r="H136" s="782"/>
      <c r="I136" s="783"/>
      <c r="J136" s="783"/>
      <c r="K136" s="783"/>
      <c r="L136" s="783"/>
      <c r="M136" s="783"/>
      <c r="N136" s="783"/>
      <c r="O136" s="783"/>
      <c r="P136" s="783"/>
      <c r="Q136" s="783"/>
      <c r="R136" s="783"/>
      <c r="S136" s="783"/>
      <c r="T136" s="783"/>
      <c r="U136" s="783"/>
      <c r="V136" s="783"/>
      <c r="W136" s="783"/>
      <c r="X136" s="783"/>
      <c r="Y136" s="783"/>
      <c r="Z136" s="783"/>
      <c r="AA136" s="783"/>
      <c r="AB136" s="772">
        <v>136</v>
      </c>
      <c r="AC136" s="772">
        <v>180</v>
      </c>
      <c r="AD136" s="772">
        <v>145</v>
      </c>
    </row>
    <row r="137" spans="1:30" ht="20.25" customHeight="1">
      <c r="A137" s="793">
        <v>102</v>
      </c>
      <c r="B137" s="742" t="s">
        <v>707</v>
      </c>
      <c r="C137" s="777" t="s">
        <v>678</v>
      </c>
      <c r="D137" s="777">
        <v>1</v>
      </c>
      <c r="E137" s="1350">
        <f t="shared" si="8"/>
        <v>35.33</v>
      </c>
      <c r="F137" s="781">
        <f t="shared" si="9"/>
        <v>35.33</v>
      </c>
      <c r="H137" s="782"/>
      <c r="I137" s="783"/>
      <c r="J137" s="783"/>
      <c r="K137" s="783"/>
      <c r="L137" s="783"/>
      <c r="M137" s="783"/>
      <c r="N137" s="783"/>
      <c r="O137" s="783"/>
      <c r="P137" s="783"/>
      <c r="Q137" s="783"/>
      <c r="R137" s="783"/>
      <c r="S137" s="783"/>
      <c r="T137" s="783"/>
      <c r="U137" s="783"/>
      <c r="V137" s="783"/>
      <c r="W137" s="783"/>
      <c r="X137" s="783"/>
      <c r="Y137" s="783"/>
      <c r="Z137" s="783"/>
      <c r="AA137" s="783"/>
      <c r="AB137" s="772">
        <v>26</v>
      </c>
      <c r="AC137" s="772">
        <v>45</v>
      </c>
      <c r="AD137" s="772">
        <v>35</v>
      </c>
    </row>
    <row r="138" spans="1:30" ht="20.25" customHeight="1">
      <c r="A138" s="793">
        <v>103</v>
      </c>
      <c r="B138" s="742" t="s">
        <v>708</v>
      </c>
      <c r="C138" s="777" t="s">
        <v>678</v>
      </c>
      <c r="D138" s="777">
        <v>5</v>
      </c>
      <c r="E138" s="1350">
        <f t="shared" si="8"/>
        <v>65.67</v>
      </c>
      <c r="F138" s="781">
        <f t="shared" si="9"/>
        <v>328.35</v>
      </c>
      <c r="H138" s="782"/>
      <c r="I138" s="783"/>
      <c r="J138" s="783"/>
      <c r="K138" s="783"/>
      <c r="L138" s="783"/>
      <c r="M138" s="783"/>
      <c r="N138" s="783"/>
      <c r="O138" s="783"/>
      <c r="P138" s="783"/>
      <c r="Q138" s="783"/>
      <c r="R138" s="783"/>
      <c r="S138" s="783"/>
      <c r="T138" s="783"/>
      <c r="U138" s="783"/>
      <c r="V138" s="783"/>
      <c r="W138" s="783"/>
      <c r="X138" s="783"/>
      <c r="Y138" s="783"/>
      <c r="Z138" s="783"/>
      <c r="AA138" s="783"/>
      <c r="AB138" s="772">
        <v>63</v>
      </c>
      <c r="AC138" s="772">
        <v>55</v>
      </c>
      <c r="AD138" s="772">
        <v>79</v>
      </c>
    </row>
    <row r="139" spans="1:30" ht="20.25" customHeight="1">
      <c r="A139" s="793">
        <v>104</v>
      </c>
      <c r="B139" s="742" t="s">
        <v>709</v>
      </c>
      <c r="C139" s="777" t="s">
        <v>678</v>
      </c>
      <c r="D139" s="777">
        <v>4</v>
      </c>
      <c r="E139" s="1350">
        <f t="shared" si="8"/>
        <v>30.67</v>
      </c>
      <c r="F139" s="781">
        <f t="shared" si="9"/>
        <v>122.68</v>
      </c>
      <c r="H139" s="782"/>
      <c r="I139" s="783"/>
      <c r="J139" s="783"/>
      <c r="K139" s="783"/>
      <c r="L139" s="783"/>
      <c r="M139" s="783"/>
      <c r="N139" s="783"/>
      <c r="O139" s="783"/>
      <c r="P139" s="783"/>
      <c r="Q139" s="783"/>
      <c r="R139" s="783"/>
      <c r="S139" s="783"/>
      <c r="T139" s="783"/>
      <c r="U139" s="783"/>
      <c r="V139" s="783"/>
      <c r="W139" s="783"/>
      <c r="X139" s="783"/>
      <c r="Y139" s="783"/>
      <c r="Z139" s="783"/>
      <c r="AA139" s="783"/>
      <c r="AB139" s="772">
        <v>22</v>
      </c>
      <c r="AC139" s="772">
        <v>25</v>
      </c>
      <c r="AD139" s="772">
        <v>45</v>
      </c>
    </row>
    <row r="140" spans="1:30" ht="20.25" customHeight="1">
      <c r="A140" s="793">
        <v>105</v>
      </c>
      <c r="B140" s="742" t="s">
        <v>710</v>
      </c>
      <c r="C140" s="777" t="s">
        <v>711</v>
      </c>
      <c r="D140" s="777">
        <v>1</v>
      </c>
      <c r="E140" s="1350">
        <f t="shared" si="8"/>
        <v>28.43</v>
      </c>
      <c r="F140" s="781">
        <f t="shared" si="9"/>
        <v>28.43</v>
      </c>
      <c r="H140" s="782"/>
      <c r="I140" s="783"/>
      <c r="J140" s="783"/>
      <c r="K140" s="783"/>
      <c r="L140" s="783"/>
      <c r="M140" s="783"/>
      <c r="N140" s="783"/>
      <c r="O140" s="783"/>
      <c r="P140" s="783"/>
      <c r="Q140" s="783"/>
      <c r="R140" s="783"/>
      <c r="S140" s="783"/>
      <c r="T140" s="783"/>
      <c r="U140" s="783"/>
      <c r="V140" s="783"/>
      <c r="W140" s="783"/>
      <c r="X140" s="783"/>
      <c r="Y140" s="783"/>
      <c r="Z140" s="783"/>
      <c r="AA140" s="783"/>
      <c r="AB140" s="772">
        <v>24</v>
      </c>
      <c r="AC140" s="772">
        <v>25.3</v>
      </c>
      <c r="AD140" s="772">
        <v>36</v>
      </c>
    </row>
    <row r="141" spans="1:30" ht="20.25" customHeight="1">
      <c r="A141" s="793">
        <v>106</v>
      </c>
      <c r="B141" s="742" t="s">
        <v>712</v>
      </c>
      <c r="C141" s="777" t="s">
        <v>678</v>
      </c>
      <c r="D141" s="777">
        <v>1</v>
      </c>
      <c r="E141" s="1350">
        <f t="shared" si="8"/>
        <v>53.27</v>
      </c>
      <c r="F141" s="781">
        <f t="shared" si="9"/>
        <v>53.27</v>
      </c>
      <c r="H141" s="782"/>
      <c r="I141" s="783"/>
      <c r="J141" s="783"/>
      <c r="K141" s="783"/>
      <c r="L141" s="783"/>
      <c r="M141" s="783"/>
      <c r="N141" s="783"/>
      <c r="O141" s="783"/>
      <c r="P141" s="783"/>
      <c r="Q141" s="783"/>
      <c r="R141" s="783"/>
      <c r="S141" s="783"/>
      <c r="T141" s="783"/>
      <c r="U141" s="783"/>
      <c r="V141" s="783"/>
      <c r="W141" s="783"/>
      <c r="X141" s="783"/>
      <c r="Y141" s="783"/>
      <c r="Z141" s="783"/>
      <c r="AA141" s="783"/>
      <c r="AB141" s="772">
        <v>45.6</v>
      </c>
      <c r="AC141" s="772">
        <v>56</v>
      </c>
      <c r="AD141" s="772">
        <v>58.2</v>
      </c>
    </row>
    <row r="142" spans="1:30" ht="20.25" customHeight="1">
      <c r="A142" s="793">
        <v>107</v>
      </c>
      <c r="B142" s="742" t="s">
        <v>713</v>
      </c>
      <c r="C142" s="777" t="s">
        <v>610</v>
      </c>
      <c r="D142" s="777">
        <v>4</v>
      </c>
      <c r="E142" s="1350">
        <f t="shared" si="8"/>
        <v>29.23</v>
      </c>
      <c r="F142" s="781">
        <f t="shared" si="9"/>
        <v>116.92</v>
      </c>
      <c r="H142" s="782"/>
      <c r="I142" s="783"/>
      <c r="J142" s="783"/>
      <c r="K142" s="783"/>
      <c r="L142" s="783"/>
      <c r="M142" s="783"/>
      <c r="N142" s="783"/>
      <c r="O142" s="783"/>
      <c r="P142" s="783"/>
      <c r="Q142" s="783"/>
      <c r="R142" s="783"/>
      <c r="S142" s="783"/>
      <c r="T142" s="783"/>
      <c r="U142" s="783"/>
      <c r="V142" s="783"/>
      <c r="W142" s="783"/>
      <c r="X142" s="783"/>
      <c r="Y142" s="783"/>
      <c r="Z142" s="783"/>
      <c r="AA142" s="783"/>
      <c r="AB142" s="772">
        <v>31.2</v>
      </c>
      <c r="AC142" s="772">
        <v>20</v>
      </c>
      <c r="AD142" s="772">
        <v>36.5</v>
      </c>
    </row>
    <row r="143" spans="1:30" ht="20.25" customHeight="1">
      <c r="A143" s="793">
        <v>108</v>
      </c>
      <c r="B143" s="742" t="s">
        <v>714</v>
      </c>
      <c r="C143" s="777" t="s">
        <v>610</v>
      </c>
      <c r="D143" s="777">
        <v>4</v>
      </c>
      <c r="E143" s="1350">
        <f t="shared" si="8"/>
        <v>23.37</v>
      </c>
      <c r="F143" s="781">
        <f t="shared" si="9"/>
        <v>93.48</v>
      </c>
      <c r="H143" s="782"/>
      <c r="I143" s="783"/>
      <c r="J143" s="783"/>
      <c r="K143" s="783"/>
      <c r="L143" s="783"/>
      <c r="M143" s="783"/>
      <c r="N143" s="783"/>
      <c r="O143" s="783"/>
      <c r="P143" s="783"/>
      <c r="Q143" s="783"/>
      <c r="R143" s="783"/>
      <c r="S143" s="783"/>
      <c r="T143" s="783"/>
      <c r="U143" s="783"/>
      <c r="V143" s="783"/>
      <c r="W143" s="783"/>
      <c r="X143" s="783"/>
      <c r="Y143" s="783"/>
      <c r="Z143" s="783"/>
      <c r="AA143" s="783"/>
      <c r="AB143" s="772">
        <v>26.4</v>
      </c>
      <c r="AC143" s="772">
        <v>14.8</v>
      </c>
      <c r="AD143" s="772">
        <v>28.9</v>
      </c>
    </row>
    <row r="144" spans="1:30" ht="20.25" customHeight="1">
      <c r="A144" s="793">
        <v>109</v>
      </c>
      <c r="B144" s="742" t="s">
        <v>715</v>
      </c>
      <c r="C144" s="777" t="s">
        <v>610</v>
      </c>
      <c r="D144" s="777">
        <v>4</v>
      </c>
      <c r="E144" s="1350">
        <f t="shared" si="8"/>
        <v>11.73</v>
      </c>
      <c r="F144" s="781">
        <f t="shared" si="9"/>
        <v>46.92</v>
      </c>
      <c r="H144" s="782"/>
      <c r="I144" s="783"/>
      <c r="J144" s="783"/>
      <c r="K144" s="783"/>
      <c r="L144" s="783"/>
      <c r="M144" s="783"/>
      <c r="N144" s="783"/>
      <c r="O144" s="783"/>
      <c r="P144" s="783"/>
      <c r="Q144" s="783"/>
      <c r="R144" s="783"/>
      <c r="S144" s="783"/>
      <c r="T144" s="783"/>
      <c r="U144" s="783"/>
      <c r="V144" s="783"/>
      <c r="W144" s="783"/>
      <c r="X144" s="783"/>
      <c r="Y144" s="783"/>
      <c r="Z144" s="783"/>
      <c r="AA144" s="783"/>
      <c r="AB144" s="772">
        <v>12</v>
      </c>
      <c r="AC144" s="772">
        <v>8.1999999999999993</v>
      </c>
      <c r="AD144" s="772">
        <v>15</v>
      </c>
    </row>
    <row r="145" spans="1:30" ht="20.25" customHeight="1">
      <c r="A145" s="793">
        <v>110</v>
      </c>
      <c r="B145" s="742" t="s">
        <v>716</v>
      </c>
      <c r="C145" s="777" t="s">
        <v>610</v>
      </c>
      <c r="D145" s="777">
        <v>4</v>
      </c>
      <c r="E145" s="1350">
        <f t="shared" si="8"/>
        <v>150.30000000000001</v>
      </c>
      <c r="F145" s="781">
        <f t="shared" si="9"/>
        <v>601.20000000000005</v>
      </c>
      <c r="H145" s="782"/>
      <c r="I145" s="783"/>
      <c r="J145" s="783"/>
      <c r="K145" s="783"/>
      <c r="L145" s="783"/>
      <c r="M145" s="783"/>
      <c r="N145" s="783"/>
      <c r="O145" s="783"/>
      <c r="P145" s="783"/>
      <c r="Q145" s="783"/>
      <c r="R145" s="783"/>
      <c r="S145" s="783"/>
      <c r="T145" s="783"/>
      <c r="U145" s="783"/>
      <c r="V145" s="783"/>
      <c r="W145" s="783"/>
      <c r="X145" s="783"/>
      <c r="Y145" s="783"/>
      <c r="Z145" s="783"/>
      <c r="AA145" s="783"/>
      <c r="AB145" s="772">
        <v>216</v>
      </c>
      <c r="AC145" s="772">
        <v>9.9</v>
      </c>
      <c r="AD145" s="772">
        <v>225</v>
      </c>
    </row>
    <row r="146" spans="1:30" ht="20.25" customHeight="1">
      <c r="A146" s="793">
        <v>111</v>
      </c>
      <c r="B146" s="742" t="s">
        <v>717</v>
      </c>
      <c r="C146" s="777" t="s">
        <v>610</v>
      </c>
      <c r="D146" s="777">
        <v>100</v>
      </c>
      <c r="E146" s="1350">
        <f t="shared" si="8"/>
        <v>100.63</v>
      </c>
      <c r="F146" s="781">
        <f t="shared" si="9"/>
        <v>10063</v>
      </c>
      <c r="H146" s="782"/>
      <c r="I146" s="783"/>
      <c r="J146" s="783"/>
      <c r="K146" s="783"/>
      <c r="L146" s="783"/>
      <c r="M146" s="783"/>
      <c r="N146" s="783"/>
      <c r="O146" s="783"/>
      <c r="P146" s="783"/>
      <c r="Q146" s="783"/>
      <c r="R146" s="783"/>
      <c r="S146" s="783"/>
      <c r="T146" s="783"/>
      <c r="U146" s="783"/>
      <c r="V146" s="783"/>
      <c r="W146" s="783"/>
      <c r="X146" s="783"/>
      <c r="Y146" s="783"/>
      <c r="Z146" s="783"/>
      <c r="AA146" s="783"/>
      <c r="AB146" s="772">
        <v>1</v>
      </c>
      <c r="AC146" s="772">
        <v>0.9</v>
      </c>
      <c r="AD146" s="772">
        <v>300</v>
      </c>
    </row>
    <row r="147" spans="1:30" ht="20.25" customHeight="1">
      <c r="A147" s="793">
        <v>112</v>
      </c>
      <c r="B147" s="742" t="s">
        <v>718</v>
      </c>
      <c r="C147" s="777" t="s">
        <v>610</v>
      </c>
      <c r="D147" s="777">
        <v>100</v>
      </c>
      <c r="E147" s="1350">
        <f t="shared" si="8"/>
        <v>1.5</v>
      </c>
      <c r="F147" s="781">
        <f t="shared" si="9"/>
        <v>150</v>
      </c>
      <c r="H147" s="782"/>
      <c r="I147" s="783"/>
      <c r="J147" s="783"/>
      <c r="K147" s="783"/>
      <c r="L147" s="783"/>
      <c r="M147" s="783"/>
      <c r="N147" s="783"/>
      <c r="O147" s="783"/>
      <c r="P147" s="783"/>
      <c r="Q147" s="783"/>
      <c r="R147" s="783"/>
      <c r="S147" s="783"/>
      <c r="T147" s="783"/>
      <c r="U147" s="783"/>
      <c r="V147" s="783"/>
      <c r="W147" s="783"/>
      <c r="X147" s="783"/>
      <c r="Y147" s="783"/>
      <c r="Z147" s="783"/>
      <c r="AA147" s="783"/>
      <c r="AB147" s="772">
        <v>1</v>
      </c>
      <c r="AC147" s="772">
        <v>0.7</v>
      </c>
      <c r="AD147" s="772">
        <v>2.8</v>
      </c>
    </row>
    <row r="148" spans="1:30" ht="20.25" customHeight="1">
      <c r="A148" s="793">
        <v>113</v>
      </c>
      <c r="B148" s="742" t="s">
        <v>719</v>
      </c>
      <c r="C148" s="777" t="s">
        <v>678</v>
      </c>
      <c r="D148" s="777">
        <v>2</v>
      </c>
      <c r="E148" s="1350">
        <f t="shared" si="8"/>
        <v>53.67</v>
      </c>
      <c r="F148" s="781">
        <f t="shared" si="9"/>
        <v>107.34</v>
      </c>
      <c r="H148" s="782"/>
      <c r="I148" s="783"/>
      <c r="J148" s="783"/>
      <c r="K148" s="783"/>
      <c r="L148" s="783"/>
      <c r="M148" s="783"/>
      <c r="N148" s="783"/>
      <c r="O148" s="783"/>
      <c r="P148" s="783"/>
      <c r="Q148" s="783"/>
      <c r="R148" s="783"/>
      <c r="S148" s="783"/>
      <c r="T148" s="783"/>
      <c r="U148" s="783"/>
      <c r="V148" s="783"/>
      <c r="W148" s="783"/>
      <c r="X148" s="783"/>
      <c r="Y148" s="783"/>
      <c r="Z148" s="783"/>
      <c r="AA148" s="783"/>
      <c r="AB148" s="772">
        <v>48</v>
      </c>
      <c r="AC148" s="772">
        <v>60</v>
      </c>
      <c r="AD148" s="772">
        <v>53</v>
      </c>
    </row>
    <row r="149" spans="1:30" ht="20.25" customHeight="1">
      <c r="A149" s="793">
        <v>114</v>
      </c>
      <c r="B149" s="742" t="s">
        <v>720</v>
      </c>
      <c r="C149" s="777" t="s">
        <v>634</v>
      </c>
      <c r="D149" s="777">
        <v>10</v>
      </c>
      <c r="E149" s="1350">
        <f t="shared" si="8"/>
        <v>12.2</v>
      </c>
      <c r="F149" s="781">
        <f t="shared" si="9"/>
        <v>122</v>
      </c>
      <c r="H149" s="782"/>
      <c r="I149" s="783"/>
      <c r="J149" s="783"/>
      <c r="K149" s="783"/>
      <c r="L149" s="783"/>
      <c r="M149" s="783"/>
      <c r="N149" s="783"/>
      <c r="O149" s="783"/>
      <c r="P149" s="783"/>
      <c r="Q149" s="783"/>
      <c r="R149" s="783"/>
      <c r="S149" s="783"/>
      <c r="T149" s="783"/>
      <c r="U149" s="783"/>
      <c r="V149" s="783"/>
      <c r="W149" s="783"/>
      <c r="X149" s="783"/>
      <c r="Y149" s="783"/>
      <c r="Z149" s="783"/>
      <c r="AA149" s="783"/>
      <c r="AB149" s="772">
        <v>12</v>
      </c>
      <c r="AC149" s="772">
        <v>11</v>
      </c>
      <c r="AD149" s="772">
        <v>13.6</v>
      </c>
    </row>
    <row r="150" spans="1:30" ht="20.25" customHeight="1">
      <c r="A150" s="793">
        <v>115</v>
      </c>
      <c r="B150" s="742" t="s">
        <v>721</v>
      </c>
      <c r="C150" s="777" t="s">
        <v>610</v>
      </c>
      <c r="D150" s="777">
        <v>10</v>
      </c>
      <c r="E150" s="1350">
        <f t="shared" si="8"/>
        <v>22.87</v>
      </c>
      <c r="F150" s="781">
        <f t="shared" si="9"/>
        <v>228.70000000000002</v>
      </c>
      <c r="H150" s="782"/>
      <c r="I150" s="783"/>
      <c r="J150" s="783"/>
      <c r="K150" s="783"/>
      <c r="L150" s="783"/>
      <c r="M150" s="783"/>
      <c r="N150" s="783"/>
      <c r="O150" s="783"/>
      <c r="P150" s="783"/>
      <c r="Q150" s="783"/>
      <c r="R150" s="783"/>
      <c r="S150" s="783"/>
      <c r="T150" s="783"/>
      <c r="U150" s="783"/>
      <c r="V150" s="783"/>
      <c r="W150" s="783"/>
      <c r="X150" s="783"/>
      <c r="Y150" s="783"/>
      <c r="Z150" s="783"/>
      <c r="AA150" s="783"/>
      <c r="AB150" s="772">
        <v>22</v>
      </c>
      <c r="AC150" s="772">
        <v>15.4</v>
      </c>
      <c r="AD150" s="772">
        <v>31.2</v>
      </c>
    </row>
    <row r="151" spans="1:30" ht="20.25" customHeight="1">
      <c r="A151" s="793">
        <v>116</v>
      </c>
      <c r="B151" s="742" t="s">
        <v>722</v>
      </c>
      <c r="C151" s="777" t="s">
        <v>678</v>
      </c>
      <c r="D151" s="777">
        <v>2</v>
      </c>
      <c r="E151" s="1350">
        <f t="shared" si="8"/>
        <v>331.67</v>
      </c>
      <c r="F151" s="781">
        <f t="shared" si="9"/>
        <v>663.34</v>
      </c>
      <c r="H151" s="782"/>
      <c r="I151" s="783"/>
      <c r="J151" s="783"/>
      <c r="K151" s="783"/>
      <c r="L151" s="783"/>
      <c r="M151" s="783"/>
      <c r="N151" s="783"/>
      <c r="O151" s="783"/>
      <c r="P151" s="783"/>
      <c r="Q151" s="783"/>
      <c r="R151" s="783"/>
      <c r="S151" s="783"/>
      <c r="T151" s="783"/>
      <c r="U151" s="783"/>
      <c r="V151" s="783"/>
      <c r="W151" s="783"/>
      <c r="X151" s="783"/>
      <c r="Y151" s="783"/>
      <c r="Z151" s="783"/>
      <c r="AA151" s="783"/>
      <c r="AB151" s="772">
        <v>330</v>
      </c>
      <c r="AC151" s="772">
        <v>310</v>
      </c>
      <c r="AD151" s="772">
        <v>355</v>
      </c>
    </row>
    <row r="152" spans="1:30" ht="20.25" customHeight="1">
      <c r="A152" s="793">
        <v>117</v>
      </c>
      <c r="B152" s="742" t="s">
        <v>723</v>
      </c>
      <c r="C152" s="777" t="s">
        <v>610</v>
      </c>
      <c r="D152" s="777">
        <v>4</v>
      </c>
      <c r="E152" s="1350">
        <f t="shared" si="8"/>
        <v>25.9</v>
      </c>
      <c r="F152" s="781">
        <f t="shared" si="9"/>
        <v>103.6</v>
      </c>
      <c r="H152" s="782"/>
      <c r="I152" s="783"/>
      <c r="J152" s="783"/>
      <c r="K152" s="783"/>
      <c r="L152" s="783"/>
      <c r="M152" s="783"/>
      <c r="N152" s="783"/>
      <c r="O152" s="783"/>
      <c r="P152" s="783"/>
      <c r="Q152" s="783"/>
      <c r="R152" s="783"/>
      <c r="S152" s="783"/>
      <c r="T152" s="783"/>
      <c r="U152" s="783"/>
      <c r="V152" s="783"/>
      <c r="W152" s="783"/>
      <c r="X152" s="783"/>
      <c r="Y152" s="783"/>
      <c r="Z152" s="783"/>
      <c r="AA152" s="783"/>
      <c r="AB152" s="772">
        <v>25.8</v>
      </c>
      <c r="AC152" s="772">
        <v>16.7</v>
      </c>
      <c r="AD152" s="772">
        <v>35.200000000000003</v>
      </c>
    </row>
    <row r="153" spans="1:30" ht="20.25" customHeight="1">
      <c r="A153" s="793">
        <v>118</v>
      </c>
      <c r="B153" s="778" t="s">
        <v>724</v>
      </c>
      <c r="C153" s="779" t="s">
        <v>678</v>
      </c>
      <c r="D153" s="779">
        <v>1</v>
      </c>
      <c r="E153" s="1350">
        <f t="shared" si="8"/>
        <v>409</v>
      </c>
      <c r="F153" s="781">
        <f t="shared" si="9"/>
        <v>409</v>
      </c>
      <c r="H153" s="782"/>
      <c r="I153" s="783"/>
      <c r="J153" s="783"/>
      <c r="K153" s="783"/>
      <c r="L153" s="783"/>
      <c r="M153" s="783"/>
      <c r="N153" s="783"/>
      <c r="O153" s="783"/>
      <c r="P153" s="783"/>
      <c r="Q153" s="783"/>
      <c r="R153" s="783"/>
      <c r="S153" s="783"/>
      <c r="T153" s="783"/>
      <c r="U153" s="783"/>
      <c r="V153" s="783"/>
      <c r="W153" s="783"/>
      <c r="X153" s="783"/>
      <c r="Y153" s="783"/>
      <c r="Z153" s="783"/>
      <c r="AA153" s="783"/>
      <c r="AB153" s="772">
        <v>405</v>
      </c>
      <c r="AC153" s="772">
        <v>410</v>
      </c>
      <c r="AD153" s="772">
        <v>412</v>
      </c>
    </row>
    <row r="154" spans="1:30" ht="20.25" customHeight="1">
      <c r="A154" s="793">
        <v>119</v>
      </c>
      <c r="B154" s="778" t="s">
        <v>725</v>
      </c>
      <c r="C154" s="779" t="s">
        <v>678</v>
      </c>
      <c r="D154" s="779">
        <v>1</v>
      </c>
      <c r="E154" s="1350">
        <f t="shared" si="8"/>
        <v>1266.67</v>
      </c>
      <c r="F154" s="781">
        <f t="shared" si="9"/>
        <v>1266.67</v>
      </c>
      <c r="H154" s="782"/>
      <c r="I154" s="783"/>
      <c r="J154" s="783"/>
      <c r="K154" s="783"/>
      <c r="L154" s="783"/>
      <c r="M154" s="783"/>
      <c r="N154" s="783"/>
      <c r="O154" s="783"/>
      <c r="P154" s="783"/>
      <c r="Q154" s="783"/>
      <c r="R154" s="783"/>
      <c r="S154" s="783"/>
      <c r="T154" s="783"/>
      <c r="U154" s="783"/>
      <c r="V154" s="783"/>
      <c r="W154" s="783"/>
      <c r="X154" s="783"/>
      <c r="Y154" s="783"/>
      <c r="Z154" s="783"/>
      <c r="AA154" s="783"/>
      <c r="AB154" s="772">
        <v>1260</v>
      </c>
      <c r="AC154" s="772">
        <v>1230</v>
      </c>
      <c r="AD154" s="772">
        <v>1310</v>
      </c>
    </row>
    <row r="155" spans="1:30" ht="20.25" customHeight="1">
      <c r="A155" s="793">
        <v>120</v>
      </c>
      <c r="B155" s="778" t="s">
        <v>726</v>
      </c>
      <c r="C155" s="779" t="s">
        <v>634</v>
      </c>
      <c r="D155" s="779">
        <v>6</v>
      </c>
      <c r="E155" s="1350">
        <f t="shared" si="8"/>
        <v>287</v>
      </c>
      <c r="F155" s="781">
        <f t="shared" si="9"/>
        <v>1722</v>
      </c>
      <c r="H155" s="782"/>
      <c r="I155" s="783"/>
      <c r="J155" s="783"/>
      <c r="K155" s="783"/>
      <c r="L155" s="783"/>
      <c r="M155" s="783"/>
      <c r="N155" s="783"/>
      <c r="O155" s="783"/>
      <c r="P155" s="783"/>
      <c r="Q155" s="783"/>
      <c r="R155" s="783"/>
      <c r="S155" s="783"/>
      <c r="T155" s="783"/>
      <c r="U155" s="783"/>
      <c r="V155" s="783"/>
      <c r="W155" s="783"/>
      <c r="X155" s="783"/>
      <c r="Y155" s="783"/>
      <c r="Z155" s="783"/>
      <c r="AA155" s="783"/>
      <c r="AB155" s="772">
        <v>285</v>
      </c>
      <c r="AC155" s="772">
        <v>280</v>
      </c>
      <c r="AD155" s="772">
        <v>296</v>
      </c>
    </row>
    <row r="156" spans="1:30" ht="20.25" customHeight="1">
      <c r="A156" s="793">
        <v>121</v>
      </c>
      <c r="B156" s="778" t="s">
        <v>727</v>
      </c>
      <c r="C156" s="779" t="s">
        <v>728</v>
      </c>
      <c r="D156" s="779">
        <v>1</v>
      </c>
      <c r="E156" s="1350">
        <f t="shared" si="8"/>
        <v>5430</v>
      </c>
      <c r="F156" s="781">
        <f t="shared" si="9"/>
        <v>5430</v>
      </c>
      <c r="H156" s="782"/>
      <c r="I156" s="783"/>
      <c r="J156" s="783"/>
      <c r="K156" s="783"/>
      <c r="L156" s="783"/>
      <c r="M156" s="783"/>
      <c r="N156" s="783"/>
      <c r="O156" s="783"/>
      <c r="P156" s="783"/>
      <c r="Q156" s="783"/>
      <c r="R156" s="783"/>
      <c r="S156" s="783"/>
      <c r="T156" s="783"/>
      <c r="U156" s="783"/>
      <c r="V156" s="783"/>
      <c r="W156" s="783"/>
      <c r="X156" s="783"/>
      <c r="Y156" s="783"/>
      <c r="Z156" s="783"/>
      <c r="AA156" s="783"/>
      <c r="AB156" s="772">
        <v>5500</v>
      </c>
      <c r="AC156" s="772">
        <v>5200</v>
      </c>
      <c r="AD156" s="772">
        <v>5590</v>
      </c>
    </row>
    <row r="157" spans="1:30" ht="20.25" customHeight="1">
      <c r="A157" s="793">
        <v>122</v>
      </c>
      <c r="B157" s="778" t="s">
        <v>729</v>
      </c>
      <c r="C157" s="779" t="s">
        <v>678</v>
      </c>
      <c r="D157" s="779">
        <v>4</v>
      </c>
      <c r="E157" s="1350">
        <f t="shared" si="8"/>
        <v>879.67</v>
      </c>
      <c r="F157" s="781">
        <f t="shared" si="9"/>
        <v>3518.68</v>
      </c>
      <c r="H157" s="782"/>
      <c r="I157" s="783"/>
      <c r="J157" s="783"/>
      <c r="K157" s="783"/>
      <c r="L157" s="783"/>
      <c r="M157" s="783"/>
      <c r="N157" s="783"/>
      <c r="O157" s="783"/>
      <c r="P157" s="783"/>
      <c r="Q157" s="783"/>
      <c r="R157" s="783"/>
      <c r="S157" s="783"/>
      <c r="T157" s="783"/>
      <c r="U157" s="783"/>
      <c r="V157" s="783"/>
      <c r="W157" s="783"/>
      <c r="X157" s="783"/>
      <c r="Y157" s="783"/>
      <c r="Z157" s="783"/>
      <c r="AA157" s="783"/>
      <c r="AB157" s="772">
        <v>850</v>
      </c>
      <c r="AC157" s="772">
        <v>924</v>
      </c>
      <c r="AD157" s="772">
        <v>865</v>
      </c>
    </row>
    <row r="158" spans="1:30" ht="20.25" customHeight="1">
      <c r="A158" s="793">
        <v>123</v>
      </c>
      <c r="B158" s="778" t="s">
        <v>730</v>
      </c>
      <c r="C158" s="779" t="s">
        <v>678</v>
      </c>
      <c r="D158" s="779">
        <v>1</v>
      </c>
      <c r="E158" s="1350">
        <f t="shared" si="8"/>
        <v>920</v>
      </c>
      <c r="F158" s="781">
        <f t="shared" si="9"/>
        <v>920</v>
      </c>
      <c r="H158" s="782"/>
      <c r="I158" s="783"/>
      <c r="J158" s="783"/>
      <c r="K158" s="783"/>
      <c r="L158" s="783"/>
      <c r="M158" s="783"/>
      <c r="N158" s="783"/>
      <c r="O158" s="783"/>
      <c r="P158" s="783"/>
      <c r="Q158" s="783"/>
      <c r="R158" s="783"/>
      <c r="S158" s="783"/>
      <c r="T158" s="783"/>
      <c r="U158" s="783"/>
      <c r="V158" s="783"/>
      <c r="W158" s="783"/>
      <c r="X158" s="783"/>
      <c r="Y158" s="783"/>
      <c r="Z158" s="783"/>
      <c r="AA158" s="783"/>
      <c r="AB158" s="772">
        <v>450</v>
      </c>
      <c r="AC158" s="772">
        <v>550</v>
      </c>
      <c r="AD158" s="772">
        <v>1760</v>
      </c>
    </row>
    <row r="159" spans="1:30" ht="20.25" customHeight="1">
      <c r="A159" s="793">
        <v>124</v>
      </c>
      <c r="B159" s="778" t="s">
        <v>731</v>
      </c>
      <c r="C159" s="779" t="s">
        <v>678</v>
      </c>
      <c r="D159" s="779">
        <v>1</v>
      </c>
      <c r="E159" s="1350">
        <f t="shared" si="8"/>
        <v>1728.33</v>
      </c>
      <c r="F159" s="781">
        <f t="shared" si="9"/>
        <v>1728.33</v>
      </c>
      <c r="H159" s="782"/>
      <c r="I159" s="783"/>
      <c r="J159" s="783"/>
      <c r="K159" s="783"/>
      <c r="L159" s="783"/>
      <c r="M159" s="783"/>
      <c r="N159" s="783"/>
      <c r="O159" s="783"/>
      <c r="P159" s="783"/>
      <c r="Q159" s="783"/>
      <c r="R159" s="783"/>
      <c r="S159" s="783"/>
      <c r="T159" s="783"/>
      <c r="U159" s="783"/>
      <c r="V159" s="783"/>
      <c r="W159" s="783"/>
      <c r="X159" s="783"/>
      <c r="Y159" s="783"/>
      <c r="Z159" s="783"/>
      <c r="AA159" s="783"/>
      <c r="AB159" s="772">
        <v>1700</v>
      </c>
      <c r="AC159" s="772">
        <v>1740</v>
      </c>
      <c r="AD159" s="772">
        <v>1745</v>
      </c>
    </row>
    <row r="160" spans="1:30" ht="20.25" customHeight="1">
      <c r="A160" s="793">
        <v>125</v>
      </c>
      <c r="B160" s="778" t="s">
        <v>732</v>
      </c>
      <c r="C160" s="779" t="s">
        <v>678</v>
      </c>
      <c r="D160" s="779">
        <v>1</v>
      </c>
      <c r="E160" s="1350">
        <f t="shared" si="8"/>
        <v>539</v>
      </c>
      <c r="F160" s="781">
        <f t="shared" si="9"/>
        <v>539</v>
      </c>
      <c r="H160" s="782"/>
      <c r="I160" s="783"/>
      <c r="J160" s="783"/>
      <c r="K160" s="783"/>
      <c r="L160" s="783"/>
      <c r="M160" s="783"/>
      <c r="N160" s="783"/>
      <c r="O160" s="783"/>
      <c r="P160" s="783"/>
      <c r="Q160" s="783"/>
      <c r="R160" s="783"/>
      <c r="S160" s="783"/>
      <c r="T160" s="783"/>
      <c r="U160" s="783"/>
      <c r="V160" s="783"/>
      <c r="W160" s="783"/>
      <c r="X160" s="783"/>
      <c r="Y160" s="783"/>
      <c r="Z160" s="783"/>
      <c r="AA160" s="783"/>
      <c r="AB160" s="772">
        <v>530</v>
      </c>
      <c r="AC160" s="772">
        <v>532</v>
      </c>
      <c r="AD160" s="772">
        <v>555</v>
      </c>
    </row>
    <row r="161" spans="1:30" ht="20.25" customHeight="1">
      <c r="A161" s="793">
        <v>126</v>
      </c>
      <c r="B161" s="778" t="s">
        <v>733</v>
      </c>
      <c r="C161" s="779" t="s">
        <v>634</v>
      </c>
      <c r="D161" s="779">
        <v>5</v>
      </c>
      <c r="E161" s="1350">
        <f t="shared" si="8"/>
        <v>60.33</v>
      </c>
      <c r="F161" s="781">
        <f t="shared" si="9"/>
        <v>301.64999999999998</v>
      </c>
      <c r="H161" s="782"/>
      <c r="I161" s="783"/>
      <c r="J161" s="783"/>
      <c r="K161" s="783"/>
      <c r="L161" s="783"/>
      <c r="M161" s="783"/>
      <c r="N161" s="783"/>
      <c r="O161" s="783"/>
      <c r="P161" s="783"/>
      <c r="Q161" s="783"/>
      <c r="R161" s="783"/>
      <c r="S161" s="783"/>
      <c r="T161" s="783"/>
      <c r="U161" s="783"/>
      <c r="V161" s="783"/>
      <c r="W161" s="783"/>
      <c r="X161" s="783"/>
      <c r="Y161" s="783"/>
      <c r="Z161" s="783"/>
      <c r="AA161" s="783"/>
      <c r="AB161" s="772">
        <v>55</v>
      </c>
      <c r="AC161" s="772">
        <v>58</v>
      </c>
      <c r="AD161" s="772">
        <v>68</v>
      </c>
    </row>
    <row r="162" spans="1:30" ht="20.25" customHeight="1">
      <c r="A162" s="793">
        <v>127</v>
      </c>
      <c r="B162" s="778" t="s">
        <v>734</v>
      </c>
      <c r="C162" s="779" t="s">
        <v>735</v>
      </c>
      <c r="D162" s="779">
        <v>2</v>
      </c>
      <c r="E162" s="1350">
        <f t="shared" si="8"/>
        <v>182.33</v>
      </c>
      <c r="F162" s="781">
        <f t="shared" si="9"/>
        <v>364.66</v>
      </c>
      <c r="H162" s="782"/>
      <c r="I162" s="783"/>
      <c r="J162" s="783"/>
      <c r="K162" s="783"/>
      <c r="L162" s="783"/>
      <c r="M162" s="783"/>
      <c r="N162" s="783"/>
      <c r="O162" s="783"/>
      <c r="P162" s="783"/>
      <c r="Q162" s="783"/>
      <c r="R162" s="783"/>
      <c r="S162" s="783"/>
      <c r="T162" s="783"/>
      <c r="U162" s="783"/>
      <c r="V162" s="783"/>
      <c r="W162" s="783"/>
      <c r="X162" s="783"/>
      <c r="Y162" s="783"/>
      <c r="Z162" s="783"/>
      <c r="AA162" s="783"/>
      <c r="AB162" s="772">
        <v>178</v>
      </c>
      <c r="AC162" s="772">
        <v>180</v>
      </c>
      <c r="AD162" s="772">
        <v>189</v>
      </c>
    </row>
    <row r="163" spans="1:30" ht="20.25" customHeight="1">
      <c r="A163" s="793">
        <v>128</v>
      </c>
      <c r="B163" s="778" t="s">
        <v>736</v>
      </c>
      <c r="C163" s="779" t="s">
        <v>735</v>
      </c>
      <c r="D163" s="779">
        <v>2</v>
      </c>
      <c r="E163" s="1350">
        <f t="shared" si="8"/>
        <v>182.67</v>
      </c>
      <c r="F163" s="781">
        <f t="shared" si="9"/>
        <v>365.34</v>
      </c>
      <c r="H163" s="782"/>
      <c r="I163" s="783"/>
      <c r="J163" s="783"/>
      <c r="K163" s="783"/>
      <c r="L163" s="783"/>
      <c r="M163" s="783"/>
      <c r="N163" s="783"/>
      <c r="O163" s="783"/>
      <c r="P163" s="783"/>
      <c r="Q163" s="783"/>
      <c r="R163" s="783"/>
      <c r="S163" s="783"/>
      <c r="T163" s="783"/>
      <c r="U163" s="783"/>
      <c r="V163" s="783"/>
      <c r="W163" s="783"/>
      <c r="X163" s="783"/>
      <c r="Y163" s="783"/>
      <c r="Z163" s="783"/>
      <c r="AA163" s="783"/>
      <c r="AB163" s="772">
        <v>178</v>
      </c>
      <c r="AC163" s="772">
        <v>175</v>
      </c>
      <c r="AD163" s="772">
        <v>195</v>
      </c>
    </row>
    <row r="164" spans="1:30" ht="20.25" customHeight="1">
      <c r="A164" s="793">
        <v>129</v>
      </c>
      <c r="B164" s="778" t="s">
        <v>737</v>
      </c>
      <c r="C164" s="779" t="s">
        <v>678</v>
      </c>
      <c r="D164" s="779">
        <v>1</v>
      </c>
      <c r="E164" s="1350">
        <f t="shared" si="8"/>
        <v>281</v>
      </c>
      <c r="F164" s="781">
        <f t="shared" si="9"/>
        <v>281</v>
      </c>
      <c r="H164" s="782"/>
      <c r="I164" s="783"/>
      <c r="J164" s="783"/>
      <c r="K164" s="783"/>
      <c r="L164" s="783"/>
      <c r="M164" s="783"/>
      <c r="N164" s="783"/>
      <c r="O164" s="783"/>
      <c r="P164" s="783"/>
      <c r="Q164" s="783"/>
      <c r="R164" s="783"/>
      <c r="S164" s="783"/>
      <c r="T164" s="783"/>
      <c r="U164" s="783"/>
      <c r="V164" s="783"/>
      <c r="W164" s="783"/>
      <c r="X164" s="783"/>
      <c r="Y164" s="783"/>
      <c r="Z164" s="783"/>
      <c r="AA164" s="783"/>
      <c r="AB164" s="772">
        <v>278</v>
      </c>
      <c r="AC164" s="772">
        <v>280</v>
      </c>
      <c r="AD164" s="772">
        <v>285</v>
      </c>
    </row>
    <row r="165" spans="1:30" ht="20.25" customHeight="1">
      <c r="A165" s="795" t="s">
        <v>738</v>
      </c>
      <c r="B165" s="796"/>
      <c r="C165" s="796"/>
      <c r="D165" s="796"/>
      <c r="E165" s="1354" t="s">
        <v>1008</v>
      </c>
      <c r="F165" s="1031" t="s">
        <v>857</v>
      </c>
      <c r="H165" s="782"/>
      <c r="I165" s="783"/>
      <c r="J165" s="783"/>
      <c r="K165" s="783"/>
      <c r="L165" s="783"/>
      <c r="M165" s="783"/>
      <c r="N165" s="783"/>
      <c r="O165" s="783"/>
      <c r="P165" s="783"/>
      <c r="Q165" s="783"/>
      <c r="R165" s="783"/>
      <c r="S165" s="783"/>
      <c r="T165" s="783"/>
      <c r="U165" s="783"/>
      <c r="V165" s="783"/>
      <c r="W165" s="783"/>
      <c r="X165" s="783"/>
      <c r="Y165" s="783"/>
      <c r="Z165" s="783"/>
      <c r="AA165" s="783"/>
      <c r="AB165" s="772" t="s">
        <v>590</v>
      </c>
      <c r="AC165" s="772" t="s">
        <v>591</v>
      </c>
      <c r="AD165" s="772" t="s">
        <v>592</v>
      </c>
    </row>
    <row r="166" spans="1:30" ht="20.25" customHeight="1">
      <c r="A166" s="792" t="s">
        <v>440</v>
      </c>
      <c r="B166" s="797" t="s">
        <v>407</v>
      </c>
      <c r="C166" s="798" t="s">
        <v>678</v>
      </c>
      <c r="D166" s="798"/>
      <c r="E166" s="1355"/>
      <c r="F166" s="1032"/>
      <c r="H166" s="782"/>
      <c r="I166" s="783"/>
      <c r="J166" s="783"/>
      <c r="K166" s="783"/>
      <c r="L166" s="783"/>
      <c r="M166" s="783"/>
      <c r="N166" s="783"/>
      <c r="O166" s="783"/>
      <c r="P166" s="783"/>
      <c r="Q166" s="783"/>
      <c r="R166" s="783"/>
      <c r="S166" s="783"/>
      <c r="T166" s="783"/>
      <c r="U166" s="783"/>
      <c r="V166" s="783"/>
      <c r="W166" s="783"/>
      <c r="X166" s="783"/>
      <c r="Y166" s="783"/>
      <c r="Z166" s="783"/>
      <c r="AA166" s="783"/>
      <c r="AB166" s="772" t="s">
        <v>594</v>
      </c>
      <c r="AC166" s="772" t="s">
        <v>594</v>
      </c>
      <c r="AD166" s="772" t="s">
        <v>594</v>
      </c>
    </row>
    <row r="167" spans="1:30" ht="20.25" customHeight="1">
      <c r="A167" s="777">
        <v>130</v>
      </c>
      <c r="B167" s="799" t="s">
        <v>739</v>
      </c>
      <c r="C167" s="777" t="s">
        <v>678</v>
      </c>
      <c r="D167" s="777">
        <v>1</v>
      </c>
      <c r="E167" s="1350">
        <f t="shared" ref="E167:E205" si="10">ROUND(AVERAGE(AB167,AC167,AD167),2)</f>
        <v>115.33</v>
      </c>
      <c r="F167" s="781">
        <f t="shared" ref="F167:F205" si="11">D167*E167</f>
        <v>115.33</v>
      </c>
      <c r="H167" s="782"/>
      <c r="I167" s="783"/>
      <c r="J167" s="783"/>
      <c r="K167" s="783"/>
      <c r="L167" s="783"/>
      <c r="M167" s="783"/>
      <c r="N167" s="783"/>
      <c r="O167" s="783"/>
      <c r="P167" s="783"/>
      <c r="Q167" s="783"/>
      <c r="R167" s="783"/>
      <c r="S167" s="783"/>
      <c r="T167" s="783"/>
      <c r="U167" s="783"/>
      <c r="V167" s="783"/>
      <c r="W167" s="783"/>
      <c r="X167" s="783"/>
      <c r="Y167" s="783"/>
      <c r="Z167" s="783"/>
      <c r="AA167" s="783"/>
      <c r="AB167" s="772">
        <v>110</v>
      </c>
      <c r="AC167" s="772">
        <v>120</v>
      </c>
      <c r="AD167" s="772">
        <v>116</v>
      </c>
    </row>
    <row r="168" spans="1:30" ht="20.25" customHeight="1">
      <c r="A168" s="777">
        <v>131</v>
      </c>
      <c r="B168" s="799" t="s">
        <v>740</v>
      </c>
      <c r="C168" s="800" t="s">
        <v>678</v>
      </c>
      <c r="D168" s="800">
        <v>1</v>
      </c>
      <c r="E168" s="1350">
        <f t="shared" si="10"/>
        <v>52.33</v>
      </c>
      <c r="F168" s="781">
        <f t="shared" si="11"/>
        <v>52.33</v>
      </c>
      <c r="H168" s="782"/>
      <c r="I168" s="783"/>
      <c r="J168" s="783"/>
      <c r="K168" s="783"/>
      <c r="L168" s="783"/>
      <c r="M168" s="783"/>
      <c r="N168" s="783"/>
      <c r="O168" s="783"/>
      <c r="P168" s="783"/>
      <c r="Q168" s="783"/>
      <c r="R168" s="783"/>
      <c r="S168" s="783"/>
      <c r="T168" s="783"/>
      <c r="U168" s="783"/>
      <c r="V168" s="783"/>
      <c r="W168" s="783"/>
      <c r="X168" s="783"/>
      <c r="Y168" s="783"/>
      <c r="Z168" s="783"/>
      <c r="AA168" s="783"/>
      <c r="AB168" s="772">
        <v>45</v>
      </c>
      <c r="AC168" s="772">
        <v>60</v>
      </c>
      <c r="AD168" s="772">
        <v>52</v>
      </c>
    </row>
    <row r="169" spans="1:30" ht="20.25" customHeight="1">
      <c r="A169" s="777">
        <v>132</v>
      </c>
      <c r="B169" s="799" t="s">
        <v>741</v>
      </c>
      <c r="C169" s="800" t="s">
        <v>678</v>
      </c>
      <c r="D169" s="800">
        <v>1</v>
      </c>
      <c r="E169" s="1350">
        <f t="shared" si="10"/>
        <v>26</v>
      </c>
      <c r="F169" s="781">
        <f t="shared" si="11"/>
        <v>26</v>
      </c>
      <c r="H169" s="782"/>
      <c r="I169" s="783"/>
      <c r="J169" s="783"/>
      <c r="K169" s="783"/>
      <c r="L169" s="783"/>
      <c r="M169" s="783"/>
      <c r="N169" s="783"/>
      <c r="O169" s="783"/>
      <c r="P169" s="783"/>
      <c r="Q169" s="783"/>
      <c r="R169" s="783"/>
      <c r="S169" s="783"/>
      <c r="T169" s="783"/>
      <c r="U169" s="783"/>
      <c r="V169" s="783"/>
      <c r="W169" s="783"/>
      <c r="X169" s="783"/>
      <c r="Y169" s="783"/>
      <c r="Z169" s="783"/>
      <c r="AA169" s="783"/>
      <c r="AB169" s="772">
        <v>24</v>
      </c>
      <c r="AC169" s="772">
        <v>18</v>
      </c>
      <c r="AD169" s="772">
        <v>36</v>
      </c>
    </row>
    <row r="170" spans="1:30" ht="20.25" customHeight="1">
      <c r="A170" s="777">
        <v>133</v>
      </c>
      <c r="B170" s="799" t="s">
        <v>742</v>
      </c>
      <c r="C170" s="800" t="s">
        <v>678</v>
      </c>
      <c r="D170" s="800">
        <v>2</v>
      </c>
      <c r="E170" s="1350">
        <f t="shared" si="10"/>
        <v>7.87</v>
      </c>
      <c r="F170" s="781">
        <f t="shared" si="11"/>
        <v>15.74</v>
      </c>
      <c r="H170" s="782"/>
      <c r="I170" s="783"/>
      <c r="J170" s="783"/>
      <c r="K170" s="783"/>
      <c r="L170" s="783"/>
      <c r="M170" s="783"/>
      <c r="N170" s="783"/>
      <c r="O170" s="783"/>
      <c r="P170" s="783"/>
      <c r="Q170" s="783"/>
      <c r="R170" s="783"/>
      <c r="S170" s="783"/>
      <c r="T170" s="783"/>
      <c r="U170" s="783"/>
      <c r="V170" s="783"/>
      <c r="W170" s="783"/>
      <c r="X170" s="783"/>
      <c r="Y170" s="783"/>
      <c r="Z170" s="783"/>
      <c r="AA170" s="783"/>
      <c r="AB170" s="772">
        <v>5.9</v>
      </c>
      <c r="AC170" s="772">
        <v>11.5</v>
      </c>
      <c r="AD170" s="772">
        <v>6.2</v>
      </c>
    </row>
    <row r="171" spans="1:30" ht="20.25" customHeight="1">
      <c r="A171" s="777">
        <v>134</v>
      </c>
      <c r="B171" s="799" t="s">
        <v>743</v>
      </c>
      <c r="C171" s="800" t="s">
        <v>678</v>
      </c>
      <c r="D171" s="800">
        <v>2</v>
      </c>
      <c r="E171" s="1350">
        <f t="shared" si="10"/>
        <v>12.45</v>
      </c>
      <c r="F171" s="781">
        <f t="shared" si="11"/>
        <v>24.9</v>
      </c>
      <c r="H171" s="782"/>
      <c r="I171" s="783"/>
      <c r="J171" s="783"/>
      <c r="K171" s="783"/>
      <c r="L171" s="783"/>
      <c r="M171" s="783"/>
      <c r="N171" s="783"/>
      <c r="O171" s="783"/>
      <c r="P171" s="783"/>
      <c r="Q171" s="783"/>
      <c r="R171" s="783"/>
      <c r="S171" s="783"/>
      <c r="T171" s="783"/>
      <c r="U171" s="783"/>
      <c r="V171" s="783"/>
      <c r="W171" s="783"/>
      <c r="X171" s="783"/>
      <c r="Y171" s="783"/>
      <c r="Z171" s="783"/>
      <c r="AA171" s="783"/>
      <c r="AB171" s="772">
        <v>10</v>
      </c>
      <c r="AC171" s="772">
        <v>14.35</v>
      </c>
      <c r="AD171" s="772">
        <v>13</v>
      </c>
    </row>
    <row r="172" spans="1:30" ht="20.25" customHeight="1">
      <c r="A172" s="777">
        <v>135</v>
      </c>
      <c r="B172" s="799" t="s">
        <v>744</v>
      </c>
      <c r="C172" s="800" t="s">
        <v>678</v>
      </c>
      <c r="D172" s="800">
        <v>2</v>
      </c>
      <c r="E172" s="1350">
        <f t="shared" si="10"/>
        <v>9.33</v>
      </c>
      <c r="F172" s="781">
        <f t="shared" si="11"/>
        <v>18.66</v>
      </c>
      <c r="H172" s="782"/>
      <c r="I172" s="783"/>
      <c r="J172" s="783"/>
      <c r="K172" s="783"/>
      <c r="L172" s="783"/>
      <c r="M172" s="783"/>
      <c r="N172" s="783"/>
      <c r="O172" s="783"/>
      <c r="P172" s="783"/>
      <c r="Q172" s="783"/>
      <c r="R172" s="783"/>
      <c r="S172" s="783"/>
      <c r="T172" s="783"/>
      <c r="U172" s="783"/>
      <c r="V172" s="783"/>
      <c r="W172" s="783"/>
      <c r="X172" s="783"/>
      <c r="Y172" s="783"/>
      <c r="Z172" s="783"/>
      <c r="AA172" s="783"/>
      <c r="AB172" s="772">
        <v>8</v>
      </c>
      <c r="AC172" s="772">
        <v>9.5</v>
      </c>
      <c r="AD172" s="772">
        <v>10.5</v>
      </c>
    </row>
    <row r="173" spans="1:30" ht="20.25" customHeight="1">
      <c r="A173" s="777">
        <v>136</v>
      </c>
      <c r="B173" s="799" t="s">
        <v>745</v>
      </c>
      <c r="C173" s="800" t="s">
        <v>678</v>
      </c>
      <c r="D173" s="800">
        <v>2</v>
      </c>
      <c r="E173" s="1350">
        <f t="shared" si="10"/>
        <v>15.43</v>
      </c>
      <c r="F173" s="781">
        <f t="shared" si="11"/>
        <v>30.86</v>
      </c>
      <c r="H173" s="782"/>
      <c r="I173" s="783"/>
      <c r="J173" s="783"/>
      <c r="K173" s="783"/>
      <c r="L173" s="783"/>
      <c r="M173" s="783"/>
      <c r="N173" s="783"/>
      <c r="O173" s="783"/>
      <c r="P173" s="783"/>
      <c r="Q173" s="783"/>
      <c r="R173" s="783"/>
      <c r="S173" s="783"/>
      <c r="T173" s="783"/>
      <c r="U173" s="783"/>
      <c r="V173" s="783"/>
      <c r="W173" s="783"/>
      <c r="X173" s="783"/>
      <c r="Y173" s="783"/>
      <c r="Z173" s="783"/>
      <c r="AA173" s="783"/>
      <c r="AB173" s="772">
        <v>12.5</v>
      </c>
      <c r="AC173" s="772">
        <v>19.3</v>
      </c>
      <c r="AD173" s="772">
        <v>14.5</v>
      </c>
    </row>
    <row r="174" spans="1:30" ht="20.25" customHeight="1">
      <c r="A174" s="777">
        <v>137</v>
      </c>
      <c r="B174" s="799" t="s">
        <v>746</v>
      </c>
      <c r="C174" s="800" t="s">
        <v>678</v>
      </c>
      <c r="D174" s="800">
        <v>2</v>
      </c>
      <c r="E174" s="1350">
        <f t="shared" si="10"/>
        <v>5.87</v>
      </c>
      <c r="F174" s="781">
        <f t="shared" si="11"/>
        <v>11.74</v>
      </c>
      <c r="H174" s="782"/>
      <c r="I174" s="783"/>
      <c r="J174" s="783"/>
      <c r="K174" s="783"/>
      <c r="L174" s="783"/>
      <c r="M174" s="783"/>
      <c r="N174" s="783"/>
      <c r="O174" s="783"/>
      <c r="P174" s="783"/>
      <c r="Q174" s="783"/>
      <c r="R174" s="783"/>
      <c r="S174" s="783"/>
      <c r="T174" s="783"/>
      <c r="U174" s="783"/>
      <c r="V174" s="783"/>
      <c r="W174" s="783"/>
      <c r="X174" s="783"/>
      <c r="Y174" s="783"/>
      <c r="Z174" s="783"/>
      <c r="AA174" s="783"/>
      <c r="AB174" s="772">
        <v>5.3</v>
      </c>
      <c r="AC174" s="772">
        <v>5</v>
      </c>
      <c r="AD174" s="772">
        <v>7.3</v>
      </c>
    </row>
    <row r="175" spans="1:30" ht="20.25" customHeight="1">
      <c r="A175" s="777">
        <v>138</v>
      </c>
      <c r="B175" s="799" t="s">
        <v>747</v>
      </c>
      <c r="C175" s="800" t="s">
        <v>748</v>
      </c>
      <c r="D175" s="800">
        <v>2</v>
      </c>
      <c r="E175" s="1350">
        <f t="shared" si="10"/>
        <v>92.4</v>
      </c>
      <c r="F175" s="781">
        <f t="shared" si="11"/>
        <v>184.8</v>
      </c>
      <c r="H175" s="782"/>
      <c r="I175" s="783"/>
      <c r="J175" s="783"/>
      <c r="K175" s="783"/>
      <c r="L175" s="783"/>
      <c r="M175" s="783"/>
      <c r="N175" s="783"/>
      <c r="O175" s="783"/>
      <c r="P175" s="783"/>
      <c r="Q175" s="783"/>
      <c r="R175" s="783"/>
      <c r="S175" s="783"/>
      <c r="T175" s="783"/>
      <c r="U175" s="783"/>
      <c r="V175" s="783"/>
      <c r="W175" s="783"/>
      <c r="X175" s="783"/>
      <c r="Y175" s="783"/>
      <c r="Z175" s="783"/>
      <c r="AA175" s="783"/>
      <c r="AB175" s="772">
        <v>90</v>
      </c>
      <c r="AC175" s="772">
        <v>92</v>
      </c>
      <c r="AD175" s="772">
        <v>95.2</v>
      </c>
    </row>
    <row r="176" spans="1:30" ht="20.25" customHeight="1">
      <c r="A176" s="777">
        <v>139</v>
      </c>
      <c r="B176" s="799" t="s">
        <v>749</v>
      </c>
      <c r="C176" s="800" t="s">
        <v>634</v>
      </c>
      <c r="D176" s="800">
        <v>10</v>
      </c>
      <c r="E176" s="1350">
        <f t="shared" si="10"/>
        <v>8.67</v>
      </c>
      <c r="F176" s="781">
        <f t="shared" si="11"/>
        <v>86.7</v>
      </c>
      <c r="H176" s="782"/>
      <c r="I176" s="783"/>
      <c r="J176" s="783"/>
      <c r="K176" s="783"/>
      <c r="L176" s="783"/>
      <c r="M176" s="783"/>
      <c r="N176" s="783"/>
      <c r="O176" s="783"/>
      <c r="P176" s="783"/>
      <c r="Q176" s="783"/>
      <c r="R176" s="783"/>
      <c r="S176" s="783"/>
      <c r="T176" s="783"/>
      <c r="U176" s="783"/>
      <c r="V176" s="783"/>
      <c r="W176" s="783"/>
      <c r="X176" s="783"/>
      <c r="Y176" s="783"/>
      <c r="Z176" s="783"/>
      <c r="AA176" s="783"/>
      <c r="AB176" s="772">
        <v>6.9</v>
      </c>
      <c r="AC176" s="772">
        <v>10.199999999999999</v>
      </c>
      <c r="AD176" s="772">
        <v>8.9</v>
      </c>
    </row>
    <row r="177" spans="1:30" ht="20.25" customHeight="1">
      <c r="A177" s="777">
        <v>140</v>
      </c>
      <c r="B177" s="799" t="s">
        <v>750</v>
      </c>
      <c r="C177" s="800" t="s">
        <v>610</v>
      </c>
      <c r="D177" s="800">
        <v>2</v>
      </c>
      <c r="E177" s="1350">
        <f t="shared" si="10"/>
        <v>13.67</v>
      </c>
      <c r="F177" s="781">
        <f t="shared" si="11"/>
        <v>27.34</v>
      </c>
      <c r="H177" s="782"/>
      <c r="I177" s="783"/>
      <c r="J177" s="783"/>
      <c r="K177" s="783"/>
      <c r="L177" s="783"/>
      <c r="M177" s="783"/>
      <c r="N177" s="783"/>
      <c r="O177" s="783"/>
      <c r="P177" s="783"/>
      <c r="Q177" s="783"/>
      <c r="R177" s="783"/>
      <c r="S177" s="783"/>
      <c r="T177" s="783"/>
      <c r="U177" s="783"/>
      <c r="V177" s="783"/>
      <c r="W177" s="783"/>
      <c r="X177" s="783"/>
      <c r="Y177" s="783"/>
      <c r="Z177" s="783"/>
      <c r="AA177" s="783"/>
      <c r="AB177" s="772">
        <v>10</v>
      </c>
      <c r="AC177" s="772">
        <v>18.5</v>
      </c>
      <c r="AD177" s="772">
        <v>12.5</v>
      </c>
    </row>
    <row r="178" spans="1:30" ht="20.25" customHeight="1">
      <c r="A178" s="777">
        <v>141</v>
      </c>
      <c r="B178" s="799" t="s">
        <v>751</v>
      </c>
      <c r="C178" s="800" t="s">
        <v>610</v>
      </c>
      <c r="D178" s="800">
        <v>2</v>
      </c>
      <c r="E178" s="1350">
        <f t="shared" si="10"/>
        <v>6.83</v>
      </c>
      <c r="F178" s="781">
        <f t="shared" si="11"/>
        <v>13.66</v>
      </c>
      <c r="H178" s="782"/>
      <c r="I178" s="783"/>
      <c r="J178" s="783"/>
      <c r="K178" s="783"/>
      <c r="L178" s="783"/>
      <c r="M178" s="783"/>
      <c r="N178" s="783"/>
      <c r="O178" s="783"/>
      <c r="P178" s="783"/>
      <c r="Q178" s="783"/>
      <c r="R178" s="783"/>
      <c r="S178" s="783"/>
      <c r="T178" s="783"/>
      <c r="U178" s="783"/>
      <c r="V178" s="783"/>
      <c r="W178" s="783"/>
      <c r="X178" s="783"/>
      <c r="Y178" s="783"/>
      <c r="Z178" s="783"/>
      <c r="AA178" s="783"/>
      <c r="AB178" s="772">
        <v>5.4</v>
      </c>
      <c r="AC178" s="772">
        <v>7.5</v>
      </c>
      <c r="AD178" s="772">
        <v>7.6</v>
      </c>
    </row>
    <row r="179" spans="1:30" ht="20.25" customHeight="1">
      <c r="A179" s="777">
        <v>142</v>
      </c>
      <c r="B179" s="799" t="s">
        <v>752</v>
      </c>
      <c r="C179" s="800" t="s">
        <v>610</v>
      </c>
      <c r="D179" s="800">
        <v>2</v>
      </c>
      <c r="E179" s="1350">
        <f t="shared" si="10"/>
        <v>8</v>
      </c>
      <c r="F179" s="781">
        <f t="shared" si="11"/>
        <v>16</v>
      </c>
      <c r="H179" s="782"/>
      <c r="I179" s="783"/>
      <c r="J179" s="783"/>
      <c r="K179" s="783"/>
      <c r="L179" s="783"/>
      <c r="M179" s="783"/>
      <c r="N179" s="783"/>
      <c r="O179" s="783"/>
      <c r="P179" s="783"/>
      <c r="Q179" s="783"/>
      <c r="R179" s="783"/>
      <c r="S179" s="783"/>
      <c r="T179" s="783"/>
      <c r="U179" s="783"/>
      <c r="V179" s="783"/>
      <c r="W179" s="783"/>
      <c r="X179" s="783"/>
      <c r="Y179" s="783"/>
      <c r="Z179" s="783"/>
      <c r="AA179" s="783"/>
      <c r="AB179" s="772">
        <v>6.5</v>
      </c>
      <c r="AC179" s="772">
        <v>9</v>
      </c>
      <c r="AD179" s="772">
        <v>8.5</v>
      </c>
    </row>
    <row r="180" spans="1:30" ht="20.25" customHeight="1">
      <c r="A180" s="777">
        <v>143</v>
      </c>
      <c r="B180" s="799" t="s">
        <v>753</v>
      </c>
      <c r="C180" s="800" t="s">
        <v>610</v>
      </c>
      <c r="D180" s="800">
        <v>2</v>
      </c>
      <c r="E180" s="1350">
        <f t="shared" si="10"/>
        <v>5.77</v>
      </c>
      <c r="F180" s="781">
        <f t="shared" si="11"/>
        <v>11.54</v>
      </c>
      <c r="H180" s="782"/>
      <c r="I180" s="783"/>
      <c r="J180" s="783"/>
      <c r="K180" s="783"/>
      <c r="L180" s="783"/>
      <c r="M180" s="783"/>
      <c r="N180" s="783"/>
      <c r="O180" s="783"/>
      <c r="P180" s="783"/>
      <c r="Q180" s="783"/>
      <c r="R180" s="783"/>
      <c r="S180" s="783"/>
      <c r="T180" s="783"/>
      <c r="U180" s="783"/>
      <c r="V180" s="783"/>
      <c r="W180" s="783"/>
      <c r="X180" s="783"/>
      <c r="Y180" s="783"/>
      <c r="Z180" s="783"/>
      <c r="AA180" s="783"/>
      <c r="AB180" s="772">
        <v>4.5999999999999996</v>
      </c>
      <c r="AC180" s="772">
        <v>6.5</v>
      </c>
      <c r="AD180" s="772">
        <v>6.2</v>
      </c>
    </row>
    <row r="181" spans="1:30" ht="20.25" customHeight="1">
      <c r="A181" s="777">
        <v>144</v>
      </c>
      <c r="B181" s="799" t="s">
        <v>754</v>
      </c>
      <c r="C181" s="800" t="s">
        <v>755</v>
      </c>
      <c r="D181" s="800">
        <v>10</v>
      </c>
      <c r="E181" s="1350">
        <f t="shared" si="10"/>
        <v>25.9</v>
      </c>
      <c r="F181" s="781">
        <f t="shared" si="11"/>
        <v>259</v>
      </c>
      <c r="H181" s="782"/>
      <c r="I181" s="783"/>
      <c r="J181" s="783"/>
      <c r="K181" s="783"/>
      <c r="L181" s="783"/>
      <c r="M181" s="783"/>
      <c r="N181" s="783"/>
      <c r="O181" s="783"/>
      <c r="P181" s="783"/>
      <c r="Q181" s="783"/>
      <c r="R181" s="783"/>
      <c r="S181" s="783"/>
      <c r="T181" s="783"/>
      <c r="U181" s="783"/>
      <c r="V181" s="783"/>
      <c r="W181" s="783"/>
      <c r="X181" s="783"/>
      <c r="Y181" s="783"/>
      <c r="Z181" s="783"/>
      <c r="AA181" s="783"/>
      <c r="AB181" s="772">
        <v>23</v>
      </c>
      <c r="AC181" s="772">
        <v>28.5</v>
      </c>
      <c r="AD181" s="772">
        <v>26.2</v>
      </c>
    </row>
    <row r="182" spans="1:30" ht="20.25" customHeight="1">
      <c r="A182" s="777">
        <v>145</v>
      </c>
      <c r="B182" s="799" t="s">
        <v>756</v>
      </c>
      <c r="C182" s="800" t="s">
        <v>678</v>
      </c>
      <c r="D182" s="800">
        <v>2</v>
      </c>
      <c r="E182" s="1350">
        <f t="shared" si="10"/>
        <v>8.23</v>
      </c>
      <c r="F182" s="781">
        <f t="shared" si="11"/>
        <v>16.46</v>
      </c>
      <c r="H182" s="782"/>
      <c r="I182" s="783"/>
      <c r="J182" s="783"/>
      <c r="K182" s="783"/>
      <c r="L182" s="783"/>
      <c r="M182" s="783"/>
      <c r="N182" s="783"/>
      <c r="O182" s="783"/>
      <c r="P182" s="783"/>
      <c r="Q182" s="783"/>
      <c r="R182" s="783"/>
      <c r="S182" s="783"/>
      <c r="T182" s="783"/>
      <c r="U182" s="783"/>
      <c r="V182" s="783"/>
      <c r="W182" s="783"/>
      <c r="X182" s="783"/>
      <c r="Y182" s="783"/>
      <c r="Z182" s="783"/>
      <c r="AA182" s="783"/>
      <c r="AB182" s="772">
        <v>7.2</v>
      </c>
      <c r="AC182" s="772">
        <v>8</v>
      </c>
      <c r="AD182" s="772">
        <v>9.5</v>
      </c>
    </row>
    <row r="183" spans="1:30" ht="20.25" customHeight="1">
      <c r="A183" s="777">
        <v>146</v>
      </c>
      <c r="B183" s="801" t="s">
        <v>757</v>
      </c>
      <c r="C183" s="800" t="s">
        <v>748</v>
      </c>
      <c r="D183" s="800">
        <v>2</v>
      </c>
      <c r="E183" s="1350">
        <f t="shared" si="10"/>
        <v>1838.33</v>
      </c>
      <c r="F183" s="781">
        <f t="shared" si="11"/>
        <v>3676.66</v>
      </c>
      <c r="H183" s="782"/>
      <c r="I183" s="783"/>
      <c r="J183" s="783"/>
      <c r="K183" s="783"/>
      <c r="L183" s="783"/>
      <c r="M183" s="783"/>
      <c r="N183" s="783"/>
      <c r="O183" s="783"/>
      <c r="P183" s="783"/>
      <c r="Q183" s="783"/>
      <c r="R183" s="783"/>
      <c r="S183" s="783"/>
      <c r="T183" s="783"/>
      <c r="U183" s="783"/>
      <c r="V183" s="783"/>
      <c r="W183" s="783"/>
      <c r="X183" s="783"/>
      <c r="Y183" s="783"/>
      <c r="Z183" s="783"/>
      <c r="AA183" s="783"/>
      <c r="AB183" s="772">
        <v>1675</v>
      </c>
      <c r="AC183" s="772">
        <v>2120</v>
      </c>
      <c r="AD183" s="772">
        <v>1720</v>
      </c>
    </row>
    <row r="184" spans="1:30" ht="20.25" customHeight="1">
      <c r="A184" s="777">
        <v>147</v>
      </c>
      <c r="B184" s="799" t="s">
        <v>758</v>
      </c>
      <c r="C184" s="800" t="s">
        <v>748</v>
      </c>
      <c r="D184" s="800">
        <v>2</v>
      </c>
      <c r="E184" s="1350">
        <f t="shared" si="10"/>
        <v>645</v>
      </c>
      <c r="F184" s="781">
        <f t="shared" si="11"/>
        <v>1290</v>
      </c>
      <c r="H184" s="782"/>
      <c r="I184" s="783"/>
      <c r="J184" s="783"/>
      <c r="K184" s="783"/>
      <c r="L184" s="783"/>
      <c r="M184" s="783"/>
      <c r="N184" s="783"/>
      <c r="O184" s="783"/>
      <c r="P184" s="783"/>
      <c r="Q184" s="783"/>
      <c r="R184" s="783"/>
      <c r="S184" s="783"/>
      <c r="T184" s="783"/>
      <c r="U184" s="783"/>
      <c r="V184" s="783"/>
      <c r="W184" s="783"/>
      <c r="X184" s="783"/>
      <c r="Y184" s="783"/>
      <c r="Z184" s="783"/>
      <c r="AA184" s="783"/>
      <c r="AB184" s="772">
        <v>620</v>
      </c>
      <c r="AC184" s="772">
        <v>670</v>
      </c>
      <c r="AD184" s="772">
        <v>645</v>
      </c>
    </row>
    <row r="185" spans="1:30" ht="20.25" customHeight="1">
      <c r="A185" s="777">
        <v>148</v>
      </c>
      <c r="B185" s="799" t="s">
        <v>759</v>
      </c>
      <c r="C185" s="800" t="s">
        <v>748</v>
      </c>
      <c r="D185" s="800">
        <v>2</v>
      </c>
      <c r="E185" s="1350">
        <f t="shared" si="10"/>
        <v>668</v>
      </c>
      <c r="F185" s="781">
        <f t="shared" si="11"/>
        <v>1336</v>
      </c>
      <c r="H185" s="782"/>
      <c r="I185" s="783"/>
      <c r="J185" s="783"/>
      <c r="K185" s="783"/>
      <c r="L185" s="783"/>
      <c r="M185" s="783"/>
      <c r="N185" s="783"/>
      <c r="O185" s="783"/>
      <c r="P185" s="783"/>
      <c r="Q185" s="783"/>
      <c r="R185" s="783"/>
      <c r="S185" s="783"/>
      <c r="T185" s="783"/>
      <c r="U185" s="783"/>
      <c r="V185" s="783"/>
      <c r="W185" s="783"/>
      <c r="X185" s="783"/>
      <c r="Y185" s="783"/>
      <c r="Z185" s="783"/>
      <c r="AA185" s="783"/>
      <c r="AB185" s="772">
        <v>657</v>
      </c>
      <c r="AC185" s="772">
        <v>680</v>
      </c>
      <c r="AD185" s="772">
        <v>667</v>
      </c>
    </row>
    <row r="186" spans="1:30" ht="20.25" customHeight="1">
      <c r="A186" s="777">
        <v>149</v>
      </c>
      <c r="B186" s="799" t="s">
        <v>760</v>
      </c>
      <c r="C186" s="800" t="s">
        <v>678</v>
      </c>
      <c r="D186" s="800">
        <v>2</v>
      </c>
      <c r="E186" s="1350">
        <f t="shared" si="10"/>
        <v>26.91</v>
      </c>
      <c r="F186" s="781">
        <f t="shared" si="11"/>
        <v>53.82</v>
      </c>
      <c r="H186" s="782"/>
      <c r="I186" s="783"/>
      <c r="J186" s="783"/>
      <c r="K186" s="783"/>
      <c r="L186" s="783"/>
      <c r="M186" s="783"/>
      <c r="N186" s="783"/>
      <c r="O186" s="783"/>
      <c r="P186" s="783"/>
      <c r="Q186" s="783"/>
      <c r="R186" s="783"/>
      <c r="S186" s="783"/>
      <c r="T186" s="783"/>
      <c r="U186" s="783"/>
      <c r="V186" s="783"/>
      <c r="W186" s="783"/>
      <c r="X186" s="783"/>
      <c r="Y186" s="783"/>
      <c r="Z186" s="783"/>
      <c r="AA186" s="783"/>
      <c r="AB186" s="772">
        <v>25.52</v>
      </c>
      <c r="AC186" s="772">
        <v>28</v>
      </c>
      <c r="AD186" s="772">
        <v>27.2</v>
      </c>
    </row>
    <row r="187" spans="1:30" ht="20.25" customHeight="1">
      <c r="A187" s="777">
        <v>150</v>
      </c>
      <c r="B187" s="799" t="s">
        <v>761</v>
      </c>
      <c r="C187" s="800" t="s">
        <v>678</v>
      </c>
      <c r="D187" s="800">
        <v>3</v>
      </c>
      <c r="E187" s="1350">
        <f t="shared" si="10"/>
        <v>11.87</v>
      </c>
      <c r="F187" s="781">
        <f t="shared" si="11"/>
        <v>35.61</v>
      </c>
      <c r="H187" s="782"/>
      <c r="I187" s="783"/>
      <c r="J187" s="783"/>
      <c r="K187" s="783"/>
      <c r="L187" s="783"/>
      <c r="M187" s="783"/>
      <c r="N187" s="783"/>
      <c r="O187" s="783"/>
      <c r="P187" s="783"/>
      <c r="Q187" s="783"/>
      <c r="R187" s="783"/>
      <c r="S187" s="783"/>
      <c r="T187" s="783"/>
      <c r="U187" s="783"/>
      <c r="V187" s="783"/>
      <c r="W187" s="783"/>
      <c r="X187" s="783"/>
      <c r="Y187" s="783"/>
      <c r="Z187" s="783"/>
      <c r="AA187" s="783"/>
      <c r="AB187" s="772">
        <v>11.1</v>
      </c>
      <c r="AC187" s="772">
        <v>11</v>
      </c>
      <c r="AD187" s="772">
        <v>13.5</v>
      </c>
    </row>
    <row r="188" spans="1:30" ht="20.25" customHeight="1">
      <c r="A188" s="777">
        <v>151</v>
      </c>
      <c r="B188" s="799" t="s">
        <v>762</v>
      </c>
      <c r="C188" s="800" t="s">
        <v>678</v>
      </c>
      <c r="D188" s="800">
        <v>50</v>
      </c>
      <c r="E188" s="1350">
        <f t="shared" si="10"/>
        <v>6.2</v>
      </c>
      <c r="F188" s="781">
        <f t="shared" si="11"/>
        <v>310</v>
      </c>
      <c r="H188" s="782"/>
      <c r="I188" s="783"/>
      <c r="J188" s="783"/>
      <c r="K188" s="783"/>
      <c r="L188" s="783"/>
      <c r="M188" s="783"/>
      <c r="N188" s="783"/>
      <c r="O188" s="783"/>
      <c r="P188" s="783"/>
      <c r="Q188" s="783"/>
      <c r="R188" s="783"/>
      <c r="S188" s="783"/>
      <c r="T188" s="783"/>
      <c r="U188" s="783"/>
      <c r="V188" s="783"/>
      <c r="W188" s="783"/>
      <c r="X188" s="783"/>
      <c r="Y188" s="783"/>
      <c r="Z188" s="783"/>
      <c r="AA188" s="783"/>
      <c r="AB188" s="772">
        <v>5</v>
      </c>
      <c r="AC188" s="772">
        <v>6.5</v>
      </c>
      <c r="AD188" s="772">
        <v>7.1</v>
      </c>
    </row>
    <row r="189" spans="1:30" ht="20.25" customHeight="1">
      <c r="A189" s="777">
        <v>152</v>
      </c>
      <c r="B189" s="799" t="s">
        <v>763</v>
      </c>
      <c r="C189" s="800" t="s">
        <v>678</v>
      </c>
      <c r="D189" s="800">
        <v>2</v>
      </c>
      <c r="E189" s="1350">
        <f t="shared" si="10"/>
        <v>20.61</v>
      </c>
      <c r="F189" s="781">
        <f t="shared" si="11"/>
        <v>41.22</v>
      </c>
      <c r="H189" s="782"/>
      <c r="I189" s="783"/>
      <c r="J189" s="783"/>
      <c r="K189" s="783"/>
      <c r="L189" s="783"/>
      <c r="M189" s="783"/>
      <c r="N189" s="783"/>
      <c r="O189" s="783"/>
      <c r="P189" s="783"/>
      <c r="Q189" s="783"/>
      <c r="R189" s="783"/>
      <c r="S189" s="783"/>
      <c r="T189" s="783"/>
      <c r="U189" s="783"/>
      <c r="V189" s="783"/>
      <c r="W189" s="783"/>
      <c r="X189" s="783"/>
      <c r="Y189" s="783"/>
      <c r="Z189" s="783"/>
      <c r="AA189" s="783"/>
      <c r="AB189" s="772">
        <v>18.72</v>
      </c>
      <c r="AC189" s="772">
        <v>23</v>
      </c>
      <c r="AD189" s="772">
        <v>20.100000000000001</v>
      </c>
    </row>
    <row r="190" spans="1:30" ht="20.25" customHeight="1">
      <c r="A190" s="777">
        <v>153</v>
      </c>
      <c r="B190" s="799" t="s">
        <v>764</v>
      </c>
      <c r="C190" s="800" t="s">
        <v>678</v>
      </c>
      <c r="D190" s="800">
        <v>1</v>
      </c>
      <c r="E190" s="1350">
        <f t="shared" si="10"/>
        <v>34.93</v>
      </c>
      <c r="F190" s="781">
        <f t="shared" si="11"/>
        <v>34.93</v>
      </c>
      <c r="H190" s="782"/>
      <c r="I190" s="783"/>
      <c r="J190" s="783"/>
      <c r="K190" s="783"/>
      <c r="L190" s="783"/>
      <c r="M190" s="783"/>
      <c r="N190" s="783"/>
      <c r="O190" s="783"/>
      <c r="P190" s="783"/>
      <c r="Q190" s="783"/>
      <c r="R190" s="783"/>
      <c r="S190" s="783"/>
      <c r="T190" s="783"/>
      <c r="U190" s="783"/>
      <c r="V190" s="783"/>
      <c r="W190" s="783"/>
      <c r="X190" s="783"/>
      <c r="Y190" s="783"/>
      <c r="Z190" s="783"/>
      <c r="AA190" s="783"/>
      <c r="AB190" s="772">
        <v>33.6</v>
      </c>
      <c r="AC190" s="772">
        <v>36</v>
      </c>
      <c r="AD190" s="772">
        <v>35.200000000000003</v>
      </c>
    </row>
    <row r="191" spans="1:30" ht="20.25" customHeight="1">
      <c r="A191" s="777">
        <v>154</v>
      </c>
      <c r="B191" s="799" t="s">
        <v>765</v>
      </c>
      <c r="C191" s="800" t="s">
        <v>678</v>
      </c>
      <c r="D191" s="800">
        <v>4</v>
      </c>
      <c r="E191" s="1350">
        <f t="shared" si="10"/>
        <v>6.63</v>
      </c>
      <c r="F191" s="781">
        <f t="shared" si="11"/>
        <v>26.52</v>
      </c>
      <c r="H191" s="782"/>
      <c r="I191" s="783"/>
      <c r="J191" s="783"/>
      <c r="K191" s="783"/>
      <c r="L191" s="783"/>
      <c r="M191" s="783"/>
      <c r="N191" s="783"/>
      <c r="O191" s="783"/>
      <c r="P191" s="783"/>
      <c r="Q191" s="783"/>
      <c r="R191" s="783"/>
      <c r="S191" s="783"/>
      <c r="T191" s="783"/>
      <c r="U191" s="783"/>
      <c r="V191" s="783"/>
      <c r="W191" s="783"/>
      <c r="X191" s="783"/>
      <c r="Y191" s="783"/>
      <c r="Z191" s="783"/>
      <c r="AA191" s="783"/>
      <c r="AB191" s="772">
        <v>5.6</v>
      </c>
      <c r="AC191" s="772">
        <v>7</v>
      </c>
      <c r="AD191" s="772">
        <v>7.3</v>
      </c>
    </row>
    <row r="192" spans="1:30" ht="20.25" customHeight="1">
      <c r="A192" s="777">
        <v>155</v>
      </c>
      <c r="B192" s="799" t="s">
        <v>766</v>
      </c>
      <c r="C192" s="800" t="s">
        <v>678</v>
      </c>
      <c r="D192" s="800">
        <v>10</v>
      </c>
      <c r="E192" s="1350">
        <f t="shared" si="10"/>
        <v>297.33</v>
      </c>
      <c r="F192" s="781">
        <f t="shared" si="11"/>
        <v>2973.2999999999997</v>
      </c>
      <c r="H192" s="782"/>
      <c r="I192" s="783"/>
      <c r="J192" s="783"/>
      <c r="K192" s="783"/>
      <c r="L192" s="783"/>
      <c r="M192" s="783"/>
      <c r="N192" s="783"/>
      <c r="O192" s="783"/>
      <c r="P192" s="783"/>
      <c r="Q192" s="783"/>
      <c r="R192" s="783"/>
      <c r="S192" s="783"/>
      <c r="T192" s="783"/>
      <c r="U192" s="783"/>
      <c r="V192" s="783"/>
      <c r="W192" s="783"/>
      <c r="X192" s="783"/>
      <c r="Y192" s="783"/>
      <c r="Z192" s="783"/>
      <c r="AA192" s="783"/>
      <c r="AB192" s="772">
        <v>302</v>
      </c>
      <c r="AC192" s="772">
        <v>280</v>
      </c>
      <c r="AD192" s="772">
        <v>310</v>
      </c>
    </row>
    <row r="193" spans="1:30" ht="20.25" customHeight="1">
      <c r="A193" s="777">
        <v>156</v>
      </c>
      <c r="B193" s="799" t="s">
        <v>767</v>
      </c>
      <c r="C193" s="800" t="s">
        <v>768</v>
      </c>
      <c r="D193" s="800">
        <v>5</v>
      </c>
      <c r="E193" s="1350">
        <f t="shared" si="10"/>
        <v>35.17</v>
      </c>
      <c r="F193" s="781">
        <f t="shared" si="11"/>
        <v>175.85000000000002</v>
      </c>
      <c r="H193" s="782"/>
      <c r="I193" s="783"/>
      <c r="J193" s="783"/>
      <c r="K193" s="783"/>
      <c r="L193" s="783"/>
      <c r="M193" s="783"/>
      <c r="N193" s="783"/>
      <c r="O193" s="783"/>
      <c r="P193" s="783"/>
      <c r="Q193" s="783"/>
      <c r="R193" s="783"/>
      <c r="S193" s="783"/>
      <c r="T193" s="783"/>
      <c r="U193" s="783"/>
      <c r="V193" s="783"/>
      <c r="W193" s="783"/>
      <c r="X193" s="783"/>
      <c r="Y193" s="783"/>
      <c r="Z193" s="783"/>
      <c r="AA193" s="783"/>
      <c r="AB193" s="772">
        <v>23</v>
      </c>
      <c r="AC193" s="772">
        <v>56.5</v>
      </c>
      <c r="AD193" s="772">
        <v>26</v>
      </c>
    </row>
    <row r="194" spans="1:30" ht="20.25" customHeight="1">
      <c r="A194" s="777">
        <v>157</v>
      </c>
      <c r="B194" s="799" t="s">
        <v>769</v>
      </c>
      <c r="C194" s="800" t="s">
        <v>748</v>
      </c>
      <c r="D194" s="800">
        <v>2</v>
      </c>
      <c r="E194" s="1350">
        <f t="shared" si="10"/>
        <v>166</v>
      </c>
      <c r="F194" s="781">
        <f t="shared" si="11"/>
        <v>332</v>
      </c>
      <c r="H194" s="782"/>
      <c r="I194" s="783"/>
      <c r="J194" s="783"/>
      <c r="K194" s="783"/>
      <c r="L194" s="783"/>
      <c r="M194" s="783"/>
      <c r="N194" s="783"/>
      <c r="O194" s="783"/>
      <c r="P194" s="783"/>
      <c r="Q194" s="783"/>
      <c r="R194" s="783"/>
      <c r="S194" s="783"/>
      <c r="T194" s="783"/>
      <c r="U194" s="783"/>
      <c r="V194" s="783"/>
      <c r="W194" s="783"/>
      <c r="X194" s="783"/>
      <c r="Y194" s="783"/>
      <c r="Z194" s="783"/>
      <c r="AA194" s="783"/>
      <c r="AB194" s="772">
        <v>150</v>
      </c>
      <c r="AC194" s="772">
        <v>180</v>
      </c>
      <c r="AD194" s="772">
        <v>168</v>
      </c>
    </row>
    <row r="195" spans="1:30" ht="20.25" customHeight="1">
      <c r="A195" s="777">
        <v>158</v>
      </c>
      <c r="B195" s="799" t="s">
        <v>770</v>
      </c>
      <c r="C195" s="800" t="s">
        <v>678</v>
      </c>
      <c r="D195" s="800">
        <v>2</v>
      </c>
      <c r="E195" s="1350">
        <f t="shared" si="10"/>
        <v>15.73</v>
      </c>
      <c r="F195" s="781">
        <f t="shared" si="11"/>
        <v>31.46</v>
      </c>
      <c r="H195" s="782"/>
      <c r="I195" s="783"/>
      <c r="J195" s="783"/>
      <c r="K195" s="783"/>
      <c r="L195" s="783"/>
      <c r="M195" s="783"/>
      <c r="N195" s="783"/>
      <c r="O195" s="783"/>
      <c r="P195" s="783"/>
      <c r="Q195" s="783"/>
      <c r="R195" s="783"/>
      <c r="S195" s="783"/>
      <c r="T195" s="783"/>
      <c r="U195" s="783"/>
      <c r="V195" s="783"/>
      <c r="W195" s="783"/>
      <c r="X195" s="783"/>
      <c r="Y195" s="783"/>
      <c r="Z195" s="783"/>
      <c r="AA195" s="783"/>
      <c r="AB195" s="772">
        <v>12</v>
      </c>
      <c r="AC195" s="772">
        <v>21</v>
      </c>
      <c r="AD195" s="772">
        <v>14.2</v>
      </c>
    </row>
    <row r="196" spans="1:30" ht="20.25" customHeight="1">
      <c r="A196" s="777">
        <v>159</v>
      </c>
      <c r="B196" s="799" t="s">
        <v>771</v>
      </c>
      <c r="C196" s="777" t="s">
        <v>772</v>
      </c>
      <c r="D196" s="777">
        <v>1</v>
      </c>
      <c r="E196" s="1350">
        <f t="shared" si="10"/>
        <v>102.53</v>
      </c>
      <c r="F196" s="781">
        <f t="shared" si="11"/>
        <v>102.53</v>
      </c>
      <c r="H196" s="782"/>
      <c r="I196" s="783"/>
      <c r="J196" s="783"/>
      <c r="K196" s="783"/>
      <c r="L196" s="783"/>
      <c r="M196" s="783"/>
      <c r="N196" s="783"/>
      <c r="O196" s="783"/>
      <c r="P196" s="783"/>
      <c r="Q196" s="783"/>
      <c r="R196" s="783"/>
      <c r="S196" s="783"/>
      <c r="T196" s="783"/>
      <c r="U196" s="783"/>
      <c r="V196" s="783"/>
      <c r="W196" s="783"/>
      <c r="X196" s="783"/>
      <c r="Y196" s="783"/>
      <c r="Z196" s="783"/>
      <c r="AA196" s="783"/>
      <c r="AB196" s="772">
        <v>99.6</v>
      </c>
      <c r="AC196" s="772">
        <v>95</v>
      </c>
      <c r="AD196" s="772">
        <v>113</v>
      </c>
    </row>
    <row r="197" spans="1:30" ht="20.25" customHeight="1">
      <c r="A197" s="777">
        <v>160</v>
      </c>
      <c r="B197" s="799" t="s">
        <v>773</v>
      </c>
      <c r="C197" s="777" t="s">
        <v>678</v>
      </c>
      <c r="D197" s="777">
        <v>2</v>
      </c>
      <c r="E197" s="1350">
        <f t="shared" si="10"/>
        <v>46.53</v>
      </c>
      <c r="F197" s="781">
        <f t="shared" si="11"/>
        <v>93.06</v>
      </c>
      <c r="H197" s="782"/>
      <c r="I197" s="783"/>
      <c r="J197" s="783"/>
      <c r="K197" s="783"/>
      <c r="L197" s="783"/>
      <c r="M197" s="783"/>
      <c r="N197" s="783"/>
      <c r="O197" s="783"/>
      <c r="P197" s="783"/>
      <c r="Q197" s="783"/>
      <c r="R197" s="783"/>
      <c r="S197" s="783"/>
      <c r="T197" s="783"/>
      <c r="U197" s="783"/>
      <c r="V197" s="783"/>
      <c r="W197" s="783"/>
      <c r="X197" s="783"/>
      <c r="Y197" s="783"/>
      <c r="Z197" s="783"/>
      <c r="AA197" s="783"/>
      <c r="AB197" s="772">
        <v>46.8</v>
      </c>
      <c r="AC197" s="772">
        <v>44</v>
      </c>
      <c r="AD197" s="772">
        <v>48.8</v>
      </c>
    </row>
    <row r="198" spans="1:30" ht="20.25" customHeight="1">
      <c r="A198" s="777">
        <v>161</v>
      </c>
      <c r="B198" s="799" t="s">
        <v>774</v>
      </c>
      <c r="C198" s="777" t="s">
        <v>678</v>
      </c>
      <c r="D198" s="777">
        <v>20</v>
      </c>
      <c r="E198" s="1350">
        <f t="shared" si="10"/>
        <v>8.8699999999999992</v>
      </c>
      <c r="F198" s="781">
        <f t="shared" si="11"/>
        <v>177.39999999999998</v>
      </c>
      <c r="H198" s="782"/>
      <c r="I198" s="783"/>
      <c r="J198" s="783"/>
      <c r="K198" s="783"/>
      <c r="L198" s="783"/>
      <c r="M198" s="783"/>
      <c r="N198" s="783"/>
      <c r="O198" s="783"/>
      <c r="P198" s="783"/>
      <c r="Q198" s="783"/>
      <c r="R198" s="783"/>
      <c r="S198" s="783"/>
      <c r="T198" s="783"/>
      <c r="U198" s="783"/>
      <c r="V198" s="783"/>
      <c r="W198" s="783"/>
      <c r="X198" s="783"/>
      <c r="Y198" s="783"/>
      <c r="Z198" s="783"/>
      <c r="AA198" s="783"/>
      <c r="AB198" s="772">
        <v>8</v>
      </c>
      <c r="AC198" s="772">
        <v>8.6</v>
      </c>
      <c r="AD198" s="772">
        <v>10</v>
      </c>
    </row>
    <row r="199" spans="1:30" ht="20.25" customHeight="1">
      <c r="A199" s="777">
        <v>162</v>
      </c>
      <c r="B199" s="799" t="s">
        <v>775</v>
      </c>
      <c r="C199" s="777" t="s">
        <v>748</v>
      </c>
      <c r="D199" s="777">
        <v>1</v>
      </c>
      <c r="E199" s="1350">
        <f t="shared" si="10"/>
        <v>550</v>
      </c>
      <c r="F199" s="781">
        <f t="shared" si="11"/>
        <v>550</v>
      </c>
      <c r="H199" s="782"/>
      <c r="I199" s="783"/>
      <c r="J199" s="783"/>
      <c r="K199" s="783"/>
      <c r="L199" s="783"/>
      <c r="M199" s="783"/>
      <c r="N199" s="783"/>
      <c r="O199" s="783"/>
      <c r="P199" s="783"/>
      <c r="Q199" s="783"/>
      <c r="R199" s="783"/>
      <c r="S199" s="783"/>
      <c r="T199" s="783"/>
      <c r="U199" s="783"/>
      <c r="V199" s="783"/>
      <c r="W199" s="783"/>
      <c r="X199" s="783"/>
      <c r="Y199" s="783"/>
      <c r="Z199" s="783"/>
      <c r="AA199" s="783"/>
      <c r="AB199" s="772">
        <v>540</v>
      </c>
      <c r="AC199" s="772">
        <v>550</v>
      </c>
      <c r="AD199" s="772">
        <v>560</v>
      </c>
    </row>
    <row r="200" spans="1:30" ht="20.25" customHeight="1">
      <c r="A200" s="777">
        <v>163</v>
      </c>
      <c r="B200" s="799" t="s">
        <v>776</v>
      </c>
      <c r="C200" s="777" t="s">
        <v>748</v>
      </c>
      <c r="D200" s="777">
        <v>1</v>
      </c>
      <c r="E200" s="1350">
        <f t="shared" si="10"/>
        <v>162</v>
      </c>
      <c r="F200" s="781">
        <f t="shared" si="11"/>
        <v>162</v>
      </c>
      <c r="H200" s="782"/>
      <c r="I200" s="783"/>
      <c r="J200" s="783"/>
      <c r="K200" s="783"/>
      <c r="L200" s="783"/>
      <c r="M200" s="783"/>
      <c r="N200" s="783"/>
      <c r="O200" s="783"/>
      <c r="P200" s="783"/>
      <c r="Q200" s="783"/>
      <c r="R200" s="783"/>
      <c r="S200" s="783"/>
      <c r="T200" s="783"/>
      <c r="U200" s="783"/>
      <c r="V200" s="783"/>
      <c r="W200" s="783"/>
      <c r="X200" s="783"/>
      <c r="Y200" s="783"/>
      <c r="Z200" s="783"/>
      <c r="AA200" s="783"/>
      <c r="AB200" s="772">
        <v>150</v>
      </c>
      <c r="AC200" s="772">
        <v>156</v>
      </c>
      <c r="AD200" s="772">
        <v>180</v>
      </c>
    </row>
    <row r="201" spans="1:30" ht="20.25" customHeight="1">
      <c r="A201" s="777">
        <v>164</v>
      </c>
      <c r="B201" s="799" t="s">
        <v>777</v>
      </c>
      <c r="C201" s="777" t="s">
        <v>748</v>
      </c>
      <c r="D201" s="777">
        <v>1</v>
      </c>
      <c r="E201" s="1350">
        <f t="shared" si="10"/>
        <v>550</v>
      </c>
      <c r="F201" s="781">
        <f t="shared" si="11"/>
        <v>550</v>
      </c>
      <c r="H201" s="782"/>
      <c r="I201" s="783"/>
      <c r="J201" s="783"/>
      <c r="K201" s="783"/>
      <c r="L201" s="783"/>
      <c r="M201" s="783"/>
      <c r="N201" s="783"/>
      <c r="O201" s="783"/>
      <c r="P201" s="783"/>
      <c r="Q201" s="783"/>
      <c r="R201" s="783"/>
      <c r="S201" s="783"/>
      <c r="T201" s="783"/>
      <c r="U201" s="783"/>
      <c r="V201" s="783"/>
      <c r="W201" s="783"/>
      <c r="X201" s="783"/>
      <c r="Y201" s="783"/>
      <c r="Z201" s="783"/>
      <c r="AA201" s="783"/>
      <c r="AB201" s="772">
        <v>540</v>
      </c>
      <c r="AC201" s="772">
        <v>550</v>
      </c>
      <c r="AD201" s="772">
        <v>560</v>
      </c>
    </row>
    <row r="202" spans="1:30" ht="20.25" customHeight="1">
      <c r="A202" s="777">
        <v>165</v>
      </c>
      <c r="B202" s="799" t="s">
        <v>778</v>
      </c>
      <c r="C202" s="777" t="s">
        <v>678</v>
      </c>
      <c r="D202" s="777">
        <v>4</v>
      </c>
      <c r="E202" s="1350">
        <f t="shared" si="10"/>
        <v>175</v>
      </c>
      <c r="F202" s="781">
        <f t="shared" si="11"/>
        <v>700</v>
      </c>
      <c r="H202" s="782"/>
      <c r="I202" s="783"/>
      <c r="J202" s="783"/>
      <c r="K202" s="783"/>
      <c r="L202" s="783"/>
      <c r="M202" s="783"/>
      <c r="N202" s="783"/>
      <c r="O202" s="783"/>
      <c r="P202" s="783"/>
      <c r="Q202" s="783"/>
      <c r="R202" s="783"/>
      <c r="S202" s="783"/>
      <c r="T202" s="783"/>
      <c r="U202" s="783"/>
      <c r="V202" s="783"/>
      <c r="W202" s="783"/>
      <c r="X202" s="783"/>
      <c r="Y202" s="783"/>
      <c r="Z202" s="783"/>
      <c r="AA202" s="783"/>
      <c r="AB202" s="772">
        <v>170</v>
      </c>
      <c r="AC202" s="772">
        <v>175</v>
      </c>
      <c r="AD202" s="772">
        <v>180</v>
      </c>
    </row>
    <row r="203" spans="1:30" ht="20.25" customHeight="1">
      <c r="A203" s="777">
        <v>166</v>
      </c>
      <c r="B203" s="799" t="s">
        <v>779</v>
      </c>
      <c r="C203" s="777" t="s">
        <v>678</v>
      </c>
      <c r="D203" s="777">
        <v>1</v>
      </c>
      <c r="E203" s="1350">
        <f t="shared" si="10"/>
        <v>25.83</v>
      </c>
      <c r="F203" s="781">
        <f t="shared" si="11"/>
        <v>25.83</v>
      </c>
      <c r="H203" s="782"/>
      <c r="I203" s="783"/>
      <c r="J203" s="783"/>
      <c r="K203" s="783"/>
      <c r="L203" s="783"/>
      <c r="M203" s="783"/>
      <c r="N203" s="783"/>
      <c r="O203" s="783"/>
      <c r="P203" s="783"/>
      <c r="Q203" s="783"/>
      <c r="R203" s="783"/>
      <c r="S203" s="783"/>
      <c r="T203" s="783"/>
      <c r="U203" s="783"/>
      <c r="V203" s="783"/>
      <c r="W203" s="783"/>
      <c r="X203" s="783"/>
      <c r="Y203" s="783"/>
      <c r="Z203" s="783"/>
      <c r="AA203" s="783"/>
      <c r="AB203" s="772">
        <v>20</v>
      </c>
      <c r="AC203" s="772">
        <v>22.5</v>
      </c>
      <c r="AD203" s="772">
        <v>35</v>
      </c>
    </row>
    <row r="204" spans="1:30" ht="20.25" customHeight="1">
      <c r="A204" s="777">
        <v>167</v>
      </c>
      <c r="B204" s="799" t="s">
        <v>780</v>
      </c>
      <c r="C204" s="777" t="s">
        <v>678</v>
      </c>
      <c r="D204" s="777">
        <v>1</v>
      </c>
      <c r="E204" s="1350">
        <f t="shared" si="10"/>
        <v>58.87</v>
      </c>
      <c r="F204" s="781">
        <f t="shared" si="11"/>
        <v>58.87</v>
      </c>
      <c r="H204" s="782"/>
      <c r="I204" s="783"/>
      <c r="J204" s="783"/>
      <c r="K204" s="783"/>
      <c r="L204" s="783"/>
      <c r="M204" s="783"/>
      <c r="N204" s="783"/>
      <c r="O204" s="783"/>
      <c r="P204" s="783"/>
      <c r="Q204" s="783"/>
      <c r="R204" s="783"/>
      <c r="S204" s="783"/>
      <c r="T204" s="783"/>
      <c r="U204" s="783"/>
      <c r="V204" s="783"/>
      <c r="W204" s="783"/>
      <c r="X204" s="783"/>
      <c r="Y204" s="783"/>
      <c r="Z204" s="783"/>
      <c r="AA204" s="783"/>
      <c r="AB204" s="772">
        <v>57.6</v>
      </c>
      <c r="AC204" s="772">
        <v>57</v>
      </c>
      <c r="AD204" s="772">
        <v>62</v>
      </c>
    </row>
    <row r="205" spans="1:30" ht="20.25" customHeight="1">
      <c r="A205" s="777">
        <v>168</v>
      </c>
      <c r="B205" s="799" t="s">
        <v>781</v>
      </c>
      <c r="C205" s="777" t="s">
        <v>678</v>
      </c>
      <c r="D205" s="777">
        <v>2</v>
      </c>
      <c r="E205" s="1350">
        <f t="shared" si="10"/>
        <v>67.17</v>
      </c>
      <c r="F205" s="781">
        <f t="shared" si="11"/>
        <v>134.34</v>
      </c>
      <c r="H205" s="782"/>
      <c r="I205" s="783"/>
      <c r="J205" s="783"/>
      <c r="K205" s="783"/>
      <c r="L205" s="783"/>
      <c r="M205" s="783"/>
      <c r="N205" s="783"/>
      <c r="O205" s="783"/>
      <c r="P205" s="783"/>
      <c r="Q205" s="783"/>
      <c r="R205" s="783"/>
      <c r="S205" s="783"/>
      <c r="T205" s="783"/>
      <c r="U205" s="783"/>
      <c r="V205" s="783"/>
      <c r="W205" s="783"/>
      <c r="X205" s="783"/>
      <c r="Y205" s="783"/>
      <c r="Z205" s="783"/>
      <c r="AA205" s="783"/>
      <c r="AB205" s="772">
        <v>70.8</v>
      </c>
      <c r="AC205" s="772">
        <v>55.5</v>
      </c>
      <c r="AD205" s="772">
        <v>75.2</v>
      </c>
    </row>
    <row r="206" spans="1:30" ht="20.25" customHeight="1">
      <c r="A206" s="795" t="s">
        <v>782</v>
      </c>
      <c r="B206" s="796"/>
      <c r="C206" s="796"/>
      <c r="D206" s="796"/>
      <c r="E206" s="1354" t="s">
        <v>1008</v>
      </c>
      <c r="F206" s="1031" t="s">
        <v>857</v>
      </c>
      <c r="H206" s="782"/>
      <c r="I206" s="783"/>
      <c r="J206" s="783"/>
      <c r="K206" s="783"/>
      <c r="L206" s="783"/>
      <c r="M206" s="783"/>
      <c r="N206" s="783"/>
      <c r="O206" s="783"/>
      <c r="P206" s="783"/>
      <c r="Q206" s="783"/>
      <c r="R206" s="783"/>
      <c r="S206" s="783"/>
      <c r="T206" s="783"/>
      <c r="U206" s="783"/>
      <c r="V206" s="783"/>
      <c r="W206" s="783"/>
      <c r="X206" s="783"/>
      <c r="Y206" s="783"/>
      <c r="Z206" s="783"/>
      <c r="AA206" s="783"/>
      <c r="AB206" s="772" t="s">
        <v>590</v>
      </c>
      <c r="AC206" s="772" t="s">
        <v>591</v>
      </c>
      <c r="AD206" s="772" t="s">
        <v>592</v>
      </c>
    </row>
    <row r="207" spans="1:30" ht="20.25" customHeight="1">
      <c r="A207" s="792" t="s">
        <v>440</v>
      </c>
      <c r="B207" s="797" t="s">
        <v>407</v>
      </c>
      <c r="C207" s="798" t="s">
        <v>678</v>
      </c>
      <c r="D207" s="798"/>
      <c r="E207" s="1355"/>
      <c r="F207" s="1032"/>
      <c r="H207" s="782"/>
      <c r="I207" s="783"/>
      <c r="J207" s="783"/>
      <c r="K207" s="783"/>
      <c r="L207" s="783"/>
      <c r="M207" s="783"/>
      <c r="N207" s="783"/>
      <c r="O207" s="783"/>
      <c r="P207" s="783"/>
      <c r="Q207" s="783"/>
      <c r="R207" s="783"/>
      <c r="S207" s="783"/>
      <c r="T207" s="783"/>
      <c r="U207" s="783"/>
      <c r="V207" s="783"/>
      <c r="W207" s="783"/>
      <c r="X207" s="783"/>
      <c r="Y207" s="783"/>
      <c r="Z207" s="783"/>
      <c r="AA207" s="783"/>
      <c r="AB207" s="772" t="s">
        <v>594</v>
      </c>
      <c r="AC207" s="772" t="s">
        <v>594</v>
      </c>
      <c r="AD207" s="772" t="s">
        <v>594</v>
      </c>
    </row>
    <row r="208" spans="1:30" ht="20.25" customHeight="1">
      <c r="A208" s="777">
        <v>169</v>
      </c>
      <c r="B208" s="799" t="s">
        <v>783</v>
      </c>
      <c r="C208" s="777" t="s">
        <v>610</v>
      </c>
      <c r="D208" s="777">
        <v>2</v>
      </c>
      <c r="E208" s="1350">
        <f t="shared" ref="E208:E223" si="12">ROUND(AVERAGE(AB208,AC208,AD208),2)</f>
        <v>439</v>
      </c>
      <c r="F208" s="781">
        <f t="shared" ref="F208:F223" si="13">D208*E208</f>
        <v>878</v>
      </c>
      <c r="H208" s="782"/>
      <c r="I208" s="783"/>
      <c r="J208" s="783"/>
      <c r="K208" s="783"/>
      <c r="L208" s="783"/>
      <c r="M208" s="783"/>
      <c r="N208" s="783"/>
      <c r="O208" s="783"/>
      <c r="P208" s="783"/>
      <c r="Q208" s="783"/>
      <c r="R208" s="783"/>
      <c r="S208" s="783"/>
      <c r="T208" s="783"/>
      <c r="U208" s="783"/>
      <c r="V208" s="783"/>
      <c r="W208" s="783"/>
      <c r="X208" s="783"/>
      <c r="Y208" s="783"/>
      <c r="Z208" s="783"/>
      <c r="AA208" s="783"/>
      <c r="AB208" s="772">
        <v>439</v>
      </c>
      <c r="AC208" s="772">
        <v>420</v>
      </c>
      <c r="AD208" s="772">
        <v>458</v>
      </c>
    </row>
    <row r="209" spans="1:30" ht="20.25" customHeight="1">
      <c r="A209" s="777">
        <v>170</v>
      </c>
      <c r="B209" s="799" t="s">
        <v>784</v>
      </c>
      <c r="C209" s="800" t="s">
        <v>610</v>
      </c>
      <c r="D209" s="800">
        <v>2</v>
      </c>
      <c r="E209" s="1350">
        <f t="shared" si="12"/>
        <v>650</v>
      </c>
      <c r="F209" s="781">
        <f t="shared" si="13"/>
        <v>1300</v>
      </c>
      <c r="H209" s="782"/>
      <c r="I209" s="783"/>
      <c r="J209" s="783"/>
      <c r="K209" s="783"/>
      <c r="L209" s="783"/>
      <c r="M209" s="783"/>
      <c r="N209" s="783"/>
      <c r="O209" s="783"/>
      <c r="P209" s="783"/>
      <c r="Q209" s="783"/>
      <c r="R209" s="783"/>
      <c r="S209" s="783"/>
      <c r="T209" s="783"/>
      <c r="U209" s="783"/>
      <c r="V209" s="783"/>
      <c r="W209" s="783"/>
      <c r="X209" s="783"/>
      <c r="Y209" s="783"/>
      <c r="Z209" s="783"/>
      <c r="AA209" s="783"/>
      <c r="AB209" s="772">
        <v>645</v>
      </c>
      <c r="AC209" s="772">
        <v>650</v>
      </c>
      <c r="AD209" s="772">
        <v>655</v>
      </c>
    </row>
    <row r="210" spans="1:30" ht="20.25" customHeight="1">
      <c r="A210" s="777">
        <v>171</v>
      </c>
      <c r="B210" s="799" t="s">
        <v>785</v>
      </c>
      <c r="C210" s="800" t="s">
        <v>610</v>
      </c>
      <c r="D210" s="800">
        <v>2</v>
      </c>
      <c r="E210" s="1350">
        <f t="shared" si="12"/>
        <v>517.66999999999996</v>
      </c>
      <c r="F210" s="781">
        <f t="shared" si="13"/>
        <v>1035.3399999999999</v>
      </c>
      <c r="H210" s="782"/>
      <c r="I210" s="783"/>
      <c r="J210" s="783"/>
      <c r="K210" s="783"/>
      <c r="L210" s="783"/>
      <c r="M210" s="783"/>
      <c r="N210" s="783"/>
      <c r="O210" s="783"/>
      <c r="P210" s="783"/>
      <c r="Q210" s="783"/>
      <c r="R210" s="783"/>
      <c r="S210" s="783"/>
      <c r="T210" s="783"/>
      <c r="U210" s="783"/>
      <c r="V210" s="783"/>
      <c r="W210" s="783"/>
      <c r="X210" s="783"/>
      <c r="Y210" s="783"/>
      <c r="Z210" s="783"/>
      <c r="AA210" s="783"/>
      <c r="AB210" s="772">
        <v>515</v>
      </c>
      <c r="AC210" s="772">
        <v>520</v>
      </c>
      <c r="AD210" s="772">
        <v>518</v>
      </c>
    </row>
    <row r="211" spans="1:30" ht="20.25" customHeight="1">
      <c r="A211" s="777">
        <v>172</v>
      </c>
      <c r="B211" s="799" t="s">
        <v>786</v>
      </c>
      <c r="C211" s="800" t="s">
        <v>610</v>
      </c>
      <c r="D211" s="800">
        <v>2</v>
      </c>
      <c r="E211" s="1350">
        <f t="shared" si="12"/>
        <v>809.67</v>
      </c>
      <c r="F211" s="781">
        <f t="shared" si="13"/>
        <v>1619.34</v>
      </c>
      <c r="H211" s="782"/>
      <c r="I211" s="783"/>
      <c r="J211" s="783"/>
      <c r="K211" s="783"/>
      <c r="L211" s="783"/>
      <c r="M211" s="783"/>
      <c r="N211" s="783"/>
      <c r="O211" s="783"/>
      <c r="P211" s="783"/>
      <c r="Q211" s="783"/>
      <c r="R211" s="783"/>
      <c r="S211" s="783"/>
      <c r="T211" s="783"/>
      <c r="U211" s="783"/>
      <c r="V211" s="783"/>
      <c r="W211" s="783"/>
      <c r="X211" s="783"/>
      <c r="Y211" s="783"/>
      <c r="Z211" s="783"/>
      <c r="AA211" s="783"/>
      <c r="AB211" s="772">
        <v>799</v>
      </c>
      <c r="AC211" s="772">
        <v>810</v>
      </c>
      <c r="AD211" s="772">
        <v>820</v>
      </c>
    </row>
    <row r="212" spans="1:30" ht="20.25" customHeight="1">
      <c r="A212" s="777">
        <v>173</v>
      </c>
      <c r="B212" s="799" t="s">
        <v>787</v>
      </c>
      <c r="C212" s="800" t="s">
        <v>610</v>
      </c>
      <c r="D212" s="800">
        <v>2</v>
      </c>
      <c r="E212" s="1350">
        <f t="shared" si="12"/>
        <v>190</v>
      </c>
      <c r="F212" s="781">
        <f t="shared" si="13"/>
        <v>380</v>
      </c>
      <c r="H212" s="782"/>
      <c r="I212" s="783"/>
      <c r="J212" s="783"/>
      <c r="K212" s="783"/>
      <c r="L212" s="783"/>
      <c r="M212" s="783"/>
      <c r="N212" s="783"/>
      <c r="O212" s="783"/>
      <c r="P212" s="783"/>
      <c r="Q212" s="783"/>
      <c r="R212" s="783"/>
      <c r="S212" s="783"/>
      <c r="T212" s="783"/>
      <c r="U212" s="783"/>
      <c r="V212" s="783"/>
      <c r="W212" s="783"/>
      <c r="X212" s="783"/>
      <c r="Y212" s="783"/>
      <c r="Z212" s="783"/>
      <c r="AA212" s="783"/>
      <c r="AB212" s="772">
        <v>185</v>
      </c>
      <c r="AC212" s="772">
        <v>190</v>
      </c>
      <c r="AD212" s="772">
        <v>195</v>
      </c>
    </row>
    <row r="213" spans="1:30" ht="20.25" customHeight="1">
      <c r="A213" s="777">
        <v>174</v>
      </c>
      <c r="B213" s="799" t="s">
        <v>788</v>
      </c>
      <c r="C213" s="800" t="s">
        <v>748</v>
      </c>
      <c r="D213" s="800">
        <v>2</v>
      </c>
      <c r="E213" s="1350">
        <f t="shared" si="12"/>
        <v>779.67</v>
      </c>
      <c r="F213" s="781">
        <f t="shared" si="13"/>
        <v>1559.34</v>
      </c>
      <c r="H213" s="782"/>
      <c r="I213" s="783"/>
      <c r="J213" s="783"/>
      <c r="K213" s="783"/>
      <c r="L213" s="783"/>
      <c r="M213" s="783"/>
      <c r="N213" s="783"/>
      <c r="O213" s="783"/>
      <c r="P213" s="783"/>
      <c r="Q213" s="783"/>
      <c r="R213" s="783"/>
      <c r="S213" s="783"/>
      <c r="T213" s="783"/>
      <c r="U213" s="783"/>
      <c r="V213" s="783"/>
      <c r="W213" s="783"/>
      <c r="X213" s="783"/>
      <c r="Y213" s="783"/>
      <c r="Z213" s="783"/>
      <c r="AA213" s="783"/>
      <c r="AB213" s="772">
        <v>770</v>
      </c>
      <c r="AC213" s="772">
        <v>780</v>
      </c>
      <c r="AD213" s="772">
        <v>789</v>
      </c>
    </row>
    <row r="214" spans="1:30" ht="20.25" customHeight="1">
      <c r="A214" s="777">
        <v>175</v>
      </c>
      <c r="B214" s="799" t="s">
        <v>789</v>
      </c>
      <c r="C214" s="800" t="s">
        <v>748</v>
      </c>
      <c r="D214" s="800">
        <v>1</v>
      </c>
      <c r="E214" s="1350">
        <f t="shared" si="12"/>
        <v>635.66999999999996</v>
      </c>
      <c r="F214" s="781">
        <f t="shared" si="13"/>
        <v>635.66999999999996</v>
      </c>
      <c r="H214" s="782"/>
      <c r="I214" s="783"/>
      <c r="J214" s="783"/>
      <c r="K214" s="783"/>
      <c r="L214" s="783"/>
      <c r="M214" s="783"/>
      <c r="N214" s="783"/>
      <c r="O214" s="783"/>
      <c r="P214" s="783"/>
      <c r="Q214" s="783"/>
      <c r="R214" s="783"/>
      <c r="S214" s="783"/>
      <c r="T214" s="783"/>
      <c r="U214" s="783"/>
      <c r="V214" s="783"/>
      <c r="W214" s="783"/>
      <c r="X214" s="783"/>
      <c r="Y214" s="783"/>
      <c r="Z214" s="783"/>
      <c r="AA214" s="783"/>
      <c r="AB214" s="772">
        <v>635</v>
      </c>
      <c r="AC214" s="772">
        <v>620</v>
      </c>
      <c r="AD214" s="772">
        <v>652</v>
      </c>
    </row>
    <row r="215" spans="1:30" ht="20.25" customHeight="1">
      <c r="A215" s="777">
        <v>176</v>
      </c>
      <c r="B215" s="799" t="s">
        <v>790</v>
      </c>
      <c r="C215" s="800" t="s">
        <v>610</v>
      </c>
      <c r="D215" s="800">
        <v>1</v>
      </c>
      <c r="E215" s="1350">
        <f t="shared" si="12"/>
        <v>455</v>
      </c>
      <c r="F215" s="781">
        <f t="shared" si="13"/>
        <v>455</v>
      </c>
      <c r="H215" s="782"/>
      <c r="I215" s="783"/>
      <c r="J215" s="783"/>
      <c r="K215" s="783"/>
      <c r="L215" s="783"/>
      <c r="M215" s="783"/>
      <c r="N215" s="783"/>
      <c r="O215" s="783"/>
      <c r="P215" s="783"/>
      <c r="Q215" s="783"/>
      <c r="R215" s="783"/>
      <c r="S215" s="783"/>
      <c r="T215" s="783"/>
      <c r="U215" s="783"/>
      <c r="V215" s="783"/>
      <c r="W215" s="783"/>
      <c r="X215" s="783"/>
      <c r="Y215" s="783"/>
      <c r="Z215" s="783"/>
      <c r="AA215" s="783"/>
      <c r="AB215" s="772">
        <v>445</v>
      </c>
      <c r="AC215" s="772">
        <v>435</v>
      </c>
      <c r="AD215" s="772">
        <v>485</v>
      </c>
    </row>
    <row r="216" spans="1:30" ht="20.25" customHeight="1">
      <c r="A216" s="777">
        <v>177</v>
      </c>
      <c r="B216" s="799" t="s">
        <v>791</v>
      </c>
      <c r="C216" s="800" t="s">
        <v>610</v>
      </c>
      <c r="D216" s="800">
        <v>3</v>
      </c>
      <c r="E216" s="1350">
        <f t="shared" si="12"/>
        <v>207</v>
      </c>
      <c r="F216" s="781">
        <f t="shared" si="13"/>
        <v>621</v>
      </c>
      <c r="H216" s="782"/>
      <c r="I216" s="783"/>
      <c r="J216" s="783"/>
      <c r="K216" s="783"/>
      <c r="L216" s="783"/>
      <c r="M216" s="783"/>
      <c r="N216" s="783"/>
      <c r="O216" s="783"/>
      <c r="P216" s="783"/>
      <c r="Q216" s="783"/>
      <c r="R216" s="783"/>
      <c r="S216" s="783"/>
      <c r="T216" s="783"/>
      <c r="U216" s="783"/>
      <c r="V216" s="783"/>
      <c r="W216" s="783"/>
      <c r="X216" s="783"/>
      <c r="Y216" s="783"/>
      <c r="Z216" s="783"/>
      <c r="AA216" s="783"/>
      <c r="AB216" s="772">
        <v>200</v>
      </c>
      <c r="AC216" s="772">
        <v>198</v>
      </c>
      <c r="AD216" s="772">
        <v>223</v>
      </c>
    </row>
    <row r="217" spans="1:30" ht="20.25" customHeight="1">
      <c r="A217" s="777">
        <v>178</v>
      </c>
      <c r="B217" s="802" t="s">
        <v>792</v>
      </c>
      <c r="C217" s="800" t="s">
        <v>678</v>
      </c>
      <c r="D217" s="800">
        <v>1</v>
      </c>
      <c r="E217" s="1350">
        <f t="shared" si="12"/>
        <v>1076.67</v>
      </c>
      <c r="F217" s="781">
        <f t="shared" si="13"/>
        <v>1076.67</v>
      </c>
      <c r="H217" s="782"/>
      <c r="I217" s="783"/>
      <c r="J217" s="783"/>
      <c r="K217" s="783"/>
      <c r="L217" s="783"/>
      <c r="M217" s="783"/>
      <c r="N217" s="783"/>
      <c r="O217" s="783"/>
      <c r="P217" s="783"/>
      <c r="Q217" s="783"/>
      <c r="R217" s="783"/>
      <c r="S217" s="783"/>
      <c r="T217" s="783"/>
      <c r="U217" s="783"/>
      <c r="V217" s="783"/>
      <c r="W217" s="783"/>
      <c r="X217" s="783"/>
      <c r="Y217" s="783"/>
      <c r="Z217" s="783"/>
      <c r="AA217" s="783"/>
      <c r="AB217" s="772">
        <v>1060</v>
      </c>
      <c r="AC217" s="772">
        <v>1050</v>
      </c>
      <c r="AD217" s="772">
        <v>1120</v>
      </c>
    </row>
    <row r="218" spans="1:30" ht="20.25" customHeight="1">
      <c r="A218" s="777">
        <v>179</v>
      </c>
      <c r="B218" s="803" t="s">
        <v>793</v>
      </c>
      <c r="C218" s="804" t="s">
        <v>678</v>
      </c>
      <c r="D218" s="800">
        <v>1</v>
      </c>
      <c r="E218" s="1350">
        <f t="shared" si="12"/>
        <v>217</v>
      </c>
      <c r="F218" s="781">
        <f t="shared" si="13"/>
        <v>217</v>
      </c>
      <c r="H218" s="782"/>
      <c r="I218" s="783"/>
      <c r="J218" s="783"/>
      <c r="K218" s="783"/>
      <c r="L218" s="783"/>
      <c r="M218" s="783"/>
      <c r="N218" s="783"/>
      <c r="O218" s="783"/>
      <c r="P218" s="783"/>
      <c r="Q218" s="783"/>
      <c r="R218" s="783"/>
      <c r="S218" s="783"/>
      <c r="T218" s="783"/>
      <c r="U218" s="783"/>
      <c r="V218" s="783"/>
      <c r="W218" s="783"/>
      <c r="X218" s="783"/>
      <c r="Y218" s="783"/>
      <c r="Z218" s="783"/>
      <c r="AA218" s="783"/>
      <c r="AB218" s="772">
        <v>200</v>
      </c>
      <c r="AC218" s="772">
        <v>210</v>
      </c>
      <c r="AD218" s="772">
        <v>241</v>
      </c>
    </row>
    <row r="219" spans="1:30" ht="20.25" customHeight="1">
      <c r="A219" s="777">
        <v>180</v>
      </c>
      <c r="B219" s="803" t="s">
        <v>794</v>
      </c>
      <c r="C219" s="804" t="s">
        <v>610</v>
      </c>
      <c r="D219" s="800">
        <v>1</v>
      </c>
      <c r="E219" s="1350">
        <f t="shared" si="12"/>
        <v>693</v>
      </c>
      <c r="F219" s="781">
        <f t="shared" si="13"/>
        <v>693</v>
      </c>
      <c r="H219" s="782"/>
      <c r="I219" s="783"/>
      <c r="J219" s="783"/>
      <c r="K219" s="783"/>
      <c r="L219" s="783"/>
      <c r="M219" s="783"/>
      <c r="N219" s="783"/>
      <c r="O219" s="783"/>
      <c r="P219" s="783"/>
      <c r="Q219" s="783"/>
      <c r="R219" s="783"/>
      <c r="S219" s="783"/>
      <c r="T219" s="783"/>
      <c r="U219" s="783"/>
      <c r="V219" s="783"/>
      <c r="W219" s="783"/>
      <c r="X219" s="783"/>
      <c r="Y219" s="783"/>
      <c r="Z219" s="783"/>
      <c r="AA219" s="783"/>
      <c r="AB219" s="772">
        <v>689</v>
      </c>
      <c r="AC219" s="772">
        <v>680</v>
      </c>
      <c r="AD219" s="772">
        <v>710</v>
      </c>
    </row>
    <row r="220" spans="1:30" ht="20.25" customHeight="1">
      <c r="A220" s="777">
        <v>181</v>
      </c>
      <c r="B220" s="803" t="s">
        <v>795</v>
      </c>
      <c r="C220" s="804" t="s">
        <v>610</v>
      </c>
      <c r="D220" s="800">
        <v>1</v>
      </c>
      <c r="E220" s="1350">
        <f t="shared" si="12"/>
        <v>288</v>
      </c>
      <c r="F220" s="781">
        <f t="shared" si="13"/>
        <v>288</v>
      </c>
      <c r="H220" s="782"/>
      <c r="I220" s="783"/>
      <c r="J220" s="783"/>
      <c r="K220" s="783"/>
      <c r="L220" s="783"/>
      <c r="M220" s="783"/>
      <c r="N220" s="783"/>
      <c r="O220" s="783"/>
      <c r="P220" s="783"/>
      <c r="Q220" s="783"/>
      <c r="R220" s="783"/>
      <c r="S220" s="783"/>
      <c r="T220" s="783"/>
      <c r="U220" s="783"/>
      <c r="V220" s="783"/>
      <c r="W220" s="783"/>
      <c r="X220" s="783"/>
      <c r="Y220" s="783"/>
      <c r="Z220" s="783"/>
      <c r="AA220" s="783"/>
      <c r="AB220" s="772">
        <v>284</v>
      </c>
      <c r="AC220" s="772">
        <v>285</v>
      </c>
      <c r="AD220" s="772">
        <v>295</v>
      </c>
    </row>
    <row r="221" spans="1:30" ht="20.25" customHeight="1">
      <c r="A221" s="777">
        <v>182</v>
      </c>
      <c r="B221" s="803" t="s">
        <v>796</v>
      </c>
      <c r="C221" s="804" t="s">
        <v>704</v>
      </c>
      <c r="D221" s="800">
        <v>7</v>
      </c>
      <c r="E221" s="1350">
        <f t="shared" si="12"/>
        <v>114.33</v>
      </c>
      <c r="F221" s="781">
        <f t="shared" si="13"/>
        <v>800.31</v>
      </c>
      <c r="H221" s="782"/>
      <c r="I221" s="783"/>
      <c r="J221" s="783"/>
      <c r="K221" s="783"/>
      <c r="L221" s="783"/>
      <c r="M221" s="783"/>
      <c r="N221" s="783"/>
      <c r="O221" s="783"/>
      <c r="P221" s="783"/>
      <c r="Q221" s="783"/>
      <c r="R221" s="783"/>
      <c r="S221" s="783"/>
      <c r="T221" s="783"/>
      <c r="U221" s="783"/>
      <c r="V221" s="783"/>
      <c r="W221" s="783"/>
      <c r="X221" s="783"/>
      <c r="Y221" s="783"/>
      <c r="Z221" s="783"/>
      <c r="AA221" s="783"/>
      <c r="AB221" s="772">
        <v>115</v>
      </c>
      <c r="AC221" s="772">
        <v>110</v>
      </c>
      <c r="AD221" s="772">
        <v>118</v>
      </c>
    </row>
    <row r="222" spans="1:30" ht="20.25" customHeight="1">
      <c r="A222" s="777">
        <v>183</v>
      </c>
      <c r="B222" s="803" t="s">
        <v>797</v>
      </c>
      <c r="C222" s="804" t="s">
        <v>610</v>
      </c>
      <c r="D222" s="800">
        <v>4</v>
      </c>
      <c r="E222" s="1350">
        <f t="shared" si="12"/>
        <v>73</v>
      </c>
      <c r="F222" s="781">
        <f t="shared" si="13"/>
        <v>292</v>
      </c>
      <c r="H222" s="782"/>
      <c r="I222" s="783"/>
      <c r="J222" s="783"/>
      <c r="K222" s="783"/>
      <c r="L222" s="783"/>
      <c r="M222" s="783"/>
      <c r="N222" s="783"/>
      <c r="O222" s="783"/>
      <c r="P222" s="783"/>
      <c r="Q222" s="783"/>
      <c r="R222" s="783"/>
      <c r="S222" s="783"/>
      <c r="T222" s="783"/>
      <c r="U222" s="783"/>
      <c r="V222" s="783"/>
      <c r="W222" s="783"/>
      <c r="X222" s="783"/>
      <c r="Y222" s="783"/>
      <c r="Z222" s="783"/>
      <c r="AA222" s="783"/>
      <c r="AB222" s="772">
        <v>72</v>
      </c>
      <c r="AC222" s="772">
        <v>72</v>
      </c>
      <c r="AD222" s="772">
        <v>75</v>
      </c>
    </row>
    <row r="223" spans="1:30" ht="20.25" customHeight="1">
      <c r="A223" s="777">
        <v>184</v>
      </c>
      <c r="B223" s="805" t="s">
        <v>798</v>
      </c>
      <c r="C223" s="800" t="s">
        <v>610</v>
      </c>
      <c r="D223" s="800">
        <v>1</v>
      </c>
      <c r="E223" s="1350">
        <f t="shared" si="12"/>
        <v>633</v>
      </c>
      <c r="F223" s="781">
        <f t="shared" si="13"/>
        <v>633</v>
      </c>
      <c r="H223" s="782"/>
      <c r="I223" s="783"/>
      <c r="J223" s="783"/>
      <c r="K223" s="783"/>
      <c r="L223" s="783"/>
      <c r="M223" s="783"/>
      <c r="N223" s="783"/>
      <c r="O223" s="783"/>
      <c r="P223" s="783"/>
      <c r="Q223" s="783"/>
      <c r="R223" s="783"/>
      <c r="S223" s="783"/>
      <c r="T223" s="783"/>
      <c r="U223" s="783"/>
      <c r="V223" s="783"/>
      <c r="W223" s="783"/>
      <c r="X223" s="783"/>
      <c r="Y223" s="783"/>
      <c r="Z223" s="783"/>
      <c r="AA223" s="783"/>
      <c r="AB223" s="772">
        <v>635</v>
      </c>
      <c r="AC223" s="772">
        <v>620</v>
      </c>
      <c r="AD223" s="772">
        <v>644</v>
      </c>
    </row>
    <row r="224" spans="1:30" ht="20.25" customHeight="1">
      <c r="A224" s="806" t="s">
        <v>24</v>
      </c>
      <c r="B224" s="806"/>
      <c r="C224" s="807"/>
      <c r="D224" s="807"/>
      <c r="E224" s="1351"/>
      <c r="F224" s="809">
        <f>SUM(F32:F223)</f>
        <v>401958.42000000016</v>
      </c>
      <c r="G224" s="810"/>
      <c r="H224" s="771"/>
    </row>
    <row r="225" spans="1:30" ht="20.25" customHeight="1">
      <c r="A225" s="811"/>
      <c r="B225" s="784"/>
      <c r="C225" s="784"/>
      <c r="D225" s="784"/>
      <c r="F225" s="812"/>
    </row>
    <row r="226" spans="1:30" ht="20.25" customHeight="1">
      <c r="A226" s="770" t="s">
        <v>859</v>
      </c>
      <c r="B226" s="769"/>
      <c r="C226" s="769"/>
      <c r="D226" s="769"/>
      <c r="F226" s="813"/>
    </row>
    <row r="227" spans="1:30" ht="20.25" customHeight="1">
      <c r="A227" s="814" t="s">
        <v>589</v>
      </c>
      <c r="B227" s="815"/>
      <c r="C227" s="815"/>
      <c r="D227" s="815"/>
      <c r="E227" s="1354" t="s">
        <v>1008</v>
      </c>
      <c r="F227" s="1031" t="s">
        <v>857</v>
      </c>
      <c r="AB227" s="772" t="s">
        <v>590</v>
      </c>
      <c r="AC227" s="772" t="s">
        <v>591</v>
      </c>
      <c r="AD227" s="772" t="s">
        <v>592</v>
      </c>
    </row>
    <row r="228" spans="1:30" ht="20.25" customHeight="1">
      <c r="A228" s="816" t="s">
        <v>440</v>
      </c>
      <c r="B228" s="774" t="s">
        <v>407</v>
      </c>
      <c r="C228" s="775" t="s">
        <v>390</v>
      </c>
      <c r="D228" s="817" t="s">
        <v>593</v>
      </c>
      <c r="E228" s="1355"/>
      <c r="F228" s="1032"/>
      <c r="AB228" s="772" t="s">
        <v>594</v>
      </c>
      <c r="AC228" s="772" t="s">
        <v>594</v>
      </c>
      <c r="AD228" s="772" t="s">
        <v>594</v>
      </c>
    </row>
    <row r="229" spans="1:30" ht="20.25" customHeight="1">
      <c r="A229" s="818">
        <v>1</v>
      </c>
      <c r="B229" s="778" t="s">
        <v>860</v>
      </c>
      <c r="C229" s="779" t="s">
        <v>596</v>
      </c>
      <c r="D229" s="780">
        <v>4</v>
      </c>
      <c r="E229" s="1352">
        <f t="shared" ref="E229:E256" si="14">ROUND(AVERAGE(AB229,AC229,AD229),2)</f>
        <v>1240</v>
      </c>
      <c r="F229" s="819">
        <f t="shared" ref="F229:F256" si="15">E229*D229</f>
        <v>4960</v>
      </c>
      <c r="AB229" s="772">
        <v>1200</v>
      </c>
      <c r="AC229" s="772">
        <v>1230</v>
      </c>
      <c r="AD229" s="772">
        <v>1290</v>
      </c>
    </row>
    <row r="230" spans="1:30" ht="20.25" customHeight="1" thickBot="1">
      <c r="A230" s="818">
        <v>2</v>
      </c>
      <c r="B230" s="778" t="s">
        <v>599</v>
      </c>
      <c r="C230" s="779" t="s">
        <v>596</v>
      </c>
      <c r="D230" s="780">
        <v>4</v>
      </c>
      <c r="E230" s="1352">
        <f t="shared" si="14"/>
        <v>798.67</v>
      </c>
      <c r="F230" s="819">
        <f t="shared" si="15"/>
        <v>3194.68</v>
      </c>
      <c r="AB230" s="772">
        <v>786</v>
      </c>
      <c r="AC230" s="772">
        <v>720</v>
      </c>
      <c r="AD230" s="772">
        <v>890</v>
      </c>
    </row>
    <row r="231" spans="1:30" ht="20.25" customHeight="1" thickBot="1">
      <c r="A231" s="818">
        <v>3</v>
      </c>
      <c r="B231" s="786" t="s">
        <v>861</v>
      </c>
      <c r="C231" s="779" t="s">
        <v>596</v>
      </c>
      <c r="D231" s="780">
        <v>1</v>
      </c>
      <c r="E231" s="1352">
        <f t="shared" si="14"/>
        <v>1851.67</v>
      </c>
      <c r="F231" s="819">
        <f t="shared" si="15"/>
        <v>1851.67</v>
      </c>
      <c r="AB231" s="772">
        <v>1755</v>
      </c>
      <c r="AC231" s="772">
        <v>1950</v>
      </c>
      <c r="AD231" s="772">
        <v>1850</v>
      </c>
    </row>
    <row r="232" spans="1:30" ht="20.25" customHeight="1" thickBot="1">
      <c r="A232" s="818">
        <v>4</v>
      </c>
      <c r="B232" s="787" t="s">
        <v>862</v>
      </c>
      <c r="C232" s="779" t="s">
        <v>422</v>
      </c>
      <c r="D232" s="780">
        <v>2</v>
      </c>
      <c r="E232" s="1352">
        <f t="shared" si="14"/>
        <v>776.67</v>
      </c>
      <c r="F232" s="819">
        <f t="shared" si="15"/>
        <v>1553.34</v>
      </c>
      <c r="AB232" s="772">
        <v>750</v>
      </c>
      <c r="AC232" s="772">
        <v>750</v>
      </c>
      <c r="AD232" s="772">
        <v>830</v>
      </c>
    </row>
    <row r="233" spans="1:30" ht="20.25" customHeight="1" thickBot="1">
      <c r="A233" s="818">
        <v>5</v>
      </c>
      <c r="B233" s="787" t="s">
        <v>863</v>
      </c>
      <c r="C233" s="779" t="s">
        <v>596</v>
      </c>
      <c r="D233" s="780">
        <v>2</v>
      </c>
      <c r="E233" s="1352">
        <f t="shared" si="14"/>
        <v>2276.67</v>
      </c>
      <c r="F233" s="819">
        <f t="shared" si="15"/>
        <v>4553.34</v>
      </c>
      <c r="AB233" s="772">
        <v>1980</v>
      </c>
      <c r="AC233" s="772">
        <v>2200</v>
      </c>
      <c r="AD233" s="772">
        <v>2650</v>
      </c>
    </row>
    <row r="234" spans="1:30" ht="20.25" customHeight="1" thickBot="1">
      <c r="A234" s="818">
        <v>6</v>
      </c>
      <c r="B234" s="787" t="s">
        <v>864</v>
      </c>
      <c r="C234" s="779" t="s">
        <v>596</v>
      </c>
      <c r="D234" s="780">
        <v>1</v>
      </c>
      <c r="E234" s="1352">
        <f t="shared" si="14"/>
        <v>512.66999999999996</v>
      </c>
      <c r="F234" s="819">
        <f t="shared" si="15"/>
        <v>512.66999999999996</v>
      </c>
      <c r="AB234" s="772">
        <v>468</v>
      </c>
      <c r="AC234" s="772">
        <v>430</v>
      </c>
      <c r="AD234" s="772">
        <v>640</v>
      </c>
    </row>
    <row r="235" spans="1:30" ht="20.25" customHeight="1">
      <c r="A235" s="818">
        <v>7</v>
      </c>
      <c r="B235" s="778" t="s">
        <v>865</v>
      </c>
      <c r="C235" s="779" t="s">
        <v>596</v>
      </c>
      <c r="D235" s="780">
        <v>2</v>
      </c>
      <c r="E235" s="1352">
        <f t="shared" si="14"/>
        <v>84.33</v>
      </c>
      <c r="F235" s="819">
        <f t="shared" si="15"/>
        <v>168.66</v>
      </c>
      <c r="AB235" s="772">
        <v>78</v>
      </c>
      <c r="AC235" s="772">
        <v>80</v>
      </c>
      <c r="AD235" s="772">
        <v>95</v>
      </c>
    </row>
    <row r="236" spans="1:30" ht="20.25" customHeight="1">
      <c r="A236" s="818">
        <v>8</v>
      </c>
      <c r="B236" s="820" t="s">
        <v>608</v>
      </c>
      <c r="C236" s="779" t="s">
        <v>596</v>
      </c>
      <c r="D236" s="780">
        <v>1</v>
      </c>
      <c r="E236" s="1352">
        <f t="shared" si="14"/>
        <v>2150</v>
      </c>
      <c r="F236" s="819">
        <f t="shared" si="15"/>
        <v>2150</v>
      </c>
      <c r="AB236" s="772">
        <v>1980</v>
      </c>
      <c r="AC236" s="772">
        <v>2150</v>
      </c>
      <c r="AD236" s="772">
        <v>2320</v>
      </c>
    </row>
    <row r="237" spans="1:30" ht="20.25" customHeight="1" thickBot="1">
      <c r="A237" s="818">
        <v>9</v>
      </c>
      <c r="B237" s="778" t="s">
        <v>948</v>
      </c>
      <c r="C237" s="779" t="s">
        <v>596</v>
      </c>
      <c r="D237" s="779">
        <v>1</v>
      </c>
      <c r="E237" s="1352">
        <f t="shared" si="14"/>
        <v>501.67</v>
      </c>
      <c r="F237" s="819">
        <f t="shared" si="15"/>
        <v>501.67</v>
      </c>
      <c r="AB237" s="772">
        <v>435</v>
      </c>
      <c r="AC237" s="772">
        <v>450</v>
      </c>
      <c r="AD237" s="772">
        <v>620</v>
      </c>
    </row>
    <row r="238" spans="1:30" ht="20.25" customHeight="1" thickBot="1">
      <c r="A238" s="818">
        <v>10</v>
      </c>
      <c r="B238" s="786" t="s">
        <v>866</v>
      </c>
      <c r="C238" s="779" t="s">
        <v>596</v>
      </c>
      <c r="D238" s="779">
        <v>4</v>
      </c>
      <c r="E238" s="1352">
        <f t="shared" si="14"/>
        <v>209.33</v>
      </c>
      <c r="F238" s="819">
        <f t="shared" si="15"/>
        <v>837.32</v>
      </c>
      <c r="AB238" s="772">
        <v>192</v>
      </c>
      <c r="AC238" s="772">
        <v>186</v>
      </c>
      <c r="AD238" s="772">
        <v>250</v>
      </c>
    </row>
    <row r="239" spans="1:30" ht="20.25" customHeight="1" thickBot="1">
      <c r="A239" s="818">
        <v>11</v>
      </c>
      <c r="B239" s="787" t="s">
        <v>867</v>
      </c>
      <c r="C239" s="779" t="s">
        <v>596</v>
      </c>
      <c r="D239" s="779">
        <v>1</v>
      </c>
      <c r="E239" s="1352">
        <f t="shared" si="14"/>
        <v>320</v>
      </c>
      <c r="F239" s="819">
        <f t="shared" si="15"/>
        <v>320</v>
      </c>
      <c r="AB239" s="772">
        <v>300</v>
      </c>
      <c r="AC239" s="772">
        <v>270</v>
      </c>
      <c r="AD239" s="772">
        <v>390</v>
      </c>
    </row>
    <row r="240" spans="1:30" ht="20.25" customHeight="1">
      <c r="A240" s="818">
        <v>12</v>
      </c>
      <c r="B240" s="778" t="s">
        <v>629</v>
      </c>
      <c r="C240" s="779" t="s">
        <v>596</v>
      </c>
      <c r="D240" s="779">
        <v>1</v>
      </c>
      <c r="E240" s="1352">
        <f t="shared" si="14"/>
        <v>113</v>
      </c>
      <c r="F240" s="819">
        <f t="shared" si="15"/>
        <v>113</v>
      </c>
      <c r="AB240" s="772">
        <v>99</v>
      </c>
      <c r="AC240" s="772">
        <v>110</v>
      </c>
      <c r="AD240" s="772">
        <v>130</v>
      </c>
    </row>
    <row r="241" spans="1:30" ht="20.25" customHeight="1">
      <c r="A241" s="818">
        <v>13</v>
      </c>
      <c r="B241" s="778" t="s">
        <v>630</v>
      </c>
      <c r="C241" s="779" t="s">
        <v>631</v>
      </c>
      <c r="D241" s="779">
        <v>1</v>
      </c>
      <c r="E241" s="1352">
        <f t="shared" si="14"/>
        <v>112.67</v>
      </c>
      <c r="F241" s="819">
        <f t="shared" si="15"/>
        <v>112.67</v>
      </c>
      <c r="AB241" s="772">
        <v>105</v>
      </c>
      <c r="AC241" s="772">
        <v>118</v>
      </c>
      <c r="AD241" s="772">
        <v>115</v>
      </c>
    </row>
    <row r="242" spans="1:30" ht="20.25" customHeight="1">
      <c r="A242" s="818">
        <v>14</v>
      </c>
      <c r="B242" s="821" t="s">
        <v>632</v>
      </c>
      <c r="C242" s="818" t="s">
        <v>610</v>
      </c>
      <c r="D242" s="818">
        <v>20</v>
      </c>
      <c r="E242" s="1352">
        <f t="shared" si="14"/>
        <v>2.67</v>
      </c>
      <c r="F242" s="819">
        <f t="shared" si="15"/>
        <v>53.4</v>
      </c>
      <c r="AB242" s="772">
        <v>2</v>
      </c>
      <c r="AC242" s="772">
        <v>1.5</v>
      </c>
      <c r="AD242" s="772">
        <v>4.5</v>
      </c>
    </row>
    <row r="243" spans="1:30" ht="20.25" customHeight="1">
      <c r="A243" s="818">
        <v>15</v>
      </c>
      <c r="B243" s="821" t="s">
        <v>633</v>
      </c>
      <c r="C243" s="818" t="s">
        <v>634</v>
      </c>
      <c r="D243" s="818">
        <v>10</v>
      </c>
      <c r="E243" s="1352">
        <f t="shared" si="14"/>
        <v>10.62</v>
      </c>
      <c r="F243" s="819">
        <f t="shared" si="15"/>
        <v>106.19999999999999</v>
      </c>
      <c r="AB243" s="772">
        <v>9.75</v>
      </c>
      <c r="AC243" s="772">
        <v>9.8000000000000007</v>
      </c>
      <c r="AD243" s="772">
        <v>12.3</v>
      </c>
    </row>
    <row r="244" spans="1:30" ht="20.25" customHeight="1">
      <c r="A244" s="818">
        <v>16</v>
      </c>
      <c r="B244" s="821" t="s">
        <v>635</v>
      </c>
      <c r="C244" s="818" t="s">
        <v>634</v>
      </c>
      <c r="D244" s="818">
        <v>10</v>
      </c>
      <c r="E244" s="1352">
        <f t="shared" si="14"/>
        <v>34.5</v>
      </c>
      <c r="F244" s="819">
        <f t="shared" si="15"/>
        <v>345</v>
      </c>
      <c r="AB244" s="772">
        <v>28.9</v>
      </c>
      <c r="AC244" s="772">
        <v>28.7</v>
      </c>
      <c r="AD244" s="772">
        <v>45.9</v>
      </c>
    </row>
    <row r="245" spans="1:30" ht="20.25" customHeight="1">
      <c r="A245" s="818">
        <v>17</v>
      </c>
      <c r="B245" s="821" t="s">
        <v>636</v>
      </c>
      <c r="C245" s="818" t="s">
        <v>610</v>
      </c>
      <c r="D245" s="818">
        <v>3</v>
      </c>
      <c r="E245" s="1352">
        <f t="shared" si="14"/>
        <v>79.33</v>
      </c>
      <c r="F245" s="819">
        <f t="shared" si="15"/>
        <v>237.99</v>
      </c>
      <c r="AB245" s="772">
        <v>75</v>
      </c>
      <c r="AC245" s="772">
        <v>78</v>
      </c>
      <c r="AD245" s="772">
        <v>85</v>
      </c>
    </row>
    <row r="246" spans="1:30" ht="20.25" customHeight="1">
      <c r="A246" s="818">
        <v>18</v>
      </c>
      <c r="B246" s="821" t="s">
        <v>638</v>
      </c>
      <c r="C246" s="818" t="s">
        <v>639</v>
      </c>
      <c r="D246" s="818">
        <v>2</v>
      </c>
      <c r="E246" s="1352">
        <f t="shared" si="14"/>
        <v>12.85</v>
      </c>
      <c r="F246" s="819">
        <f t="shared" si="15"/>
        <v>25.7</v>
      </c>
      <c r="AB246" s="772">
        <v>10</v>
      </c>
      <c r="AC246" s="772">
        <v>12</v>
      </c>
      <c r="AD246" s="772">
        <v>16.54</v>
      </c>
    </row>
    <row r="247" spans="1:30" ht="20.25" customHeight="1">
      <c r="A247" s="818">
        <v>19</v>
      </c>
      <c r="B247" s="821" t="s">
        <v>640</v>
      </c>
      <c r="C247" s="818" t="s">
        <v>639</v>
      </c>
      <c r="D247" s="818">
        <v>2</v>
      </c>
      <c r="E247" s="1352">
        <f t="shared" si="14"/>
        <v>11.77</v>
      </c>
      <c r="F247" s="819">
        <f t="shared" si="15"/>
        <v>23.54</v>
      </c>
      <c r="AB247" s="772">
        <v>10</v>
      </c>
      <c r="AC247" s="772">
        <v>11</v>
      </c>
      <c r="AD247" s="772">
        <v>14.32</v>
      </c>
    </row>
    <row r="248" spans="1:30" ht="20.25" customHeight="1">
      <c r="A248" s="818">
        <v>20</v>
      </c>
      <c r="B248" s="821" t="s">
        <v>641</v>
      </c>
      <c r="C248" s="818" t="s">
        <v>639</v>
      </c>
      <c r="D248" s="818">
        <v>3</v>
      </c>
      <c r="E248" s="1352">
        <f t="shared" si="14"/>
        <v>24.2</v>
      </c>
      <c r="F248" s="819">
        <f t="shared" si="15"/>
        <v>72.599999999999994</v>
      </c>
      <c r="AB248" s="772">
        <v>20</v>
      </c>
      <c r="AC248" s="772">
        <v>24</v>
      </c>
      <c r="AD248" s="772">
        <v>28.6</v>
      </c>
    </row>
    <row r="249" spans="1:30" ht="20.25" customHeight="1">
      <c r="A249" s="818">
        <v>21</v>
      </c>
      <c r="B249" s="821" t="s">
        <v>642</v>
      </c>
      <c r="C249" s="818" t="s">
        <v>610</v>
      </c>
      <c r="D249" s="818">
        <v>100</v>
      </c>
      <c r="E249" s="1352">
        <f t="shared" si="14"/>
        <v>2.25</v>
      </c>
      <c r="F249" s="819">
        <f t="shared" si="15"/>
        <v>225</v>
      </c>
      <c r="AB249" s="772">
        <v>1.7</v>
      </c>
      <c r="AC249" s="772">
        <v>1.9</v>
      </c>
      <c r="AD249" s="772">
        <v>3.15</v>
      </c>
    </row>
    <row r="250" spans="1:30" ht="20.25" customHeight="1">
      <c r="A250" s="818">
        <v>22</v>
      </c>
      <c r="B250" s="821" t="s">
        <v>643</v>
      </c>
      <c r="C250" s="818" t="s">
        <v>610</v>
      </c>
      <c r="D250" s="818">
        <v>8</v>
      </c>
      <c r="E250" s="1352">
        <f t="shared" si="14"/>
        <v>26.37</v>
      </c>
      <c r="F250" s="819">
        <f t="shared" si="15"/>
        <v>210.96</v>
      </c>
      <c r="AB250" s="772">
        <v>24</v>
      </c>
      <c r="AC250" s="772">
        <v>25.5</v>
      </c>
      <c r="AD250" s="772">
        <v>29.6</v>
      </c>
    </row>
    <row r="251" spans="1:30" ht="20.25" customHeight="1">
      <c r="A251" s="818">
        <v>23</v>
      </c>
      <c r="B251" s="821" t="s">
        <v>645</v>
      </c>
      <c r="C251" s="818" t="s">
        <v>610</v>
      </c>
      <c r="D251" s="818">
        <v>1</v>
      </c>
      <c r="E251" s="1352">
        <f t="shared" si="14"/>
        <v>323.33</v>
      </c>
      <c r="F251" s="819">
        <f t="shared" si="15"/>
        <v>323.33</v>
      </c>
      <c r="AB251" s="772">
        <v>305</v>
      </c>
      <c r="AC251" s="772">
        <v>310</v>
      </c>
      <c r="AD251" s="772">
        <v>355</v>
      </c>
    </row>
    <row r="252" spans="1:30" ht="20.25" customHeight="1">
      <c r="A252" s="818">
        <v>24</v>
      </c>
      <c r="B252" s="821" t="s">
        <v>646</v>
      </c>
      <c r="C252" s="818" t="s">
        <v>610</v>
      </c>
      <c r="D252" s="818">
        <v>1</v>
      </c>
      <c r="E252" s="1352">
        <f t="shared" si="14"/>
        <v>335</v>
      </c>
      <c r="F252" s="819">
        <f t="shared" si="15"/>
        <v>335</v>
      </c>
      <c r="AB252" s="772">
        <v>305</v>
      </c>
      <c r="AC252" s="772">
        <v>310</v>
      </c>
      <c r="AD252" s="772">
        <v>390</v>
      </c>
    </row>
    <row r="253" spans="1:30" ht="20.25" customHeight="1">
      <c r="A253" s="818">
        <v>25</v>
      </c>
      <c r="B253" s="821" t="s">
        <v>649</v>
      </c>
      <c r="C253" s="818" t="s">
        <v>639</v>
      </c>
      <c r="D253" s="818">
        <v>1</v>
      </c>
      <c r="E253" s="1352">
        <f t="shared" si="14"/>
        <v>68</v>
      </c>
      <c r="F253" s="819">
        <f t="shared" si="15"/>
        <v>68</v>
      </c>
      <c r="AB253" s="772">
        <v>55</v>
      </c>
      <c r="AC253" s="772">
        <v>60</v>
      </c>
      <c r="AD253" s="772">
        <v>89</v>
      </c>
    </row>
    <row r="254" spans="1:30" ht="20.25" customHeight="1">
      <c r="A254" s="818">
        <v>26</v>
      </c>
      <c r="B254" s="821" t="s">
        <v>650</v>
      </c>
      <c r="C254" s="818" t="s">
        <v>610</v>
      </c>
      <c r="D254" s="818">
        <v>100</v>
      </c>
      <c r="E254" s="1352">
        <f t="shared" si="14"/>
        <v>10</v>
      </c>
      <c r="F254" s="819">
        <f t="shared" si="15"/>
        <v>1000</v>
      </c>
      <c r="AB254" s="772">
        <v>6</v>
      </c>
      <c r="AC254" s="772">
        <v>6.2</v>
      </c>
      <c r="AD254" s="772">
        <v>17.8</v>
      </c>
    </row>
    <row r="255" spans="1:30" ht="20.25" customHeight="1">
      <c r="A255" s="818">
        <v>27</v>
      </c>
      <c r="B255" s="778" t="s">
        <v>731</v>
      </c>
      <c r="C255" s="779" t="s">
        <v>678</v>
      </c>
      <c r="D255" s="779">
        <v>1</v>
      </c>
      <c r="E255" s="1352">
        <f t="shared" si="14"/>
        <v>1743.33</v>
      </c>
      <c r="F255" s="819">
        <f t="shared" si="15"/>
        <v>1743.33</v>
      </c>
      <c r="AB255" s="772">
        <v>1700</v>
      </c>
      <c r="AC255" s="772">
        <v>1740</v>
      </c>
      <c r="AD255" s="772">
        <v>1790</v>
      </c>
    </row>
    <row r="256" spans="1:30" ht="20.25" customHeight="1">
      <c r="A256" s="818">
        <v>28</v>
      </c>
      <c r="B256" s="821" t="s">
        <v>868</v>
      </c>
      <c r="C256" s="818" t="s">
        <v>678</v>
      </c>
      <c r="D256" s="818">
        <v>1</v>
      </c>
      <c r="E256" s="1352">
        <f t="shared" si="14"/>
        <v>2820</v>
      </c>
      <c r="F256" s="819">
        <f t="shared" si="15"/>
        <v>2820</v>
      </c>
      <c r="AB256" s="772">
        <v>2760</v>
      </c>
      <c r="AC256" s="772">
        <v>2850</v>
      </c>
      <c r="AD256" s="772">
        <v>2850</v>
      </c>
    </row>
    <row r="257" spans="1:30" ht="20.25" customHeight="1">
      <c r="A257" s="814" t="s">
        <v>705</v>
      </c>
      <c r="B257" s="815"/>
      <c r="C257" s="815"/>
      <c r="D257" s="815"/>
      <c r="E257" s="1354" t="s">
        <v>1008</v>
      </c>
      <c r="F257" s="1031" t="s">
        <v>857</v>
      </c>
      <c r="AB257" s="772"/>
      <c r="AC257" s="772"/>
      <c r="AD257" s="772"/>
    </row>
    <row r="258" spans="1:30" ht="20.25" customHeight="1">
      <c r="A258" s="816" t="s">
        <v>440</v>
      </c>
      <c r="B258" s="774" t="s">
        <v>407</v>
      </c>
      <c r="C258" s="775" t="s">
        <v>390</v>
      </c>
      <c r="D258" s="817" t="s">
        <v>593</v>
      </c>
      <c r="E258" s="1355"/>
      <c r="F258" s="1032"/>
      <c r="AB258" s="772" t="s">
        <v>594</v>
      </c>
      <c r="AC258" s="772" t="s">
        <v>594</v>
      </c>
      <c r="AD258" s="772" t="s">
        <v>594</v>
      </c>
    </row>
    <row r="259" spans="1:30" ht="20.25" customHeight="1">
      <c r="A259" s="822">
        <v>29</v>
      </c>
      <c r="B259" s="823" t="s">
        <v>706</v>
      </c>
      <c r="C259" s="822" t="s">
        <v>678</v>
      </c>
      <c r="D259" s="822">
        <v>6</v>
      </c>
      <c r="E259" s="1352">
        <f t="shared" ref="E259:E286" si="16">ROUND(AVERAGE(AB259,AC259,AD259),2)</f>
        <v>153.66999999999999</v>
      </c>
      <c r="F259" s="819">
        <f t="shared" ref="F259:F286" si="17">E259*D259</f>
        <v>922.02</v>
      </c>
      <c r="AB259" s="772">
        <v>136</v>
      </c>
      <c r="AC259" s="772">
        <v>180</v>
      </c>
      <c r="AD259" s="772">
        <v>145</v>
      </c>
    </row>
    <row r="260" spans="1:30" ht="20.25" customHeight="1">
      <c r="A260" s="822">
        <v>30</v>
      </c>
      <c r="B260" s="821" t="s">
        <v>707</v>
      </c>
      <c r="C260" s="818" t="s">
        <v>678</v>
      </c>
      <c r="D260" s="818">
        <v>2</v>
      </c>
      <c r="E260" s="1352">
        <f t="shared" si="16"/>
        <v>35.33</v>
      </c>
      <c r="F260" s="819">
        <f t="shared" si="17"/>
        <v>70.66</v>
      </c>
      <c r="AB260" s="772">
        <v>26</v>
      </c>
      <c r="AC260" s="772">
        <v>45</v>
      </c>
      <c r="AD260" s="772">
        <v>35</v>
      </c>
    </row>
    <row r="261" spans="1:30" ht="20.25" customHeight="1">
      <c r="A261" s="822">
        <v>31</v>
      </c>
      <c r="B261" s="821" t="s">
        <v>708</v>
      </c>
      <c r="C261" s="818" t="s">
        <v>678</v>
      </c>
      <c r="D261" s="818">
        <v>20</v>
      </c>
      <c r="E261" s="1352">
        <f t="shared" si="16"/>
        <v>65.67</v>
      </c>
      <c r="F261" s="819">
        <f t="shared" si="17"/>
        <v>1313.4</v>
      </c>
      <c r="AB261" s="772">
        <v>63</v>
      </c>
      <c r="AC261" s="772">
        <v>55</v>
      </c>
      <c r="AD261" s="772">
        <v>79</v>
      </c>
    </row>
    <row r="262" spans="1:30" ht="20.25" customHeight="1">
      <c r="A262" s="822">
        <v>32</v>
      </c>
      <c r="B262" s="821" t="s">
        <v>709</v>
      </c>
      <c r="C262" s="818" t="s">
        <v>678</v>
      </c>
      <c r="D262" s="818">
        <v>4</v>
      </c>
      <c r="E262" s="1352">
        <f t="shared" si="16"/>
        <v>30.67</v>
      </c>
      <c r="F262" s="819">
        <f t="shared" si="17"/>
        <v>122.68</v>
      </c>
      <c r="AB262" s="772">
        <v>22</v>
      </c>
      <c r="AC262" s="772">
        <v>25</v>
      </c>
      <c r="AD262" s="772">
        <v>45</v>
      </c>
    </row>
    <row r="263" spans="1:30" ht="20.25" customHeight="1">
      <c r="A263" s="822">
        <v>33</v>
      </c>
      <c r="B263" s="821" t="s">
        <v>710</v>
      </c>
      <c r="C263" s="818" t="s">
        <v>711</v>
      </c>
      <c r="D263" s="818">
        <v>1</v>
      </c>
      <c r="E263" s="1352">
        <f t="shared" si="16"/>
        <v>28.43</v>
      </c>
      <c r="F263" s="819">
        <f t="shared" si="17"/>
        <v>28.43</v>
      </c>
      <c r="AB263" s="772">
        <v>24</v>
      </c>
      <c r="AC263" s="772">
        <v>25.3</v>
      </c>
      <c r="AD263" s="772">
        <v>36</v>
      </c>
    </row>
    <row r="264" spans="1:30" ht="20.25" customHeight="1">
      <c r="A264" s="822">
        <v>34</v>
      </c>
      <c r="B264" s="821" t="s">
        <v>712</v>
      </c>
      <c r="C264" s="818" t="s">
        <v>678</v>
      </c>
      <c r="D264" s="818">
        <v>1</v>
      </c>
      <c r="E264" s="1352">
        <f t="shared" si="16"/>
        <v>53.27</v>
      </c>
      <c r="F264" s="819">
        <f t="shared" si="17"/>
        <v>53.27</v>
      </c>
      <c r="AB264" s="772">
        <v>45.6</v>
      </c>
      <c r="AC264" s="772">
        <v>56</v>
      </c>
      <c r="AD264" s="772">
        <v>58.2</v>
      </c>
    </row>
    <row r="265" spans="1:30" ht="20.25" customHeight="1">
      <c r="A265" s="822">
        <v>35</v>
      </c>
      <c r="B265" s="821" t="s">
        <v>713</v>
      </c>
      <c r="C265" s="818" t="s">
        <v>610</v>
      </c>
      <c r="D265" s="818">
        <v>4</v>
      </c>
      <c r="E265" s="1352">
        <f t="shared" si="16"/>
        <v>29.23</v>
      </c>
      <c r="F265" s="819">
        <f t="shared" si="17"/>
        <v>116.92</v>
      </c>
      <c r="AB265" s="772">
        <v>31.2</v>
      </c>
      <c r="AC265" s="772">
        <v>20</v>
      </c>
      <c r="AD265" s="772">
        <v>36.5</v>
      </c>
    </row>
    <row r="266" spans="1:30" ht="20.25" customHeight="1">
      <c r="A266" s="822">
        <v>36</v>
      </c>
      <c r="B266" s="821" t="s">
        <v>714</v>
      </c>
      <c r="C266" s="818" t="s">
        <v>610</v>
      </c>
      <c r="D266" s="818">
        <v>4</v>
      </c>
      <c r="E266" s="1352">
        <f t="shared" si="16"/>
        <v>23.37</v>
      </c>
      <c r="F266" s="819">
        <f t="shared" si="17"/>
        <v>93.48</v>
      </c>
      <c r="AB266" s="772">
        <v>26.4</v>
      </c>
      <c r="AC266" s="772">
        <v>14.8</v>
      </c>
      <c r="AD266" s="772">
        <v>28.9</v>
      </c>
    </row>
    <row r="267" spans="1:30" ht="20.25" customHeight="1">
      <c r="A267" s="822">
        <v>37</v>
      </c>
      <c r="B267" s="821" t="s">
        <v>715</v>
      </c>
      <c r="C267" s="818" t="s">
        <v>610</v>
      </c>
      <c r="D267" s="818">
        <v>4</v>
      </c>
      <c r="E267" s="1352">
        <f t="shared" si="16"/>
        <v>11.73</v>
      </c>
      <c r="F267" s="819">
        <f t="shared" si="17"/>
        <v>46.92</v>
      </c>
      <c r="AB267" s="772">
        <v>12</v>
      </c>
      <c r="AC267" s="772">
        <v>8.1999999999999993</v>
      </c>
      <c r="AD267" s="772">
        <v>15</v>
      </c>
    </row>
    <row r="268" spans="1:30" ht="20.25" customHeight="1">
      <c r="A268" s="822">
        <v>38</v>
      </c>
      <c r="B268" s="821" t="s">
        <v>716</v>
      </c>
      <c r="C268" s="818" t="s">
        <v>610</v>
      </c>
      <c r="D268" s="818">
        <v>4</v>
      </c>
      <c r="E268" s="1352">
        <f t="shared" si="16"/>
        <v>85.5</v>
      </c>
      <c r="F268" s="819">
        <f t="shared" si="17"/>
        <v>342</v>
      </c>
      <c r="AB268" s="772">
        <v>21.6</v>
      </c>
      <c r="AC268" s="772">
        <v>9.9</v>
      </c>
      <c r="AD268" s="772">
        <v>225</v>
      </c>
    </row>
    <row r="269" spans="1:30" ht="20.25" customHeight="1">
      <c r="A269" s="822">
        <v>39</v>
      </c>
      <c r="B269" s="821" t="s">
        <v>717</v>
      </c>
      <c r="C269" s="818" t="s">
        <v>610</v>
      </c>
      <c r="D269" s="818">
        <v>100</v>
      </c>
      <c r="E269" s="1352">
        <f t="shared" si="16"/>
        <v>1.63</v>
      </c>
      <c r="F269" s="819">
        <f t="shared" si="17"/>
        <v>163</v>
      </c>
      <c r="AB269" s="772">
        <v>1</v>
      </c>
      <c r="AC269" s="772">
        <v>0.9</v>
      </c>
      <c r="AD269" s="772">
        <v>3</v>
      </c>
    </row>
    <row r="270" spans="1:30" ht="20.25" customHeight="1">
      <c r="A270" s="822">
        <v>40</v>
      </c>
      <c r="B270" s="821" t="s">
        <v>718</v>
      </c>
      <c r="C270" s="818" t="s">
        <v>610</v>
      </c>
      <c r="D270" s="818">
        <v>100</v>
      </c>
      <c r="E270" s="1352">
        <f t="shared" si="16"/>
        <v>1.5</v>
      </c>
      <c r="F270" s="819">
        <f t="shared" si="17"/>
        <v>150</v>
      </c>
      <c r="AB270" s="772">
        <v>1</v>
      </c>
      <c r="AC270" s="772">
        <v>0.7</v>
      </c>
      <c r="AD270" s="772">
        <v>2.8</v>
      </c>
    </row>
    <row r="271" spans="1:30" ht="20.25" customHeight="1">
      <c r="A271" s="822">
        <v>41</v>
      </c>
      <c r="B271" s="821" t="s">
        <v>719</v>
      </c>
      <c r="C271" s="818" t="s">
        <v>678</v>
      </c>
      <c r="D271" s="818">
        <v>4</v>
      </c>
      <c r="E271" s="1352">
        <f t="shared" si="16"/>
        <v>53.67</v>
      </c>
      <c r="F271" s="819">
        <f t="shared" si="17"/>
        <v>214.68</v>
      </c>
      <c r="AB271" s="772">
        <v>48</v>
      </c>
      <c r="AC271" s="772">
        <v>60</v>
      </c>
      <c r="AD271" s="772">
        <v>53</v>
      </c>
    </row>
    <row r="272" spans="1:30" ht="20.25" customHeight="1">
      <c r="A272" s="822">
        <v>42</v>
      </c>
      <c r="B272" s="821" t="s">
        <v>869</v>
      </c>
      <c r="C272" s="818" t="s">
        <v>634</v>
      </c>
      <c r="D272" s="818">
        <v>10</v>
      </c>
      <c r="E272" s="1352">
        <f t="shared" si="16"/>
        <v>12.2</v>
      </c>
      <c r="F272" s="819">
        <f t="shared" si="17"/>
        <v>122</v>
      </c>
      <c r="AB272" s="772">
        <v>12</v>
      </c>
      <c r="AC272" s="772">
        <v>11</v>
      </c>
      <c r="AD272" s="772">
        <v>13.6</v>
      </c>
    </row>
    <row r="273" spans="1:30" ht="20.25" customHeight="1">
      <c r="A273" s="822">
        <v>43</v>
      </c>
      <c r="B273" s="821" t="s">
        <v>721</v>
      </c>
      <c r="C273" s="818" t="s">
        <v>610</v>
      </c>
      <c r="D273" s="818">
        <v>10</v>
      </c>
      <c r="E273" s="1352">
        <f t="shared" si="16"/>
        <v>22.87</v>
      </c>
      <c r="F273" s="819">
        <f t="shared" si="17"/>
        <v>228.70000000000002</v>
      </c>
      <c r="AB273" s="772">
        <v>22</v>
      </c>
      <c r="AC273" s="772">
        <v>15.4</v>
      </c>
      <c r="AD273" s="772">
        <v>31.2</v>
      </c>
    </row>
    <row r="274" spans="1:30" ht="20.25" customHeight="1">
      <c r="A274" s="822">
        <v>44</v>
      </c>
      <c r="B274" s="821" t="s">
        <v>722</v>
      </c>
      <c r="C274" s="818" t="s">
        <v>678</v>
      </c>
      <c r="D274" s="818">
        <v>2</v>
      </c>
      <c r="E274" s="1352">
        <f t="shared" si="16"/>
        <v>331.67</v>
      </c>
      <c r="F274" s="819">
        <f t="shared" si="17"/>
        <v>663.34</v>
      </c>
      <c r="AB274" s="772">
        <v>330</v>
      </c>
      <c r="AC274" s="772">
        <v>310</v>
      </c>
      <c r="AD274" s="772">
        <v>355</v>
      </c>
    </row>
    <row r="275" spans="1:30" ht="20.25" customHeight="1">
      <c r="A275" s="822">
        <v>45</v>
      </c>
      <c r="B275" s="821" t="s">
        <v>723</v>
      </c>
      <c r="C275" s="818" t="s">
        <v>610</v>
      </c>
      <c r="D275" s="818">
        <v>4</v>
      </c>
      <c r="E275" s="1352">
        <f t="shared" si="16"/>
        <v>25.9</v>
      </c>
      <c r="F275" s="819">
        <f t="shared" si="17"/>
        <v>103.6</v>
      </c>
      <c r="AB275" s="772">
        <v>25.8</v>
      </c>
      <c r="AC275" s="772">
        <v>16.7</v>
      </c>
      <c r="AD275" s="772">
        <v>35.200000000000003</v>
      </c>
    </row>
    <row r="276" spans="1:30" ht="20.25" customHeight="1">
      <c r="A276" s="822">
        <v>46</v>
      </c>
      <c r="B276" s="778" t="s">
        <v>724</v>
      </c>
      <c r="C276" s="779" t="s">
        <v>678</v>
      </c>
      <c r="D276" s="779">
        <v>1</v>
      </c>
      <c r="E276" s="1352">
        <f t="shared" si="16"/>
        <v>409</v>
      </c>
      <c r="F276" s="819">
        <f t="shared" si="17"/>
        <v>409</v>
      </c>
      <c r="AB276" s="772">
        <v>405</v>
      </c>
      <c r="AC276" s="772">
        <v>410</v>
      </c>
      <c r="AD276" s="772">
        <v>412</v>
      </c>
    </row>
    <row r="277" spans="1:30" ht="20.25" customHeight="1">
      <c r="A277" s="822">
        <v>47</v>
      </c>
      <c r="B277" s="778" t="s">
        <v>870</v>
      </c>
      <c r="C277" s="779" t="s">
        <v>634</v>
      </c>
      <c r="D277" s="779">
        <v>6</v>
      </c>
      <c r="E277" s="1352">
        <f t="shared" si="16"/>
        <v>612</v>
      </c>
      <c r="F277" s="819">
        <f t="shared" si="17"/>
        <v>3672</v>
      </c>
      <c r="AB277" s="772">
        <v>1260</v>
      </c>
      <c r="AC277" s="772">
        <v>280</v>
      </c>
      <c r="AD277" s="772">
        <v>296</v>
      </c>
    </row>
    <row r="278" spans="1:30" ht="20.25" customHeight="1">
      <c r="A278" s="822">
        <v>48</v>
      </c>
      <c r="B278" s="778" t="s">
        <v>729</v>
      </c>
      <c r="C278" s="779" t="s">
        <v>678</v>
      </c>
      <c r="D278" s="779">
        <v>4</v>
      </c>
      <c r="E278" s="1352">
        <f t="shared" si="16"/>
        <v>879.67</v>
      </c>
      <c r="F278" s="819">
        <f t="shared" si="17"/>
        <v>3518.68</v>
      </c>
      <c r="AB278" s="772">
        <v>850</v>
      </c>
      <c r="AC278" s="772">
        <v>924</v>
      </c>
      <c r="AD278" s="772">
        <v>865</v>
      </c>
    </row>
    <row r="279" spans="1:30" ht="20.25" customHeight="1">
      <c r="A279" s="822">
        <v>49</v>
      </c>
      <c r="B279" s="778" t="s">
        <v>730</v>
      </c>
      <c r="C279" s="779" t="s">
        <v>678</v>
      </c>
      <c r="D279" s="779">
        <v>1</v>
      </c>
      <c r="E279" s="1352">
        <f t="shared" si="16"/>
        <v>920</v>
      </c>
      <c r="F279" s="819">
        <f t="shared" si="17"/>
        <v>920</v>
      </c>
      <c r="AB279" s="772">
        <v>450</v>
      </c>
      <c r="AC279" s="772">
        <v>550</v>
      </c>
      <c r="AD279" s="772">
        <v>1760</v>
      </c>
    </row>
    <row r="280" spans="1:30" ht="20.25" customHeight="1">
      <c r="A280" s="824">
        <v>50</v>
      </c>
      <c r="B280" s="803" t="s">
        <v>871</v>
      </c>
      <c r="C280" s="825" t="s">
        <v>678</v>
      </c>
      <c r="D280" s="779">
        <v>4</v>
      </c>
      <c r="E280" s="1352">
        <f t="shared" si="16"/>
        <v>86.33</v>
      </c>
      <c r="F280" s="819">
        <f t="shared" si="17"/>
        <v>345.32</v>
      </c>
      <c r="AB280" s="772">
        <v>86</v>
      </c>
      <c r="AC280" s="772">
        <v>95</v>
      </c>
      <c r="AD280" s="772">
        <v>78</v>
      </c>
    </row>
    <row r="281" spans="1:30" ht="20.25" customHeight="1">
      <c r="A281" s="824">
        <v>51</v>
      </c>
      <c r="B281" s="778" t="s">
        <v>872</v>
      </c>
      <c r="C281" s="825" t="s">
        <v>634</v>
      </c>
      <c r="D281" s="779">
        <v>20</v>
      </c>
      <c r="E281" s="1352">
        <f t="shared" si="16"/>
        <v>70.67</v>
      </c>
      <c r="F281" s="819">
        <f t="shared" si="17"/>
        <v>1413.4</v>
      </c>
      <c r="AB281" s="772">
        <v>72</v>
      </c>
      <c r="AC281" s="772">
        <v>72</v>
      </c>
      <c r="AD281" s="772">
        <v>68</v>
      </c>
    </row>
    <row r="282" spans="1:30" ht="20.25" customHeight="1">
      <c r="A282" s="824">
        <v>52</v>
      </c>
      <c r="B282" s="803" t="s">
        <v>873</v>
      </c>
      <c r="C282" s="826" t="s">
        <v>678</v>
      </c>
      <c r="D282" s="827">
        <v>10</v>
      </c>
      <c r="E282" s="1352">
        <f t="shared" si="16"/>
        <v>63.9</v>
      </c>
      <c r="F282" s="819">
        <f t="shared" si="17"/>
        <v>639</v>
      </c>
      <c r="AB282" s="772">
        <v>59.9</v>
      </c>
      <c r="AC282" s="772">
        <v>62</v>
      </c>
      <c r="AD282" s="772">
        <v>69.8</v>
      </c>
    </row>
    <row r="283" spans="1:30" ht="20.25" customHeight="1">
      <c r="A283" s="824">
        <v>53</v>
      </c>
      <c r="B283" s="821" t="s">
        <v>874</v>
      </c>
      <c r="C283" s="826" t="s">
        <v>678</v>
      </c>
      <c r="D283" s="827">
        <v>4</v>
      </c>
      <c r="E283" s="1352">
        <f t="shared" si="16"/>
        <v>216.67</v>
      </c>
      <c r="F283" s="819">
        <f t="shared" si="17"/>
        <v>866.68</v>
      </c>
      <c r="AB283" s="772">
        <v>200</v>
      </c>
      <c r="AC283" s="772">
        <v>230</v>
      </c>
      <c r="AD283" s="772">
        <v>220</v>
      </c>
    </row>
    <row r="284" spans="1:30" ht="20.25" customHeight="1">
      <c r="A284" s="824">
        <v>54</v>
      </c>
      <c r="B284" s="803" t="s">
        <v>875</v>
      </c>
      <c r="C284" s="828" t="s">
        <v>610</v>
      </c>
      <c r="D284" s="829">
        <v>4</v>
      </c>
      <c r="E284" s="1352">
        <f t="shared" si="16"/>
        <v>387</v>
      </c>
      <c r="F284" s="819">
        <f t="shared" si="17"/>
        <v>1548</v>
      </c>
      <c r="AB284" s="772">
        <v>534</v>
      </c>
      <c r="AC284" s="772">
        <v>574</v>
      </c>
      <c r="AD284" s="772">
        <v>53</v>
      </c>
    </row>
    <row r="285" spans="1:30" ht="20.25" customHeight="1">
      <c r="A285" s="824">
        <v>55</v>
      </c>
      <c r="B285" s="803" t="s">
        <v>876</v>
      </c>
      <c r="C285" s="828" t="s">
        <v>634</v>
      </c>
      <c r="D285" s="777">
        <v>50</v>
      </c>
      <c r="E285" s="1352">
        <f t="shared" si="16"/>
        <v>44</v>
      </c>
      <c r="F285" s="819">
        <f t="shared" si="17"/>
        <v>2200</v>
      </c>
      <c r="AB285" s="772">
        <v>42</v>
      </c>
      <c r="AC285" s="772">
        <v>42</v>
      </c>
      <c r="AD285" s="772">
        <v>48</v>
      </c>
    </row>
    <row r="286" spans="1:30" ht="20.25" customHeight="1">
      <c r="A286" s="824">
        <v>56</v>
      </c>
      <c r="B286" s="789" t="s">
        <v>877</v>
      </c>
      <c r="C286" s="828" t="s">
        <v>735</v>
      </c>
      <c r="D286" s="777">
        <v>1</v>
      </c>
      <c r="E286" s="1352">
        <f t="shared" si="16"/>
        <v>12200</v>
      </c>
      <c r="F286" s="819">
        <f t="shared" si="17"/>
        <v>12200</v>
      </c>
      <c r="AB286" s="772">
        <v>12000</v>
      </c>
      <c r="AC286" s="772">
        <v>12100</v>
      </c>
      <c r="AD286" s="772">
        <v>12500</v>
      </c>
    </row>
    <row r="287" spans="1:30" ht="20.25" customHeight="1">
      <c r="A287" s="814" t="s">
        <v>738</v>
      </c>
      <c r="B287" s="830"/>
      <c r="C287" s="815"/>
      <c r="D287" s="815"/>
      <c r="E287" s="1354" t="s">
        <v>1008</v>
      </c>
      <c r="F287" s="1031" t="s">
        <v>857</v>
      </c>
      <c r="AB287" s="772"/>
      <c r="AC287" s="772"/>
      <c r="AD287" s="772"/>
    </row>
    <row r="288" spans="1:30" ht="20.25" customHeight="1">
      <c r="A288" s="816" t="s">
        <v>440</v>
      </c>
      <c r="B288" s="774" t="s">
        <v>407</v>
      </c>
      <c r="C288" s="775" t="s">
        <v>390</v>
      </c>
      <c r="D288" s="817" t="s">
        <v>593</v>
      </c>
      <c r="E288" s="1355"/>
      <c r="F288" s="1032"/>
      <c r="AB288" s="772" t="s">
        <v>594</v>
      </c>
      <c r="AC288" s="772" t="s">
        <v>594</v>
      </c>
      <c r="AD288" s="772" t="s">
        <v>594</v>
      </c>
    </row>
    <row r="289" spans="1:30" ht="20.25" customHeight="1">
      <c r="A289" s="818">
        <v>57</v>
      </c>
      <c r="B289" s="831" t="s">
        <v>739</v>
      </c>
      <c r="C289" s="818" t="s">
        <v>678</v>
      </c>
      <c r="D289" s="818">
        <v>4</v>
      </c>
      <c r="E289" s="1352">
        <f t="shared" ref="E289:E327" si="18">ROUND(AVERAGE(AB289,AC289,AD289),2)</f>
        <v>115.33</v>
      </c>
      <c r="F289" s="819">
        <f t="shared" ref="F289:F327" si="19">E289*D289</f>
        <v>461.32</v>
      </c>
      <c r="AB289" s="772">
        <v>110</v>
      </c>
      <c r="AC289" s="772">
        <v>120</v>
      </c>
      <c r="AD289" s="772">
        <v>116</v>
      </c>
    </row>
    <row r="290" spans="1:30" ht="20.25" customHeight="1">
      <c r="A290" s="818">
        <v>58</v>
      </c>
      <c r="B290" s="831" t="s">
        <v>740</v>
      </c>
      <c r="C290" s="827" t="s">
        <v>678</v>
      </c>
      <c r="D290" s="827">
        <v>1</v>
      </c>
      <c r="E290" s="1352">
        <f t="shared" si="18"/>
        <v>52.33</v>
      </c>
      <c r="F290" s="819">
        <f t="shared" si="19"/>
        <v>52.33</v>
      </c>
      <c r="AB290" s="772">
        <v>45</v>
      </c>
      <c r="AC290" s="772">
        <v>60</v>
      </c>
      <c r="AD290" s="772">
        <v>52</v>
      </c>
    </row>
    <row r="291" spans="1:30" ht="20.25" customHeight="1">
      <c r="A291" s="818">
        <v>59</v>
      </c>
      <c r="B291" s="831" t="s">
        <v>741</v>
      </c>
      <c r="C291" s="827" t="s">
        <v>678</v>
      </c>
      <c r="D291" s="827">
        <v>1</v>
      </c>
      <c r="E291" s="1352">
        <f t="shared" si="18"/>
        <v>26</v>
      </c>
      <c r="F291" s="819">
        <f t="shared" si="19"/>
        <v>26</v>
      </c>
      <c r="AB291" s="772">
        <v>24</v>
      </c>
      <c r="AC291" s="772">
        <v>18</v>
      </c>
      <c r="AD291" s="772">
        <v>36</v>
      </c>
    </row>
    <row r="292" spans="1:30" ht="20.25" customHeight="1">
      <c r="A292" s="818">
        <v>60</v>
      </c>
      <c r="B292" s="831" t="s">
        <v>742</v>
      </c>
      <c r="C292" s="827" t="s">
        <v>678</v>
      </c>
      <c r="D292" s="827">
        <v>5</v>
      </c>
      <c r="E292" s="1352">
        <f t="shared" si="18"/>
        <v>7.57</v>
      </c>
      <c r="F292" s="819">
        <f t="shared" si="19"/>
        <v>37.85</v>
      </c>
      <c r="AB292" s="772">
        <v>5</v>
      </c>
      <c r="AC292" s="772">
        <v>11.5</v>
      </c>
      <c r="AD292" s="772">
        <v>6.2</v>
      </c>
    </row>
    <row r="293" spans="1:30" ht="20.25" customHeight="1">
      <c r="A293" s="818">
        <v>61</v>
      </c>
      <c r="B293" s="831" t="s">
        <v>743</v>
      </c>
      <c r="C293" s="827" t="s">
        <v>678</v>
      </c>
      <c r="D293" s="827">
        <v>5</v>
      </c>
      <c r="E293" s="1352">
        <f t="shared" si="18"/>
        <v>12.45</v>
      </c>
      <c r="F293" s="819">
        <f t="shared" si="19"/>
        <v>62.25</v>
      </c>
      <c r="AB293" s="772">
        <v>10</v>
      </c>
      <c r="AC293" s="772">
        <v>14.35</v>
      </c>
      <c r="AD293" s="772">
        <v>13</v>
      </c>
    </row>
    <row r="294" spans="1:30" ht="20.25" customHeight="1">
      <c r="A294" s="818">
        <v>62</v>
      </c>
      <c r="B294" s="831" t="s">
        <v>744</v>
      </c>
      <c r="C294" s="827" t="s">
        <v>678</v>
      </c>
      <c r="D294" s="827">
        <v>5</v>
      </c>
      <c r="E294" s="1352">
        <f t="shared" si="18"/>
        <v>9.33</v>
      </c>
      <c r="F294" s="819">
        <f t="shared" si="19"/>
        <v>46.65</v>
      </c>
      <c r="AB294" s="772">
        <v>8</v>
      </c>
      <c r="AC294" s="772">
        <v>9.5</v>
      </c>
      <c r="AD294" s="772">
        <v>10.5</v>
      </c>
    </row>
    <row r="295" spans="1:30" ht="20.25" customHeight="1">
      <c r="A295" s="818">
        <v>63</v>
      </c>
      <c r="B295" s="831" t="s">
        <v>745</v>
      </c>
      <c r="C295" s="827" t="s">
        <v>678</v>
      </c>
      <c r="D295" s="827">
        <v>5</v>
      </c>
      <c r="E295" s="1352">
        <f t="shared" si="18"/>
        <v>15.43</v>
      </c>
      <c r="F295" s="819">
        <f t="shared" si="19"/>
        <v>77.150000000000006</v>
      </c>
      <c r="AB295" s="772">
        <v>12.5</v>
      </c>
      <c r="AC295" s="772">
        <v>19.3</v>
      </c>
      <c r="AD295" s="772">
        <v>14.5</v>
      </c>
    </row>
    <row r="296" spans="1:30" ht="20.25" customHeight="1">
      <c r="A296" s="818">
        <v>64</v>
      </c>
      <c r="B296" s="831" t="s">
        <v>746</v>
      </c>
      <c r="C296" s="827" t="s">
        <v>678</v>
      </c>
      <c r="D296" s="827">
        <v>5</v>
      </c>
      <c r="E296" s="1352">
        <f t="shared" si="18"/>
        <v>8.27</v>
      </c>
      <c r="F296" s="819">
        <f t="shared" si="19"/>
        <v>41.349999999999994</v>
      </c>
      <c r="AB296" s="772">
        <v>5.3</v>
      </c>
      <c r="AC296" s="772">
        <v>5</v>
      </c>
      <c r="AD296" s="772">
        <v>14.5</v>
      </c>
    </row>
    <row r="297" spans="1:30" ht="20.25" customHeight="1">
      <c r="A297" s="818">
        <v>65</v>
      </c>
      <c r="B297" s="831" t="s">
        <v>747</v>
      </c>
      <c r="C297" s="827" t="s">
        <v>748</v>
      </c>
      <c r="D297" s="827">
        <v>2</v>
      </c>
      <c r="E297" s="1352">
        <f t="shared" si="18"/>
        <v>92.4</v>
      </c>
      <c r="F297" s="819">
        <f t="shared" si="19"/>
        <v>184.8</v>
      </c>
      <c r="AB297" s="772">
        <v>90</v>
      </c>
      <c r="AC297" s="772">
        <v>92</v>
      </c>
      <c r="AD297" s="772">
        <v>95.2</v>
      </c>
    </row>
    <row r="298" spans="1:30" ht="20.25" customHeight="1">
      <c r="A298" s="818">
        <v>66</v>
      </c>
      <c r="B298" s="831" t="s">
        <v>749</v>
      </c>
      <c r="C298" s="827" t="s">
        <v>634</v>
      </c>
      <c r="D298" s="827">
        <v>50</v>
      </c>
      <c r="E298" s="1352">
        <f t="shared" si="18"/>
        <v>8.67</v>
      </c>
      <c r="F298" s="819">
        <f t="shared" si="19"/>
        <v>433.5</v>
      </c>
      <c r="AB298" s="772">
        <v>6.9</v>
      </c>
      <c r="AC298" s="772">
        <v>10.199999999999999</v>
      </c>
      <c r="AD298" s="772">
        <v>8.9</v>
      </c>
    </row>
    <row r="299" spans="1:30" ht="20.25" customHeight="1">
      <c r="A299" s="818">
        <v>67</v>
      </c>
      <c r="B299" s="831" t="s">
        <v>750</v>
      </c>
      <c r="C299" s="827" t="s">
        <v>610</v>
      </c>
      <c r="D299" s="827">
        <v>2</v>
      </c>
      <c r="E299" s="1352">
        <f t="shared" si="18"/>
        <v>13.67</v>
      </c>
      <c r="F299" s="819">
        <f t="shared" si="19"/>
        <v>27.34</v>
      </c>
      <c r="AB299" s="772">
        <v>10</v>
      </c>
      <c r="AC299" s="772">
        <v>18.5</v>
      </c>
      <c r="AD299" s="772">
        <v>12.5</v>
      </c>
    </row>
    <row r="300" spans="1:30" ht="20.25" customHeight="1">
      <c r="A300" s="818">
        <v>68</v>
      </c>
      <c r="B300" s="831" t="s">
        <v>751</v>
      </c>
      <c r="C300" s="827" t="s">
        <v>610</v>
      </c>
      <c r="D300" s="827">
        <v>2</v>
      </c>
      <c r="E300" s="1352">
        <f t="shared" si="18"/>
        <v>6.83</v>
      </c>
      <c r="F300" s="819">
        <f t="shared" si="19"/>
        <v>13.66</v>
      </c>
      <c r="AB300" s="772">
        <v>5.4</v>
      </c>
      <c r="AC300" s="772">
        <v>7.5</v>
      </c>
      <c r="AD300" s="772">
        <v>7.6</v>
      </c>
    </row>
    <row r="301" spans="1:30" ht="20.25" customHeight="1">
      <c r="A301" s="818">
        <v>69</v>
      </c>
      <c r="B301" s="831" t="s">
        <v>752</v>
      </c>
      <c r="C301" s="827" t="s">
        <v>610</v>
      </c>
      <c r="D301" s="827">
        <v>2</v>
      </c>
      <c r="E301" s="1352">
        <f t="shared" si="18"/>
        <v>8</v>
      </c>
      <c r="F301" s="819">
        <f t="shared" si="19"/>
        <v>16</v>
      </c>
      <c r="AB301" s="772">
        <v>6.5</v>
      </c>
      <c r="AC301" s="772">
        <v>9</v>
      </c>
      <c r="AD301" s="772">
        <v>8.5</v>
      </c>
    </row>
    <row r="302" spans="1:30" ht="20.25" customHeight="1">
      <c r="A302" s="818">
        <v>70</v>
      </c>
      <c r="B302" s="831" t="s">
        <v>753</v>
      </c>
      <c r="C302" s="827" t="s">
        <v>610</v>
      </c>
      <c r="D302" s="827">
        <v>2</v>
      </c>
      <c r="E302" s="1352">
        <f t="shared" si="18"/>
        <v>5.77</v>
      </c>
      <c r="F302" s="819">
        <f t="shared" si="19"/>
        <v>11.54</v>
      </c>
      <c r="AB302" s="772">
        <v>4.5999999999999996</v>
      </c>
      <c r="AC302" s="772">
        <v>6.5</v>
      </c>
      <c r="AD302" s="772">
        <v>6.2</v>
      </c>
    </row>
    <row r="303" spans="1:30" ht="20.25" customHeight="1">
      <c r="A303" s="818">
        <v>71</v>
      </c>
      <c r="B303" s="831" t="s">
        <v>754</v>
      </c>
      <c r="C303" s="827" t="s">
        <v>755</v>
      </c>
      <c r="D303" s="827">
        <v>10</v>
      </c>
      <c r="E303" s="1352">
        <f t="shared" si="18"/>
        <v>25.9</v>
      </c>
      <c r="F303" s="819">
        <f t="shared" si="19"/>
        <v>259</v>
      </c>
      <c r="AB303" s="772">
        <v>23</v>
      </c>
      <c r="AC303" s="772">
        <v>28.5</v>
      </c>
      <c r="AD303" s="772">
        <v>26.2</v>
      </c>
    </row>
    <row r="304" spans="1:30" ht="20.25" customHeight="1">
      <c r="A304" s="818">
        <v>72</v>
      </c>
      <c r="B304" s="831" t="s">
        <v>756</v>
      </c>
      <c r="C304" s="827" t="s">
        <v>678</v>
      </c>
      <c r="D304" s="827">
        <v>1</v>
      </c>
      <c r="E304" s="1352">
        <f t="shared" si="18"/>
        <v>8.23</v>
      </c>
      <c r="F304" s="819">
        <f t="shared" si="19"/>
        <v>8.23</v>
      </c>
      <c r="AB304" s="772">
        <v>7.2</v>
      </c>
      <c r="AC304" s="772">
        <v>8</v>
      </c>
      <c r="AD304" s="772">
        <v>9.5</v>
      </c>
    </row>
    <row r="305" spans="1:30" ht="20.25" customHeight="1">
      <c r="A305" s="818">
        <v>73</v>
      </c>
      <c r="B305" s="832" t="s">
        <v>757</v>
      </c>
      <c r="C305" s="827" t="s">
        <v>748</v>
      </c>
      <c r="D305" s="827">
        <v>4</v>
      </c>
      <c r="E305" s="1352">
        <f t="shared" si="18"/>
        <v>1838.33</v>
      </c>
      <c r="F305" s="819">
        <f t="shared" si="19"/>
        <v>7353.32</v>
      </c>
      <c r="AB305" s="772">
        <v>1675</v>
      </c>
      <c r="AC305" s="772">
        <v>2120</v>
      </c>
      <c r="AD305" s="772">
        <v>1720</v>
      </c>
    </row>
    <row r="306" spans="1:30" ht="20.25" customHeight="1">
      <c r="A306" s="818">
        <v>74</v>
      </c>
      <c r="B306" s="831" t="s">
        <v>758</v>
      </c>
      <c r="C306" s="827" t="s">
        <v>748</v>
      </c>
      <c r="D306" s="827">
        <v>3</v>
      </c>
      <c r="E306" s="1352">
        <f t="shared" si="18"/>
        <v>645</v>
      </c>
      <c r="F306" s="819">
        <f t="shared" si="19"/>
        <v>1935</v>
      </c>
      <c r="AB306" s="772">
        <v>620</v>
      </c>
      <c r="AC306" s="772">
        <v>670</v>
      </c>
      <c r="AD306" s="772">
        <v>645</v>
      </c>
    </row>
    <row r="307" spans="1:30" ht="20.25" customHeight="1">
      <c r="A307" s="818">
        <v>75</v>
      </c>
      <c r="B307" s="831" t="s">
        <v>878</v>
      </c>
      <c r="C307" s="827" t="s">
        <v>748</v>
      </c>
      <c r="D307" s="827">
        <v>3</v>
      </c>
      <c r="E307" s="1352">
        <f t="shared" si="18"/>
        <v>668</v>
      </c>
      <c r="F307" s="819">
        <f t="shared" si="19"/>
        <v>2004</v>
      </c>
      <c r="AB307" s="772">
        <v>657</v>
      </c>
      <c r="AC307" s="772">
        <v>680</v>
      </c>
      <c r="AD307" s="772">
        <v>667</v>
      </c>
    </row>
    <row r="308" spans="1:30" ht="20.25" customHeight="1">
      <c r="A308" s="818">
        <v>76</v>
      </c>
      <c r="B308" s="831" t="s">
        <v>760</v>
      </c>
      <c r="C308" s="827" t="s">
        <v>678</v>
      </c>
      <c r="D308" s="827">
        <v>15</v>
      </c>
      <c r="E308" s="1352">
        <f t="shared" si="18"/>
        <v>26.24</v>
      </c>
      <c r="F308" s="819">
        <f t="shared" si="19"/>
        <v>393.59999999999997</v>
      </c>
      <c r="AB308" s="772">
        <v>23.52</v>
      </c>
      <c r="AC308" s="772">
        <v>28</v>
      </c>
      <c r="AD308" s="772">
        <v>27.2</v>
      </c>
    </row>
    <row r="309" spans="1:30" ht="20.25" customHeight="1">
      <c r="A309" s="818">
        <v>77</v>
      </c>
      <c r="B309" s="831" t="s">
        <v>761</v>
      </c>
      <c r="C309" s="827" t="s">
        <v>678</v>
      </c>
      <c r="D309" s="827">
        <v>3</v>
      </c>
      <c r="E309" s="1352">
        <f t="shared" si="18"/>
        <v>11.87</v>
      </c>
      <c r="F309" s="819">
        <f t="shared" si="19"/>
        <v>35.61</v>
      </c>
      <c r="AB309" s="772">
        <v>11.1</v>
      </c>
      <c r="AC309" s="772">
        <v>11</v>
      </c>
      <c r="AD309" s="772">
        <v>13.5</v>
      </c>
    </row>
    <row r="310" spans="1:30" ht="20.25" customHeight="1">
      <c r="A310" s="818">
        <v>78</v>
      </c>
      <c r="B310" s="831" t="s">
        <v>762</v>
      </c>
      <c r="C310" s="827" t="s">
        <v>678</v>
      </c>
      <c r="D310" s="827">
        <v>80</v>
      </c>
      <c r="E310" s="1352">
        <f t="shared" si="18"/>
        <v>6.2</v>
      </c>
      <c r="F310" s="819">
        <f t="shared" si="19"/>
        <v>496</v>
      </c>
      <c r="AB310" s="772">
        <v>5</v>
      </c>
      <c r="AC310" s="772">
        <v>6.5</v>
      </c>
      <c r="AD310" s="772">
        <v>7.1</v>
      </c>
    </row>
    <row r="311" spans="1:30" ht="20.25" customHeight="1">
      <c r="A311" s="818">
        <v>79</v>
      </c>
      <c r="B311" s="831" t="s">
        <v>763</v>
      </c>
      <c r="C311" s="827" t="s">
        <v>678</v>
      </c>
      <c r="D311" s="827">
        <v>2</v>
      </c>
      <c r="E311" s="1352">
        <f t="shared" si="18"/>
        <v>20.61</v>
      </c>
      <c r="F311" s="819">
        <f t="shared" si="19"/>
        <v>41.22</v>
      </c>
      <c r="AB311" s="772">
        <v>18.72</v>
      </c>
      <c r="AC311" s="772">
        <v>23</v>
      </c>
      <c r="AD311" s="772">
        <v>20.100000000000001</v>
      </c>
    </row>
    <row r="312" spans="1:30" ht="20.25" customHeight="1">
      <c r="A312" s="818">
        <v>80</v>
      </c>
      <c r="B312" s="831" t="s">
        <v>764</v>
      </c>
      <c r="C312" s="827" t="s">
        <v>678</v>
      </c>
      <c r="D312" s="827">
        <v>1</v>
      </c>
      <c r="E312" s="1352">
        <f t="shared" si="18"/>
        <v>34.93</v>
      </c>
      <c r="F312" s="819">
        <f t="shared" si="19"/>
        <v>34.93</v>
      </c>
      <c r="AB312" s="772">
        <v>33.6</v>
      </c>
      <c r="AC312" s="772">
        <v>36</v>
      </c>
      <c r="AD312" s="772">
        <v>35.200000000000003</v>
      </c>
    </row>
    <row r="313" spans="1:30" ht="20.25" customHeight="1">
      <c r="A313" s="818">
        <v>81</v>
      </c>
      <c r="B313" s="831" t="s">
        <v>765</v>
      </c>
      <c r="C313" s="827" t="s">
        <v>678</v>
      </c>
      <c r="D313" s="827">
        <v>4</v>
      </c>
      <c r="E313" s="1352">
        <f t="shared" si="18"/>
        <v>6.63</v>
      </c>
      <c r="F313" s="819">
        <f t="shared" si="19"/>
        <v>26.52</v>
      </c>
      <c r="AB313" s="772">
        <v>5.6</v>
      </c>
      <c r="AC313" s="772">
        <v>7</v>
      </c>
      <c r="AD313" s="772">
        <v>7.3</v>
      </c>
    </row>
    <row r="314" spans="1:30" ht="20.25" customHeight="1">
      <c r="A314" s="818">
        <v>82</v>
      </c>
      <c r="B314" s="831" t="s">
        <v>766</v>
      </c>
      <c r="C314" s="827" t="s">
        <v>678</v>
      </c>
      <c r="D314" s="827">
        <v>10</v>
      </c>
      <c r="E314" s="1352">
        <f t="shared" si="18"/>
        <v>297.33</v>
      </c>
      <c r="F314" s="819">
        <f t="shared" si="19"/>
        <v>2973.2999999999997</v>
      </c>
      <c r="AB314" s="772">
        <v>302</v>
      </c>
      <c r="AC314" s="772">
        <v>280</v>
      </c>
      <c r="AD314" s="772">
        <v>310</v>
      </c>
    </row>
    <row r="315" spans="1:30" ht="20.25" customHeight="1">
      <c r="A315" s="818">
        <v>83</v>
      </c>
      <c r="B315" s="831" t="s">
        <v>767</v>
      </c>
      <c r="C315" s="827" t="s">
        <v>768</v>
      </c>
      <c r="D315" s="827">
        <v>5</v>
      </c>
      <c r="E315" s="1352">
        <f t="shared" si="18"/>
        <v>35.17</v>
      </c>
      <c r="F315" s="819">
        <f t="shared" si="19"/>
        <v>175.85000000000002</v>
      </c>
      <c r="AB315" s="772">
        <v>23</v>
      </c>
      <c r="AC315" s="772">
        <v>56.5</v>
      </c>
      <c r="AD315" s="772">
        <v>26</v>
      </c>
    </row>
    <row r="316" spans="1:30" ht="20.25" customHeight="1">
      <c r="A316" s="818">
        <v>84</v>
      </c>
      <c r="B316" s="831" t="s">
        <v>769</v>
      </c>
      <c r="C316" s="827" t="s">
        <v>748</v>
      </c>
      <c r="D316" s="827">
        <v>2</v>
      </c>
      <c r="E316" s="1352">
        <f t="shared" si="18"/>
        <v>166</v>
      </c>
      <c r="F316" s="819">
        <f t="shared" si="19"/>
        <v>332</v>
      </c>
      <c r="AB316" s="772">
        <v>150</v>
      </c>
      <c r="AC316" s="772">
        <v>180</v>
      </c>
      <c r="AD316" s="772">
        <v>168</v>
      </c>
    </row>
    <row r="317" spans="1:30" ht="20.25" customHeight="1">
      <c r="A317" s="818">
        <v>85</v>
      </c>
      <c r="B317" s="831" t="s">
        <v>770</v>
      </c>
      <c r="C317" s="827" t="s">
        <v>678</v>
      </c>
      <c r="D317" s="827">
        <v>2</v>
      </c>
      <c r="E317" s="1352">
        <f t="shared" si="18"/>
        <v>15.73</v>
      </c>
      <c r="F317" s="819">
        <f t="shared" si="19"/>
        <v>31.46</v>
      </c>
      <c r="AB317" s="772">
        <v>12</v>
      </c>
      <c r="AC317" s="772">
        <v>21</v>
      </c>
      <c r="AD317" s="772">
        <v>14.2</v>
      </c>
    </row>
    <row r="318" spans="1:30" ht="20.25" customHeight="1">
      <c r="A318" s="818">
        <v>86</v>
      </c>
      <c r="B318" s="831" t="s">
        <v>771</v>
      </c>
      <c r="C318" s="818" t="s">
        <v>772</v>
      </c>
      <c r="D318" s="818">
        <v>1</v>
      </c>
      <c r="E318" s="1352">
        <f t="shared" si="18"/>
        <v>102.53</v>
      </c>
      <c r="F318" s="819">
        <f t="shared" si="19"/>
        <v>102.53</v>
      </c>
      <c r="AB318" s="772">
        <v>99.6</v>
      </c>
      <c r="AC318" s="772">
        <v>95</v>
      </c>
      <c r="AD318" s="772">
        <v>113</v>
      </c>
    </row>
    <row r="319" spans="1:30" ht="20.25" customHeight="1">
      <c r="A319" s="818">
        <v>87</v>
      </c>
      <c r="B319" s="831" t="s">
        <v>773</v>
      </c>
      <c r="C319" s="818" t="s">
        <v>678</v>
      </c>
      <c r="D319" s="818">
        <v>2</v>
      </c>
      <c r="E319" s="1352">
        <f t="shared" si="18"/>
        <v>46.53</v>
      </c>
      <c r="F319" s="819">
        <f t="shared" si="19"/>
        <v>93.06</v>
      </c>
      <c r="AB319" s="772">
        <v>46.8</v>
      </c>
      <c r="AC319" s="772">
        <v>44</v>
      </c>
      <c r="AD319" s="772">
        <v>48.8</v>
      </c>
    </row>
    <row r="320" spans="1:30" ht="20.25" customHeight="1">
      <c r="A320" s="818">
        <v>88</v>
      </c>
      <c r="B320" s="831" t="s">
        <v>774</v>
      </c>
      <c r="C320" s="818" t="s">
        <v>678</v>
      </c>
      <c r="D320" s="818">
        <v>20</v>
      </c>
      <c r="E320" s="1352">
        <f t="shared" si="18"/>
        <v>8.8699999999999992</v>
      </c>
      <c r="F320" s="819">
        <f t="shared" si="19"/>
        <v>177.39999999999998</v>
      </c>
      <c r="AB320" s="772">
        <v>8</v>
      </c>
      <c r="AC320" s="772">
        <v>8.6</v>
      </c>
      <c r="AD320" s="772">
        <v>10</v>
      </c>
    </row>
    <row r="321" spans="1:30" ht="20.25" customHeight="1">
      <c r="A321" s="818">
        <v>89</v>
      </c>
      <c r="B321" s="831" t="s">
        <v>775</v>
      </c>
      <c r="C321" s="818" t="s">
        <v>748</v>
      </c>
      <c r="D321" s="818">
        <v>1</v>
      </c>
      <c r="E321" s="1352">
        <f t="shared" si="18"/>
        <v>550</v>
      </c>
      <c r="F321" s="819">
        <f t="shared" si="19"/>
        <v>550</v>
      </c>
      <c r="AB321" s="772">
        <v>540</v>
      </c>
      <c r="AC321" s="772">
        <v>550</v>
      </c>
      <c r="AD321" s="772">
        <v>560</v>
      </c>
    </row>
    <row r="322" spans="1:30" ht="20.25" customHeight="1">
      <c r="A322" s="818">
        <v>90</v>
      </c>
      <c r="B322" s="831" t="s">
        <v>776</v>
      </c>
      <c r="C322" s="818" t="s">
        <v>748</v>
      </c>
      <c r="D322" s="818">
        <v>1</v>
      </c>
      <c r="E322" s="1352">
        <f t="shared" si="18"/>
        <v>162</v>
      </c>
      <c r="F322" s="819">
        <f t="shared" si="19"/>
        <v>162</v>
      </c>
      <c r="AB322" s="772">
        <v>150</v>
      </c>
      <c r="AC322" s="772">
        <v>156</v>
      </c>
      <c r="AD322" s="772">
        <v>180</v>
      </c>
    </row>
    <row r="323" spans="1:30" ht="20.25" customHeight="1">
      <c r="A323" s="818">
        <v>91</v>
      </c>
      <c r="B323" s="831" t="s">
        <v>777</v>
      </c>
      <c r="C323" s="818" t="s">
        <v>748</v>
      </c>
      <c r="D323" s="818">
        <v>1</v>
      </c>
      <c r="E323" s="1352">
        <f t="shared" si="18"/>
        <v>550</v>
      </c>
      <c r="F323" s="819">
        <f t="shared" si="19"/>
        <v>550</v>
      </c>
      <c r="AB323" s="772">
        <v>540</v>
      </c>
      <c r="AC323" s="772">
        <v>550</v>
      </c>
      <c r="AD323" s="772">
        <v>560</v>
      </c>
    </row>
    <row r="324" spans="1:30" ht="20.25" customHeight="1">
      <c r="A324" s="818">
        <v>92</v>
      </c>
      <c r="B324" s="831" t="s">
        <v>778</v>
      </c>
      <c r="C324" s="818" t="s">
        <v>678</v>
      </c>
      <c r="D324" s="818">
        <v>4</v>
      </c>
      <c r="E324" s="1352">
        <f t="shared" si="18"/>
        <v>175</v>
      </c>
      <c r="F324" s="819">
        <f t="shared" si="19"/>
        <v>700</v>
      </c>
      <c r="AB324" s="772">
        <v>170</v>
      </c>
      <c r="AC324" s="772">
        <v>175</v>
      </c>
      <c r="AD324" s="772">
        <v>180</v>
      </c>
    </row>
    <row r="325" spans="1:30" ht="20.25" customHeight="1">
      <c r="A325" s="818">
        <v>93</v>
      </c>
      <c r="B325" s="831" t="s">
        <v>779</v>
      </c>
      <c r="C325" s="818" t="s">
        <v>678</v>
      </c>
      <c r="D325" s="818">
        <v>4</v>
      </c>
      <c r="E325" s="1352">
        <f t="shared" si="18"/>
        <v>25.83</v>
      </c>
      <c r="F325" s="819">
        <f t="shared" si="19"/>
        <v>103.32</v>
      </c>
      <c r="AB325" s="772">
        <v>20</v>
      </c>
      <c r="AC325" s="772">
        <v>22.5</v>
      </c>
      <c r="AD325" s="772">
        <v>35</v>
      </c>
    </row>
    <row r="326" spans="1:30" ht="20.25" customHeight="1">
      <c r="A326" s="818">
        <v>94</v>
      </c>
      <c r="B326" s="831" t="s">
        <v>780</v>
      </c>
      <c r="C326" s="818" t="s">
        <v>678</v>
      </c>
      <c r="D326" s="818">
        <v>1</v>
      </c>
      <c r="E326" s="1352">
        <f t="shared" si="18"/>
        <v>58.87</v>
      </c>
      <c r="F326" s="819">
        <f t="shared" si="19"/>
        <v>58.87</v>
      </c>
      <c r="AB326" s="772">
        <v>57.6</v>
      </c>
      <c r="AC326" s="772">
        <v>57</v>
      </c>
      <c r="AD326" s="772">
        <v>62</v>
      </c>
    </row>
    <row r="327" spans="1:30" ht="20.25" customHeight="1">
      <c r="A327" s="818">
        <v>95</v>
      </c>
      <c r="B327" s="831" t="s">
        <v>781</v>
      </c>
      <c r="C327" s="818" t="s">
        <v>678</v>
      </c>
      <c r="D327" s="818">
        <v>2</v>
      </c>
      <c r="E327" s="1352">
        <f t="shared" si="18"/>
        <v>67.17</v>
      </c>
      <c r="F327" s="819">
        <f t="shared" si="19"/>
        <v>134.34</v>
      </c>
      <c r="AB327" s="772">
        <v>70.8</v>
      </c>
      <c r="AC327" s="772">
        <v>55.5</v>
      </c>
      <c r="AD327" s="772">
        <v>75.2</v>
      </c>
    </row>
    <row r="328" spans="1:30" ht="20.25" customHeight="1">
      <c r="A328" s="814" t="s">
        <v>879</v>
      </c>
      <c r="B328" s="815"/>
      <c r="C328" s="815"/>
      <c r="D328" s="815"/>
      <c r="E328" s="1354" t="s">
        <v>1008</v>
      </c>
      <c r="F328" s="1031" t="s">
        <v>857</v>
      </c>
      <c r="AB328" s="772" t="s">
        <v>590</v>
      </c>
      <c r="AC328" s="772" t="s">
        <v>591</v>
      </c>
      <c r="AD328" s="772" t="s">
        <v>592</v>
      </c>
    </row>
    <row r="329" spans="1:30" ht="20.25" customHeight="1">
      <c r="A329" s="816" t="s">
        <v>440</v>
      </c>
      <c r="B329" s="774" t="s">
        <v>407</v>
      </c>
      <c r="C329" s="775" t="s">
        <v>390</v>
      </c>
      <c r="D329" s="817" t="s">
        <v>593</v>
      </c>
      <c r="E329" s="1355"/>
      <c r="F329" s="1032"/>
      <c r="AB329" s="772" t="s">
        <v>594</v>
      </c>
      <c r="AC329" s="772" t="s">
        <v>594</v>
      </c>
      <c r="AD329" s="772" t="s">
        <v>594</v>
      </c>
    </row>
    <row r="330" spans="1:30" ht="20.25" customHeight="1">
      <c r="A330" s="818">
        <v>96</v>
      </c>
      <c r="B330" s="831" t="s">
        <v>880</v>
      </c>
      <c r="C330" s="818" t="s">
        <v>610</v>
      </c>
      <c r="D330" s="818">
        <v>2</v>
      </c>
      <c r="E330" s="1352">
        <f t="shared" ref="E330:E362" si="20">ROUND(AVERAGE(AB330,AC330,AD330),2)</f>
        <v>12600</v>
      </c>
      <c r="F330" s="819">
        <f t="shared" ref="F330:F362" si="21">E330*D330</f>
        <v>25200</v>
      </c>
      <c r="AB330" s="772">
        <v>12400</v>
      </c>
      <c r="AC330" s="772">
        <v>12500</v>
      </c>
      <c r="AD330" s="772">
        <v>12900</v>
      </c>
    </row>
    <row r="331" spans="1:30" ht="20.25" customHeight="1">
      <c r="A331" s="818">
        <v>97</v>
      </c>
      <c r="B331" s="831" t="s">
        <v>881</v>
      </c>
      <c r="C331" s="827" t="s">
        <v>610</v>
      </c>
      <c r="D331" s="827">
        <v>2</v>
      </c>
      <c r="E331" s="1352">
        <f t="shared" si="20"/>
        <v>456.67</v>
      </c>
      <c r="F331" s="819">
        <f t="shared" si="21"/>
        <v>913.34</v>
      </c>
      <c r="AB331" s="772">
        <v>435</v>
      </c>
      <c r="AC331" s="772">
        <v>450</v>
      </c>
      <c r="AD331" s="772">
        <v>485</v>
      </c>
    </row>
    <row r="332" spans="1:30" ht="20.25" customHeight="1">
      <c r="A332" s="818">
        <v>98</v>
      </c>
      <c r="B332" s="831" t="s">
        <v>882</v>
      </c>
      <c r="C332" s="827" t="s">
        <v>610</v>
      </c>
      <c r="D332" s="827">
        <v>2</v>
      </c>
      <c r="E332" s="1352">
        <f t="shared" si="20"/>
        <v>426.67</v>
      </c>
      <c r="F332" s="819">
        <f t="shared" si="21"/>
        <v>853.34</v>
      </c>
      <c r="AB332" s="772">
        <v>410</v>
      </c>
      <c r="AC332" s="772">
        <v>420</v>
      </c>
      <c r="AD332" s="772">
        <v>450</v>
      </c>
    </row>
    <row r="333" spans="1:30" ht="20.25" customHeight="1">
      <c r="A333" s="818">
        <v>99</v>
      </c>
      <c r="B333" s="831" t="s">
        <v>883</v>
      </c>
      <c r="C333" s="827" t="s">
        <v>610</v>
      </c>
      <c r="D333" s="827">
        <v>2</v>
      </c>
      <c r="E333" s="1352">
        <f t="shared" si="20"/>
        <v>368.67</v>
      </c>
      <c r="F333" s="819">
        <f t="shared" si="21"/>
        <v>737.34</v>
      </c>
      <c r="AB333" s="772">
        <v>360</v>
      </c>
      <c r="AC333" s="772">
        <v>360</v>
      </c>
      <c r="AD333" s="772">
        <v>386</v>
      </c>
    </row>
    <row r="334" spans="1:30" ht="20.25" customHeight="1">
      <c r="A334" s="818">
        <v>100</v>
      </c>
      <c r="B334" s="831" t="s">
        <v>884</v>
      </c>
      <c r="C334" s="827" t="s">
        <v>610</v>
      </c>
      <c r="D334" s="827">
        <v>5</v>
      </c>
      <c r="E334" s="1352">
        <f t="shared" si="20"/>
        <v>93</v>
      </c>
      <c r="F334" s="819">
        <f t="shared" si="21"/>
        <v>465</v>
      </c>
      <c r="AB334" s="772">
        <v>90</v>
      </c>
      <c r="AC334" s="772">
        <v>90</v>
      </c>
      <c r="AD334" s="772">
        <v>99</v>
      </c>
    </row>
    <row r="335" spans="1:30" ht="20.25" customHeight="1">
      <c r="A335" s="818">
        <v>101</v>
      </c>
      <c r="B335" s="831" t="s">
        <v>885</v>
      </c>
      <c r="C335" s="827" t="s">
        <v>704</v>
      </c>
      <c r="D335" s="827">
        <v>15</v>
      </c>
      <c r="E335" s="1352">
        <f t="shared" si="20"/>
        <v>90.67</v>
      </c>
      <c r="F335" s="819">
        <f t="shared" si="21"/>
        <v>1360.05</v>
      </c>
      <c r="AB335" s="772">
        <v>85</v>
      </c>
      <c r="AC335" s="772">
        <v>85</v>
      </c>
      <c r="AD335" s="772">
        <v>102</v>
      </c>
    </row>
    <row r="336" spans="1:30" ht="20.25" customHeight="1">
      <c r="A336" s="818">
        <v>102</v>
      </c>
      <c r="B336" s="832" t="s">
        <v>886</v>
      </c>
      <c r="C336" s="827" t="s">
        <v>704</v>
      </c>
      <c r="D336" s="827">
        <v>50</v>
      </c>
      <c r="E336" s="1352">
        <f t="shared" si="20"/>
        <v>99.33</v>
      </c>
      <c r="F336" s="819">
        <f t="shared" si="21"/>
        <v>4966.5</v>
      </c>
      <c r="AB336" s="772">
        <v>90</v>
      </c>
      <c r="AC336" s="772">
        <v>98</v>
      </c>
      <c r="AD336" s="772">
        <v>110</v>
      </c>
    </row>
    <row r="337" spans="1:30" ht="20.25" customHeight="1">
      <c r="A337" s="818">
        <v>103</v>
      </c>
      <c r="B337" s="831" t="s">
        <v>789</v>
      </c>
      <c r="C337" s="827" t="s">
        <v>748</v>
      </c>
      <c r="D337" s="827">
        <v>4</v>
      </c>
      <c r="E337" s="1352">
        <f t="shared" si="20"/>
        <v>579</v>
      </c>
      <c r="F337" s="819">
        <f t="shared" si="21"/>
        <v>2316</v>
      </c>
      <c r="AB337" s="772">
        <v>535</v>
      </c>
      <c r="AC337" s="772">
        <v>550</v>
      </c>
      <c r="AD337" s="772">
        <v>652</v>
      </c>
    </row>
    <row r="338" spans="1:30" ht="20.25" customHeight="1">
      <c r="A338" s="818">
        <v>104</v>
      </c>
      <c r="B338" s="831" t="s">
        <v>887</v>
      </c>
      <c r="C338" s="827" t="s">
        <v>610</v>
      </c>
      <c r="D338" s="827">
        <v>3</v>
      </c>
      <c r="E338" s="1352">
        <f t="shared" si="20"/>
        <v>268.67</v>
      </c>
      <c r="F338" s="819">
        <f t="shared" si="21"/>
        <v>806.01</v>
      </c>
      <c r="AB338" s="772">
        <v>260</v>
      </c>
      <c r="AC338" s="772">
        <v>260</v>
      </c>
      <c r="AD338" s="772">
        <v>286</v>
      </c>
    </row>
    <row r="339" spans="1:30" ht="20.25" customHeight="1">
      <c r="A339" s="818">
        <v>105</v>
      </c>
      <c r="B339" s="831" t="s">
        <v>888</v>
      </c>
      <c r="C339" s="827" t="s">
        <v>610</v>
      </c>
      <c r="D339" s="827">
        <v>6</v>
      </c>
      <c r="E339" s="1352">
        <f t="shared" si="20"/>
        <v>101.67</v>
      </c>
      <c r="F339" s="819">
        <f t="shared" si="21"/>
        <v>610.02</v>
      </c>
      <c r="AB339" s="772">
        <v>95</v>
      </c>
      <c r="AC339" s="772">
        <v>95</v>
      </c>
      <c r="AD339" s="772">
        <v>115</v>
      </c>
    </row>
    <row r="340" spans="1:30" ht="20.25" customHeight="1">
      <c r="A340" s="818">
        <v>106</v>
      </c>
      <c r="B340" s="831" t="s">
        <v>889</v>
      </c>
      <c r="C340" s="827" t="s">
        <v>610</v>
      </c>
      <c r="D340" s="827">
        <v>1</v>
      </c>
      <c r="E340" s="1352">
        <f t="shared" si="20"/>
        <v>3880</v>
      </c>
      <c r="F340" s="819">
        <f t="shared" si="21"/>
        <v>3880</v>
      </c>
      <c r="AB340" s="772">
        <v>3800</v>
      </c>
      <c r="AC340" s="772">
        <v>3850</v>
      </c>
      <c r="AD340" s="772">
        <v>3990</v>
      </c>
    </row>
    <row r="341" spans="1:30" ht="20.25" customHeight="1">
      <c r="A341" s="818">
        <v>107</v>
      </c>
      <c r="B341" s="831" t="s">
        <v>890</v>
      </c>
      <c r="C341" s="827" t="s">
        <v>610</v>
      </c>
      <c r="D341" s="827">
        <v>1</v>
      </c>
      <c r="E341" s="1352">
        <f t="shared" si="20"/>
        <v>454.33</v>
      </c>
      <c r="F341" s="819">
        <f t="shared" si="21"/>
        <v>454.33</v>
      </c>
      <c r="AB341" s="772">
        <v>448</v>
      </c>
      <c r="AC341" s="772">
        <v>450</v>
      </c>
      <c r="AD341" s="772">
        <v>465</v>
      </c>
    </row>
    <row r="342" spans="1:30" ht="20.25" customHeight="1">
      <c r="A342" s="818">
        <v>108</v>
      </c>
      <c r="B342" s="831" t="s">
        <v>891</v>
      </c>
      <c r="C342" s="827" t="s">
        <v>610</v>
      </c>
      <c r="D342" s="827">
        <v>2</v>
      </c>
      <c r="E342" s="1352">
        <f t="shared" si="20"/>
        <v>1023.33</v>
      </c>
      <c r="F342" s="819">
        <f t="shared" si="21"/>
        <v>2046.66</v>
      </c>
      <c r="AB342" s="772">
        <v>990</v>
      </c>
      <c r="AC342" s="772">
        <v>980</v>
      </c>
      <c r="AD342" s="772">
        <v>1100</v>
      </c>
    </row>
    <row r="343" spans="1:30" ht="20.25" customHeight="1">
      <c r="A343" s="818">
        <v>109</v>
      </c>
      <c r="B343" s="831" t="s">
        <v>892</v>
      </c>
      <c r="C343" s="827" t="s">
        <v>610</v>
      </c>
      <c r="D343" s="827">
        <v>4</v>
      </c>
      <c r="E343" s="1352">
        <f t="shared" si="20"/>
        <v>243.5</v>
      </c>
      <c r="F343" s="819">
        <f t="shared" si="21"/>
        <v>974</v>
      </c>
      <c r="AB343" s="772">
        <v>250.5</v>
      </c>
      <c r="AC343" s="772">
        <v>220</v>
      </c>
      <c r="AD343" s="772">
        <v>260</v>
      </c>
    </row>
    <row r="344" spans="1:30" ht="20.25" customHeight="1">
      <c r="A344" s="818">
        <v>110</v>
      </c>
      <c r="B344" s="831" t="s">
        <v>893</v>
      </c>
      <c r="C344" s="827" t="s">
        <v>678</v>
      </c>
      <c r="D344" s="827">
        <v>10</v>
      </c>
      <c r="E344" s="1352">
        <f t="shared" si="20"/>
        <v>118.33</v>
      </c>
      <c r="F344" s="819">
        <f t="shared" si="21"/>
        <v>1183.3</v>
      </c>
      <c r="AB344" s="772">
        <v>115</v>
      </c>
      <c r="AC344" s="772">
        <v>115</v>
      </c>
      <c r="AD344" s="772">
        <v>125</v>
      </c>
    </row>
    <row r="345" spans="1:30" ht="20.25" customHeight="1">
      <c r="A345" s="818">
        <v>111</v>
      </c>
      <c r="B345" s="831" t="s">
        <v>894</v>
      </c>
      <c r="C345" s="827" t="s">
        <v>610</v>
      </c>
      <c r="D345" s="827">
        <v>6</v>
      </c>
      <c r="E345" s="1352">
        <f t="shared" si="20"/>
        <v>206.84</v>
      </c>
      <c r="F345" s="819">
        <f t="shared" si="21"/>
        <v>1241.04</v>
      </c>
      <c r="AB345" s="772">
        <v>199.52</v>
      </c>
      <c r="AC345" s="772">
        <v>198</v>
      </c>
      <c r="AD345" s="772">
        <v>223</v>
      </c>
    </row>
    <row r="346" spans="1:30" ht="20.25" customHeight="1">
      <c r="A346" s="818">
        <v>112</v>
      </c>
      <c r="B346" s="831" t="s">
        <v>895</v>
      </c>
      <c r="C346" s="827" t="s">
        <v>678</v>
      </c>
      <c r="D346" s="827">
        <v>2</v>
      </c>
      <c r="E346" s="1352">
        <f t="shared" si="20"/>
        <v>1071.67</v>
      </c>
      <c r="F346" s="819">
        <f t="shared" si="21"/>
        <v>2143.34</v>
      </c>
      <c r="AB346" s="772">
        <v>1045</v>
      </c>
      <c r="AC346" s="772">
        <v>1050</v>
      </c>
      <c r="AD346" s="772">
        <v>1120</v>
      </c>
    </row>
    <row r="347" spans="1:30" ht="20.25" customHeight="1">
      <c r="A347" s="818">
        <v>113</v>
      </c>
      <c r="B347" s="831" t="s">
        <v>896</v>
      </c>
      <c r="C347" s="827" t="s">
        <v>678</v>
      </c>
      <c r="D347" s="827">
        <v>2</v>
      </c>
      <c r="E347" s="1352">
        <f t="shared" si="20"/>
        <v>485</v>
      </c>
      <c r="F347" s="819">
        <f t="shared" si="21"/>
        <v>970</v>
      </c>
      <c r="AB347" s="772">
        <v>480</v>
      </c>
      <c r="AC347" s="772">
        <v>480</v>
      </c>
      <c r="AD347" s="772">
        <v>495</v>
      </c>
    </row>
    <row r="348" spans="1:30" ht="20.25" customHeight="1">
      <c r="A348" s="818">
        <v>114</v>
      </c>
      <c r="B348" s="831" t="s">
        <v>897</v>
      </c>
      <c r="C348" s="827" t="s">
        <v>610</v>
      </c>
      <c r="D348" s="827">
        <v>2</v>
      </c>
      <c r="E348" s="1352">
        <f t="shared" si="20"/>
        <v>371.67</v>
      </c>
      <c r="F348" s="819">
        <f t="shared" si="21"/>
        <v>743.34</v>
      </c>
      <c r="AB348" s="772">
        <v>360</v>
      </c>
      <c r="AC348" s="772">
        <v>360</v>
      </c>
      <c r="AD348" s="772">
        <v>395</v>
      </c>
    </row>
    <row r="349" spans="1:30" ht="20.25" customHeight="1">
      <c r="A349" s="818">
        <v>115</v>
      </c>
      <c r="B349" s="831" t="s">
        <v>898</v>
      </c>
      <c r="C349" s="827" t="s">
        <v>610</v>
      </c>
      <c r="D349" s="827">
        <v>2</v>
      </c>
      <c r="E349" s="1352">
        <f t="shared" si="20"/>
        <v>74.33</v>
      </c>
      <c r="F349" s="819">
        <f t="shared" si="21"/>
        <v>148.66</v>
      </c>
      <c r="AB349" s="772">
        <v>70</v>
      </c>
      <c r="AC349" s="772">
        <v>75</v>
      </c>
      <c r="AD349" s="772">
        <v>78</v>
      </c>
    </row>
    <row r="350" spans="1:30" ht="20.25" customHeight="1">
      <c r="A350" s="818">
        <v>116</v>
      </c>
      <c r="B350" s="831" t="s">
        <v>899</v>
      </c>
      <c r="C350" s="827" t="s">
        <v>610</v>
      </c>
      <c r="D350" s="827">
        <v>6</v>
      </c>
      <c r="E350" s="1352">
        <f t="shared" si="20"/>
        <v>35.67</v>
      </c>
      <c r="F350" s="819">
        <f t="shared" si="21"/>
        <v>214.02</v>
      </c>
      <c r="AB350" s="772">
        <v>33</v>
      </c>
      <c r="AC350" s="772">
        <v>35</v>
      </c>
      <c r="AD350" s="772">
        <v>39</v>
      </c>
    </row>
    <row r="351" spans="1:30" ht="20.25" customHeight="1">
      <c r="A351" s="818">
        <v>117</v>
      </c>
      <c r="B351" s="831" t="s">
        <v>900</v>
      </c>
      <c r="C351" s="827" t="s">
        <v>610</v>
      </c>
      <c r="D351" s="827">
        <v>2</v>
      </c>
      <c r="E351" s="1352">
        <f t="shared" si="20"/>
        <v>148</v>
      </c>
      <c r="F351" s="819">
        <f t="shared" si="21"/>
        <v>296</v>
      </c>
      <c r="AB351" s="772">
        <v>144</v>
      </c>
      <c r="AC351" s="772">
        <v>145</v>
      </c>
      <c r="AD351" s="772">
        <v>155</v>
      </c>
    </row>
    <row r="352" spans="1:30" ht="20.25" customHeight="1">
      <c r="A352" s="818">
        <v>118</v>
      </c>
      <c r="B352" s="821" t="s">
        <v>901</v>
      </c>
      <c r="C352" s="827" t="s">
        <v>610</v>
      </c>
      <c r="D352" s="827">
        <v>2</v>
      </c>
      <c r="E352" s="1352">
        <f t="shared" si="20"/>
        <v>47.33</v>
      </c>
      <c r="F352" s="819">
        <f t="shared" si="21"/>
        <v>94.66</v>
      </c>
      <c r="AB352" s="772">
        <v>44</v>
      </c>
      <c r="AC352" s="772">
        <v>46</v>
      </c>
      <c r="AD352" s="772">
        <v>52</v>
      </c>
    </row>
    <row r="353" spans="1:30" ht="20.25" customHeight="1">
      <c r="A353" s="818">
        <v>119</v>
      </c>
      <c r="B353" s="821" t="s">
        <v>902</v>
      </c>
      <c r="C353" s="827" t="s">
        <v>610</v>
      </c>
      <c r="D353" s="827">
        <v>8</v>
      </c>
      <c r="E353" s="1352">
        <f t="shared" si="20"/>
        <v>43.33</v>
      </c>
      <c r="F353" s="819">
        <f t="shared" si="21"/>
        <v>346.64</v>
      </c>
      <c r="AB353" s="772">
        <v>30</v>
      </c>
      <c r="AC353" s="772">
        <v>32</v>
      </c>
      <c r="AD353" s="772">
        <v>68</v>
      </c>
    </row>
    <row r="354" spans="1:30" ht="20.25" customHeight="1">
      <c r="A354" s="818">
        <v>120</v>
      </c>
      <c r="B354" s="821" t="s">
        <v>903</v>
      </c>
      <c r="C354" s="827" t="s">
        <v>610</v>
      </c>
      <c r="D354" s="827">
        <v>8</v>
      </c>
      <c r="E354" s="1352">
        <f t="shared" si="20"/>
        <v>65.33</v>
      </c>
      <c r="F354" s="819">
        <f t="shared" si="21"/>
        <v>522.64</v>
      </c>
      <c r="AB354" s="772">
        <v>62</v>
      </c>
      <c r="AC354" s="772">
        <v>63</v>
      </c>
      <c r="AD354" s="772">
        <v>71</v>
      </c>
    </row>
    <row r="355" spans="1:30" ht="20.25" customHeight="1">
      <c r="A355" s="818">
        <v>121</v>
      </c>
      <c r="B355" s="821" t="s">
        <v>904</v>
      </c>
      <c r="C355" s="827" t="s">
        <v>610</v>
      </c>
      <c r="D355" s="827">
        <v>4</v>
      </c>
      <c r="E355" s="1352">
        <f t="shared" si="20"/>
        <v>36.33</v>
      </c>
      <c r="F355" s="819">
        <f t="shared" si="21"/>
        <v>145.32</v>
      </c>
      <c r="AB355" s="772">
        <v>35</v>
      </c>
      <c r="AC355" s="772">
        <v>35</v>
      </c>
      <c r="AD355" s="772">
        <v>39</v>
      </c>
    </row>
    <row r="356" spans="1:30" ht="20.25" customHeight="1">
      <c r="A356" s="818">
        <v>122</v>
      </c>
      <c r="B356" s="821" t="s">
        <v>905</v>
      </c>
      <c r="C356" s="827" t="s">
        <v>610</v>
      </c>
      <c r="D356" s="827">
        <v>2</v>
      </c>
      <c r="E356" s="1352">
        <f t="shared" si="20"/>
        <v>398.33</v>
      </c>
      <c r="F356" s="819">
        <f t="shared" si="21"/>
        <v>796.66</v>
      </c>
      <c r="AB356" s="772">
        <v>395</v>
      </c>
      <c r="AC356" s="772">
        <v>380</v>
      </c>
      <c r="AD356" s="772">
        <v>420</v>
      </c>
    </row>
    <row r="357" spans="1:30" ht="20.25" customHeight="1">
      <c r="A357" s="818">
        <v>123</v>
      </c>
      <c r="B357" s="821" t="s">
        <v>906</v>
      </c>
      <c r="C357" s="827" t="s">
        <v>610</v>
      </c>
      <c r="D357" s="827">
        <v>2</v>
      </c>
      <c r="E357" s="1352">
        <f t="shared" si="20"/>
        <v>35.67</v>
      </c>
      <c r="F357" s="819">
        <f t="shared" si="21"/>
        <v>71.34</v>
      </c>
      <c r="AB357" s="772">
        <v>33</v>
      </c>
      <c r="AC357" s="772">
        <v>32</v>
      </c>
      <c r="AD357" s="772">
        <v>42</v>
      </c>
    </row>
    <row r="358" spans="1:30" ht="20.25" customHeight="1">
      <c r="A358" s="818">
        <v>124</v>
      </c>
      <c r="B358" s="821" t="s">
        <v>907</v>
      </c>
      <c r="C358" s="827" t="s">
        <v>678</v>
      </c>
      <c r="D358" s="827">
        <v>2</v>
      </c>
      <c r="E358" s="1352">
        <f t="shared" si="20"/>
        <v>886.67</v>
      </c>
      <c r="F358" s="819">
        <f t="shared" si="21"/>
        <v>1773.34</v>
      </c>
      <c r="AB358" s="772">
        <v>900</v>
      </c>
      <c r="AC358" s="772">
        <v>840</v>
      </c>
      <c r="AD358" s="772">
        <v>920</v>
      </c>
    </row>
    <row r="359" spans="1:30" ht="20.25" customHeight="1">
      <c r="A359" s="818">
        <v>125</v>
      </c>
      <c r="B359" s="821" t="s">
        <v>908</v>
      </c>
      <c r="C359" s="827" t="s">
        <v>678</v>
      </c>
      <c r="D359" s="827">
        <v>2</v>
      </c>
      <c r="E359" s="1352">
        <f t="shared" si="20"/>
        <v>240</v>
      </c>
      <c r="F359" s="819">
        <f t="shared" si="21"/>
        <v>480</v>
      </c>
      <c r="AB359" s="772">
        <v>235</v>
      </c>
      <c r="AC359" s="772">
        <v>240</v>
      </c>
      <c r="AD359" s="772">
        <v>245</v>
      </c>
    </row>
    <row r="360" spans="1:30" ht="20.25" customHeight="1">
      <c r="A360" s="818">
        <v>126</v>
      </c>
      <c r="B360" s="821" t="s">
        <v>909</v>
      </c>
      <c r="C360" s="827" t="s">
        <v>678</v>
      </c>
      <c r="D360" s="827">
        <v>1</v>
      </c>
      <c r="E360" s="1352">
        <f t="shared" si="20"/>
        <v>2513.33</v>
      </c>
      <c r="F360" s="819">
        <f t="shared" si="21"/>
        <v>2513.33</v>
      </c>
      <c r="AB360" s="772">
        <v>2490</v>
      </c>
      <c r="AC360" s="772">
        <v>2460</v>
      </c>
      <c r="AD360" s="772">
        <v>2590</v>
      </c>
    </row>
    <row r="361" spans="1:30" ht="20.25" customHeight="1">
      <c r="A361" s="818">
        <v>127</v>
      </c>
      <c r="B361" s="821" t="s">
        <v>910</v>
      </c>
      <c r="C361" s="827" t="s">
        <v>678</v>
      </c>
      <c r="D361" s="827">
        <v>1</v>
      </c>
      <c r="E361" s="1352">
        <f t="shared" si="20"/>
        <v>482.67</v>
      </c>
      <c r="F361" s="819">
        <f t="shared" si="21"/>
        <v>482.67</v>
      </c>
      <c r="AB361" s="772">
        <v>478</v>
      </c>
      <c r="AC361" s="772">
        <v>480</v>
      </c>
      <c r="AD361" s="772">
        <v>490</v>
      </c>
    </row>
    <row r="362" spans="1:30" ht="20.25" customHeight="1">
      <c r="A362" s="818">
        <v>128</v>
      </c>
      <c r="B362" s="833" t="s">
        <v>911</v>
      </c>
      <c r="C362" s="827" t="s">
        <v>735</v>
      </c>
      <c r="D362" s="827">
        <v>3</v>
      </c>
      <c r="E362" s="1352">
        <f t="shared" si="20"/>
        <v>2066.67</v>
      </c>
      <c r="F362" s="819">
        <f t="shared" si="21"/>
        <v>6200.01</v>
      </c>
      <c r="AB362" s="772">
        <v>2000</v>
      </c>
      <c r="AC362" s="772">
        <v>2100</v>
      </c>
      <c r="AD362" s="772">
        <v>2100</v>
      </c>
    </row>
    <row r="363" spans="1:30" ht="20.25" customHeight="1">
      <c r="A363" s="814" t="s">
        <v>912</v>
      </c>
      <c r="B363" s="815"/>
      <c r="C363" s="815"/>
      <c r="D363" s="815"/>
      <c r="E363" s="1354" t="s">
        <v>1008</v>
      </c>
      <c r="F363" s="1031" t="s">
        <v>857</v>
      </c>
      <c r="AB363" s="772" t="s">
        <v>590</v>
      </c>
      <c r="AC363" s="772" t="s">
        <v>591</v>
      </c>
      <c r="AD363" s="772" t="s">
        <v>592</v>
      </c>
    </row>
    <row r="364" spans="1:30" ht="20.25" customHeight="1">
      <c r="A364" s="816" t="s">
        <v>440</v>
      </c>
      <c r="B364" s="774" t="s">
        <v>407</v>
      </c>
      <c r="C364" s="775" t="s">
        <v>390</v>
      </c>
      <c r="D364" s="817" t="s">
        <v>593</v>
      </c>
      <c r="E364" s="1355"/>
      <c r="F364" s="1032"/>
      <c r="AB364" s="772" t="s">
        <v>594</v>
      </c>
      <c r="AC364" s="772" t="s">
        <v>594</v>
      </c>
      <c r="AD364" s="772" t="s">
        <v>594</v>
      </c>
    </row>
    <row r="365" spans="1:30" ht="20.25" customHeight="1">
      <c r="A365" s="829">
        <v>129</v>
      </c>
      <c r="B365" s="803" t="s">
        <v>913</v>
      </c>
      <c r="C365" s="834" t="s">
        <v>610</v>
      </c>
      <c r="D365" s="829">
        <v>8</v>
      </c>
      <c r="E365" s="1352">
        <f t="shared" ref="E365:E403" si="22">ROUND(AVERAGE(AB365,AC365,AD365),2)</f>
        <v>189.25</v>
      </c>
      <c r="F365" s="819">
        <f t="shared" ref="F365:F403" si="23">E365*D365</f>
        <v>1514</v>
      </c>
      <c r="AB365" s="772">
        <v>190</v>
      </c>
      <c r="AC365" s="772">
        <v>182.75</v>
      </c>
      <c r="AD365" s="772">
        <v>195</v>
      </c>
    </row>
    <row r="366" spans="1:30" ht="20.25" customHeight="1">
      <c r="A366" s="829">
        <v>130</v>
      </c>
      <c r="B366" s="803" t="s">
        <v>914</v>
      </c>
      <c r="C366" s="834" t="s">
        <v>610</v>
      </c>
      <c r="D366" s="829">
        <v>1</v>
      </c>
      <c r="E366" s="1352">
        <f t="shared" si="22"/>
        <v>1813.33</v>
      </c>
      <c r="F366" s="819">
        <f t="shared" si="23"/>
        <v>1813.33</v>
      </c>
      <c r="AB366" s="772">
        <v>1800</v>
      </c>
      <c r="AC366" s="772">
        <v>1750</v>
      </c>
      <c r="AD366" s="772">
        <v>1890</v>
      </c>
    </row>
    <row r="367" spans="1:30" ht="20.25" customHeight="1">
      <c r="A367" s="829">
        <v>131</v>
      </c>
      <c r="B367" s="803" t="s">
        <v>915</v>
      </c>
      <c r="C367" s="834" t="s">
        <v>610</v>
      </c>
      <c r="D367" s="829">
        <v>2</v>
      </c>
      <c r="E367" s="1352">
        <f t="shared" si="22"/>
        <v>2762.67</v>
      </c>
      <c r="F367" s="819">
        <f t="shared" si="23"/>
        <v>5525.34</v>
      </c>
      <c r="AB367" s="772">
        <v>2750</v>
      </c>
      <c r="AC367" s="772">
        <v>2688</v>
      </c>
      <c r="AD367" s="772">
        <v>2850</v>
      </c>
    </row>
    <row r="368" spans="1:30" ht="20.25" customHeight="1">
      <c r="A368" s="829">
        <v>132</v>
      </c>
      <c r="B368" s="803" t="s">
        <v>916</v>
      </c>
      <c r="C368" s="834" t="s">
        <v>610</v>
      </c>
      <c r="D368" s="829">
        <v>4</v>
      </c>
      <c r="E368" s="1352">
        <f t="shared" si="22"/>
        <v>1367.67</v>
      </c>
      <c r="F368" s="819">
        <f t="shared" si="23"/>
        <v>5470.68</v>
      </c>
      <c r="AB368" s="772">
        <v>1340</v>
      </c>
      <c r="AC368" s="772">
        <v>1313</v>
      </c>
      <c r="AD368" s="772">
        <v>1450</v>
      </c>
    </row>
    <row r="369" spans="1:30" ht="20.25" customHeight="1">
      <c r="A369" s="829">
        <v>133</v>
      </c>
      <c r="B369" s="803" t="s">
        <v>917</v>
      </c>
      <c r="C369" s="834" t="s">
        <v>610</v>
      </c>
      <c r="D369" s="829">
        <v>2</v>
      </c>
      <c r="E369" s="1352">
        <f t="shared" si="22"/>
        <v>1177.2</v>
      </c>
      <c r="F369" s="819">
        <f t="shared" si="23"/>
        <v>2354.4</v>
      </c>
      <c r="AB369" s="772">
        <v>1200</v>
      </c>
      <c r="AC369" s="772">
        <v>1081.5999999999999</v>
      </c>
      <c r="AD369" s="772">
        <v>1250</v>
      </c>
    </row>
    <row r="370" spans="1:30" ht="20.25" customHeight="1">
      <c r="A370" s="829">
        <v>134</v>
      </c>
      <c r="B370" s="803" t="s">
        <v>918</v>
      </c>
      <c r="C370" s="834" t="s">
        <v>610</v>
      </c>
      <c r="D370" s="829">
        <v>1</v>
      </c>
      <c r="E370" s="1352">
        <f t="shared" si="22"/>
        <v>6240.67</v>
      </c>
      <c r="F370" s="819">
        <f t="shared" si="23"/>
        <v>6240.67</v>
      </c>
      <c r="AB370" s="772">
        <v>6300</v>
      </c>
      <c r="AC370" s="772">
        <v>6032</v>
      </c>
      <c r="AD370" s="772">
        <v>6390</v>
      </c>
    </row>
    <row r="371" spans="1:30" ht="20.25" customHeight="1">
      <c r="A371" s="829">
        <v>135</v>
      </c>
      <c r="B371" s="803" t="s">
        <v>919</v>
      </c>
      <c r="C371" s="834" t="s">
        <v>610</v>
      </c>
      <c r="D371" s="829">
        <v>4</v>
      </c>
      <c r="E371" s="1352">
        <f t="shared" si="22"/>
        <v>343.13</v>
      </c>
      <c r="F371" s="819">
        <f t="shared" si="23"/>
        <v>1372.52</v>
      </c>
      <c r="AB371" s="772">
        <v>339</v>
      </c>
      <c r="AC371" s="772">
        <v>342.4</v>
      </c>
      <c r="AD371" s="772">
        <v>348</v>
      </c>
    </row>
    <row r="372" spans="1:30" ht="20.25" customHeight="1">
      <c r="A372" s="829">
        <v>136</v>
      </c>
      <c r="B372" s="803" t="s">
        <v>920</v>
      </c>
      <c r="C372" s="834" t="s">
        <v>704</v>
      </c>
      <c r="D372" s="829">
        <v>4</v>
      </c>
      <c r="E372" s="1352">
        <f t="shared" si="22"/>
        <v>188.95</v>
      </c>
      <c r="F372" s="819">
        <f t="shared" si="23"/>
        <v>755.8</v>
      </c>
      <c r="AB372" s="772">
        <v>186</v>
      </c>
      <c r="AC372" s="772">
        <v>185.84</v>
      </c>
      <c r="AD372" s="772">
        <v>195</v>
      </c>
    </row>
    <row r="373" spans="1:30" ht="20.25" customHeight="1">
      <c r="A373" s="829">
        <v>137</v>
      </c>
      <c r="B373" s="803" t="s">
        <v>921</v>
      </c>
      <c r="C373" s="834" t="s">
        <v>704</v>
      </c>
      <c r="D373" s="829">
        <v>10</v>
      </c>
      <c r="E373" s="1352">
        <f t="shared" si="22"/>
        <v>101.67</v>
      </c>
      <c r="F373" s="819">
        <f t="shared" si="23"/>
        <v>1016.7</v>
      </c>
      <c r="AB373" s="772">
        <v>99</v>
      </c>
      <c r="AC373" s="772">
        <v>96</v>
      </c>
      <c r="AD373" s="772">
        <v>110</v>
      </c>
    </row>
    <row r="374" spans="1:30" ht="20.25" customHeight="1">
      <c r="A374" s="829">
        <v>138</v>
      </c>
      <c r="B374" s="803" t="s">
        <v>922</v>
      </c>
      <c r="C374" s="834" t="s">
        <v>610</v>
      </c>
      <c r="D374" s="829">
        <v>6</v>
      </c>
      <c r="E374" s="1352">
        <f t="shared" si="22"/>
        <v>166.28</v>
      </c>
      <c r="F374" s="819">
        <f t="shared" si="23"/>
        <v>997.68000000000006</v>
      </c>
      <c r="AB374" s="772">
        <v>165</v>
      </c>
      <c r="AC374" s="772">
        <v>158.84</v>
      </c>
      <c r="AD374" s="772">
        <v>175</v>
      </c>
    </row>
    <row r="375" spans="1:30" ht="20.25" customHeight="1">
      <c r="A375" s="829">
        <v>139</v>
      </c>
      <c r="B375" s="803" t="s">
        <v>923</v>
      </c>
      <c r="C375" s="834" t="s">
        <v>610</v>
      </c>
      <c r="D375" s="829">
        <v>3</v>
      </c>
      <c r="E375" s="1352">
        <f t="shared" si="22"/>
        <v>1918.8</v>
      </c>
      <c r="F375" s="819">
        <f t="shared" si="23"/>
        <v>5756.4</v>
      </c>
      <c r="AB375" s="772">
        <v>1900</v>
      </c>
      <c r="AC375" s="772">
        <v>1936.4</v>
      </c>
      <c r="AD375" s="772">
        <v>1920</v>
      </c>
    </row>
    <row r="376" spans="1:30" ht="20.25" customHeight="1">
      <c r="A376" s="829">
        <v>140</v>
      </c>
      <c r="B376" s="803" t="s">
        <v>924</v>
      </c>
      <c r="C376" s="834" t="s">
        <v>610</v>
      </c>
      <c r="D376" s="829">
        <v>3</v>
      </c>
      <c r="E376" s="1352">
        <f t="shared" si="22"/>
        <v>138.53</v>
      </c>
      <c r="F376" s="819">
        <f t="shared" si="23"/>
        <v>415.59000000000003</v>
      </c>
      <c r="AB376" s="772">
        <v>135</v>
      </c>
      <c r="AC376" s="772">
        <v>132.6</v>
      </c>
      <c r="AD376" s="772">
        <v>148</v>
      </c>
    </row>
    <row r="377" spans="1:30" ht="20.25" customHeight="1">
      <c r="A377" s="829">
        <v>141</v>
      </c>
      <c r="B377" s="803" t="s">
        <v>1009</v>
      </c>
      <c r="C377" s="834" t="s">
        <v>610</v>
      </c>
      <c r="D377" s="829">
        <v>2</v>
      </c>
      <c r="E377" s="1352">
        <f t="shared" si="22"/>
        <v>504.15</v>
      </c>
      <c r="F377" s="819">
        <f t="shared" si="23"/>
        <v>1008.3</v>
      </c>
      <c r="AB377" s="772">
        <v>500</v>
      </c>
      <c r="AC377" s="772">
        <v>492.45</v>
      </c>
      <c r="AD377" s="772">
        <v>520</v>
      </c>
    </row>
    <row r="378" spans="1:30" ht="20.25" customHeight="1">
      <c r="A378" s="829">
        <v>142</v>
      </c>
      <c r="B378" s="803" t="s">
        <v>1010</v>
      </c>
      <c r="C378" s="834" t="s">
        <v>610</v>
      </c>
      <c r="D378" s="829">
        <v>2</v>
      </c>
      <c r="E378" s="1352">
        <f t="shared" si="22"/>
        <v>514.97</v>
      </c>
      <c r="F378" s="819">
        <f t="shared" si="23"/>
        <v>1029.94</v>
      </c>
      <c r="AB378" s="772">
        <v>500</v>
      </c>
      <c r="AC378" s="772">
        <v>494.9</v>
      </c>
      <c r="AD378" s="772">
        <v>550</v>
      </c>
    </row>
    <row r="379" spans="1:30" ht="20.25" customHeight="1">
      <c r="A379" s="829">
        <v>143</v>
      </c>
      <c r="B379" s="803" t="s">
        <v>1011</v>
      </c>
      <c r="C379" s="834" t="s">
        <v>610</v>
      </c>
      <c r="D379" s="829">
        <v>1</v>
      </c>
      <c r="E379" s="1352">
        <f t="shared" si="22"/>
        <v>4440</v>
      </c>
      <c r="F379" s="819">
        <f t="shared" si="23"/>
        <v>4440</v>
      </c>
      <c r="AB379" s="772">
        <v>4500</v>
      </c>
      <c r="AC379" s="772">
        <v>4300</v>
      </c>
      <c r="AD379" s="772">
        <v>4520</v>
      </c>
    </row>
    <row r="380" spans="1:30" ht="20.25" customHeight="1">
      <c r="A380" s="829">
        <v>144</v>
      </c>
      <c r="B380" s="803" t="s">
        <v>925</v>
      </c>
      <c r="C380" s="834" t="s">
        <v>610</v>
      </c>
      <c r="D380" s="829">
        <v>1</v>
      </c>
      <c r="E380" s="1352">
        <f t="shared" si="22"/>
        <v>8545.33</v>
      </c>
      <c r="F380" s="819">
        <f t="shared" si="23"/>
        <v>8545.33</v>
      </c>
      <c r="AB380" s="772">
        <v>8600</v>
      </c>
      <c r="AC380" s="772">
        <v>8316</v>
      </c>
      <c r="AD380" s="772">
        <v>8720</v>
      </c>
    </row>
    <row r="381" spans="1:30" ht="20.25" customHeight="1">
      <c r="A381" s="829">
        <v>145</v>
      </c>
      <c r="B381" s="803" t="s">
        <v>926</v>
      </c>
      <c r="C381" s="834" t="s">
        <v>610</v>
      </c>
      <c r="D381" s="829">
        <v>2</v>
      </c>
      <c r="E381" s="1352">
        <f t="shared" si="22"/>
        <v>671.7</v>
      </c>
      <c r="F381" s="819">
        <f t="shared" si="23"/>
        <v>1343.4</v>
      </c>
      <c r="AB381" s="772">
        <v>650</v>
      </c>
      <c r="AC381" s="772">
        <v>685.1</v>
      </c>
      <c r="AD381" s="772">
        <v>680</v>
      </c>
    </row>
    <row r="382" spans="1:30" ht="20.25" customHeight="1">
      <c r="A382" s="829">
        <v>146</v>
      </c>
      <c r="B382" s="803" t="s">
        <v>1012</v>
      </c>
      <c r="C382" s="834" t="s">
        <v>610</v>
      </c>
      <c r="D382" s="829">
        <v>4</v>
      </c>
      <c r="E382" s="1352">
        <f t="shared" si="22"/>
        <v>535.27</v>
      </c>
      <c r="F382" s="819">
        <f t="shared" si="23"/>
        <v>2141.08</v>
      </c>
      <c r="AB382" s="772">
        <v>535</v>
      </c>
      <c r="AC382" s="772">
        <v>532.79999999999995</v>
      </c>
      <c r="AD382" s="772">
        <v>538</v>
      </c>
    </row>
    <row r="383" spans="1:30" ht="20.25" customHeight="1">
      <c r="A383" s="829">
        <v>147</v>
      </c>
      <c r="B383" s="803" t="s">
        <v>1013</v>
      </c>
      <c r="C383" s="834" t="s">
        <v>610</v>
      </c>
      <c r="D383" s="829">
        <v>4</v>
      </c>
      <c r="E383" s="1352">
        <f t="shared" si="22"/>
        <v>155.19999999999999</v>
      </c>
      <c r="F383" s="819">
        <f t="shared" si="23"/>
        <v>620.79999999999995</v>
      </c>
      <c r="AB383" s="772">
        <v>150</v>
      </c>
      <c r="AC383" s="772">
        <v>147.6</v>
      </c>
      <c r="AD383" s="772">
        <v>168</v>
      </c>
    </row>
    <row r="384" spans="1:30" ht="20.25" customHeight="1">
      <c r="A384" s="829">
        <v>148</v>
      </c>
      <c r="B384" s="803" t="s">
        <v>927</v>
      </c>
      <c r="C384" s="834" t="s">
        <v>610</v>
      </c>
      <c r="D384" s="829">
        <v>2</v>
      </c>
      <c r="E384" s="1352">
        <f t="shared" si="22"/>
        <v>2916.67</v>
      </c>
      <c r="F384" s="819">
        <f t="shared" si="23"/>
        <v>5833.34</v>
      </c>
      <c r="AB384" s="772">
        <v>2900</v>
      </c>
      <c r="AC384" s="772">
        <v>2860</v>
      </c>
      <c r="AD384" s="772">
        <v>2990</v>
      </c>
    </row>
    <row r="385" spans="1:30" ht="20.25" customHeight="1">
      <c r="A385" s="829">
        <v>149</v>
      </c>
      <c r="B385" s="803" t="s">
        <v>928</v>
      </c>
      <c r="C385" s="834" t="s">
        <v>610</v>
      </c>
      <c r="D385" s="829">
        <v>3</v>
      </c>
      <c r="E385" s="1352">
        <f t="shared" si="22"/>
        <v>1024.1300000000001</v>
      </c>
      <c r="F385" s="819">
        <f t="shared" si="23"/>
        <v>3072.3900000000003</v>
      </c>
      <c r="AB385" s="772">
        <v>1000</v>
      </c>
      <c r="AC385" s="772">
        <v>972.4</v>
      </c>
      <c r="AD385" s="772">
        <v>1100</v>
      </c>
    </row>
    <row r="386" spans="1:30" ht="20.25" customHeight="1">
      <c r="A386" s="829">
        <v>150</v>
      </c>
      <c r="B386" s="803" t="s">
        <v>929</v>
      </c>
      <c r="C386" s="834" t="s">
        <v>610</v>
      </c>
      <c r="D386" s="829">
        <v>1</v>
      </c>
      <c r="E386" s="1352">
        <f t="shared" si="22"/>
        <v>1207.8699999999999</v>
      </c>
      <c r="F386" s="819">
        <f t="shared" si="23"/>
        <v>1207.8699999999999</v>
      </c>
      <c r="AB386" s="772">
        <v>1200</v>
      </c>
      <c r="AC386" s="772">
        <v>1133.5999999999999</v>
      </c>
      <c r="AD386" s="772">
        <v>1290</v>
      </c>
    </row>
    <row r="387" spans="1:30" ht="20.25" customHeight="1">
      <c r="A387" s="829">
        <v>151</v>
      </c>
      <c r="B387" s="803" t="s">
        <v>930</v>
      </c>
      <c r="C387" s="834" t="s">
        <v>610</v>
      </c>
      <c r="D387" s="829">
        <v>4</v>
      </c>
      <c r="E387" s="1352">
        <f t="shared" si="22"/>
        <v>249.51</v>
      </c>
      <c r="F387" s="819">
        <f t="shared" si="23"/>
        <v>998.04</v>
      </c>
      <c r="AB387" s="772">
        <v>250</v>
      </c>
      <c r="AC387" s="772">
        <v>218.54</v>
      </c>
      <c r="AD387" s="772">
        <v>280</v>
      </c>
    </row>
    <row r="388" spans="1:30" ht="20.25" customHeight="1">
      <c r="A388" s="829">
        <v>152</v>
      </c>
      <c r="B388" s="803" t="s">
        <v>931</v>
      </c>
      <c r="C388" s="834" t="s">
        <v>610</v>
      </c>
      <c r="D388" s="829">
        <v>1</v>
      </c>
      <c r="E388" s="1352">
        <f t="shared" si="22"/>
        <v>431.47</v>
      </c>
      <c r="F388" s="819">
        <f t="shared" si="23"/>
        <v>431.47</v>
      </c>
      <c r="AB388" s="772">
        <v>430</v>
      </c>
      <c r="AC388" s="772">
        <v>414.4</v>
      </c>
      <c r="AD388" s="772">
        <v>450</v>
      </c>
    </row>
    <row r="389" spans="1:30" ht="20.25" customHeight="1">
      <c r="A389" s="829">
        <v>153</v>
      </c>
      <c r="B389" s="803" t="s">
        <v>932</v>
      </c>
      <c r="C389" s="834" t="s">
        <v>610</v>
      </c>
      <c r="D389" s="829">
        <v>1</v>
      </c>
      <c r="E389" s="1352">
        <f t="shared" si="22"/>
        <v>449.8</v>
      </c>
      <c r="F389" s="819">
        <f t="shared" si="23"/>
        <v>449.8</v>
      </c>
      <c r="AB389" s="772">
        <v>430</v>
      </c>
      <c r="AC389" s="772">
        <v>429.4</v>
      </c>
      <c r="AD389" s="772">
        <v>490</v>
      </c>
    </row>
    <row r="390" spans="1:30" ht="20.25" customHeight="1">
      <c r="A390" s="829">
        <v>154</v>
      </c>
      <c r="B390" s="803" t="s">
        <v>933</v>
      </c>
      <c r="C390" s="834" t="s">
        <v>610</v>
      </c>
      <c r="D390" s="829">
        <v>1</v>
      </c>
      <c r="E390" s="1352">
        <f t="shared" si="22"/>
        <v>376.67</v>
      </c>
      <c r="F390" s="819">
        <f t="shared" si="23"/>
        <v>376.67</v>
      </c>
      <c r="AB390" s="772">
        <v>380</v>
      </c>
      <c r="AC390" s="772">
        <v>360</v>
      </c>
      <c r="AD390" s="772">
        <v>390</v>
      </c>
    </row>
    <row r="391" spans="1:30" ht="20.25" customHeight="1">
      <c r="A391" s="829">
        <v>155</v>
      </c>
      <c r="B391" s="803" t="s">
        <v>934</v>
      </c>
      <c r="C391" s="834" t="s">
        <v>610</v>
      </c>
      <c r="D391" s="829">
        <v>1</v>
      </c>
      <c r="E391" s="1352">
        <f t="shared" si="22"/>
        <v>1181.67</v>
      </c>
      <c r="F391" s="819">
        <f t="shared" si="23"/>
        <v>1181.67</v>
      </c>
      <c r="AB391" s="772">
        <v>1200</v>
      </c>
      <c r="AC391" s="772">
        <v>1035</v>
      </c>
      <c r="AD391" s="772">
        <v>1310</v>
      </c>
    </row>
    <row r="392" spans="1:30" ht="20.25" customHeight="1">
      <c r="A392" s="829">
        <v>156</v>
      </c>
      <c r="B392" s="803" t="s">
        <v>935</v>
      </c>
      <c r="C392" s="834" t="s">
        <v>610</v>
      </c>
      <c r="D392" s="829">
        <v>1</v>
      </c>
      <c r="E392" s="1352">
        <f t="shared" si="22"/>
        <v>744.67</v>
      </c>
      <c r="F392" s="819">
        <f t="shared" si="23"/>
        <v>744.67</v>
      </c>
      <c r="AB392" s="772">
        <v>750</v>
      </c>
      <c r="AC392" s="772">
        <v>704</v>
      </c>
      <c r="AD392" s="772">
        <v>780</v>
      </c>
    </row>
    <row r="393" spans="1:30" ht="20.25" customHeight="1">
      <c r="A393" s="829">
        <v>157</v>
      </c>
      <c r="B393" s="803" t="s">
        <v>936</v>
      </c>
      <c r="C393" s="828" t="s">
        <v>610</v>
      </c>
      <c r="D393" s="829">
        <v>1</v>
      </c>
      <c r="E393" s="1352">
        <f t="shared" si="22"/>
        <v>779</v>
      </c>
      <c r="F393" s="819">
        <f t="shared" si="23"/>
        <v>779</v>
      </c>
      <c r="AB393" s="772">
        <v>800</v>
      </c>
      <c r="AC393" s="772">
        <v>707</v>
      </c>
      <c r="AD393" s="772">
        <v>830</v>
      </c>
    </row>
    <row r="394" spans="1:30" ht="20.25" customHeight="1">
      <c r="A394" s="829">
        <v>158</v>
      </c>
      <c r="B394" s="803" t="s">
        <v>937</v>
      </c>
      <c r="C394" s="828" t="s">
        <v>610</v>
      </c>
      <c r="D394" s="829">
        <v>1</v>
      </c>
      <c r="E394" s="1352">
        <f t="shared" si="22"/>
        <v>696.53</v>
      </c>
      <c r="F394" s="819">
        <f t="shared" si="23"/>
        <v>696.53</v>
      </c>
      <c r="AB394" s="772">
        <v>700</v>
      </c>
      <c r="AC394" s="772">
        <v>669.6</v>
      </c>
      <c r="AD394" s="772">
        <v>720</v>
      </c>
    </row>
    <row r="395" spans="1:30" ht="20.25" customHeight="1">
      <c r="A395" s="829">
        <v>159</v>
      </c>
      <c r="B395" s="803" t="s">
        <v>938</v>
      </c>
      <c r="C395" s="828" t="s">
        <v>634</v>
      </c>
      <c r="D395" s="829">
        <v>50</v>
      </c>
      <c r="E395" s="1352">
        <f t="shared" si="22"/>
        <v>37.01</v>
      </c>
      <c r="F395" s="819">
        <f t="shared" si="23"/>
        <v>1850.5</v>
      </c>
      <c r="AB395" s="772">
        <v>35</v>
      </c>
      <c r="AC395" s="772">
        <v>34.020000000000003</v>
      </c>
      <c r="AD395" s="772">
        <v>42</v>
      </c>
    </row>
    <row r="396" spans="1:30" ht="20.25" customHeight="1">
      <c r="A396" s="829">
        <v>160</v>
      </c>
      <c r="B396" s="835" t="s">
        <v>939</v>
      </c>
      <c r="C396" s="834" t="s">
        <v>610</v>
      </c>
      <c r="D396" s="829">
        <v>1</v>
      </c>
      <c r="E396" s="1353">
        <f t="shared" si="22"/>
        <v>13000</v>
      </c>
      <c r="F396" s="836">
        <f t="shared" si="23"/>
        <v>13000</v>
      </c>
      <c r="AB396" s="772">
        <v>13000</v>
      </c>
      <c r="AC396" s="772">
        <v>12500</v>
      </c>
      <c r="AD396" s="772">
        <v>13500</v>
      </c>
    </row>
    <row r="397" spans="1:30" ht="20.25" customHeight="1">
      <c r="A397" s="829">
        <v>161</v>
      </c>
      <c r="B397" s="803" t="s">
        <v>940</v>
      </c>
      <c r="C397" s="828" t="s">
        <v>610</v>
      </c>
      <c r="D397" s="829">
        <v>1</v>
      </c>
      <c r="E397" s="1352">
        <f t="shared" si="22"/>
        <v>4233.33</v>
      </c>
      <c r="F397" s="819">
        <f t="shared" si="23"/>
        <v>4233.33</v>
      </c>
      <c r="AB397" s="772">
        <v>4200</v>
      </c>
      <c r="AC397" s="772">
        <v>4180</v>
      </c>
      <c r="AD397" s="772">
        <v>4320</v>
      </c>
    </row>
    <row r="398" spans="1:30" ht="20.25" customHeight="1">
      <c r="A398" s="829">
        <v>162</v>
      </c>
      <c r="B398" s="803" t="s">
        <v>941</v>
      </c>
      <c r="C398" s="828" t="s">
        <v>610</v>
      </c>
      <c r="D398" s="829">
        <v>1</v>
      </c>
      <c r="E398" s="1352">
        <f t="shared" si="22"/>
        <v>1497.07</v>
      </c>
      <c r="F398" s="819">
        <f t="shared" si="23"/>
        <v>1497.07</v>
      </c>
      <c r="AB398" s="772">
        <v>1500</v>
      </c>
      <c r="AC398" s="772">
        <v>1401.2</v>
      </c>
      <c r="AD398" s="772">
        <v>1590</v>
      </c>
    </row>
    <row r="399" spans="1:30" ht="20.25" customHeight="1">
      <c r="A399" s="829">
        <v>163</v>
      </c>
      <c r="B399" s="803" t="s">
        <v>942</v>
      </c>
      <c r="C399" s="828" t="s">
        <v>610</v>
      </c>
      <c r="D399" s="829">
        <v>10</v>
      </c>
      <c r="E399" s="1352">
        <f t="shared" si="22"/>
        <v>317</v>
      </c>
      <c r="F399" s="819">
        <f t="shared" si="23"/>
        <v>3170</v>
      </c>
      <c r="AB399" s="772">
        <v>300</v>
      </c>
      <c r="AC399" s="772">
        <v>301</v>
      </c>
      <c r="AD399" s="772">
        <v>350</v>
      </c>
    </row>
    <row r="400" spans="1:30" ht="20.25" customHeight="1">
      <c r="A400" s="829">
        <v>164</v>
      </c>
      <c r="B400" s="803" t="s">
        <v>943</v>
      </c>
      <c r="C400" s="828" t="s">
        <v>944</v>
      </c>
      <c r="D400" s="829">
        <v>10</v>
      </c>
      <c r="E400" s="1352">
        <f t="shared" si="22"/>
        <v>130</v>
      </c>
      <c r="F400" s="819">
        <f t="shared" si="23"/>
        <v>1300</v>
      </c>
      <c r="AB400" s="772">
        <v>125</v>
      </c>
      <c r="AC400" s="772">
        <v>130</v>
      </c>
      <c r="AD400" s="772">
        <v>135</v>
      </c>
    </row>
    <row r="401" spans="1:38" ht="20.25" customHeight="1">
      <c r="A401" s="829">
        <v>165</v>
      </c>
      <c r="B401" s="803" t="s">
        <v>945</v>
      </c>
      <c r="C401" s="828" t="s">
        <v>610</v>
      </c>
      <c r="D401" s="829">
        <v>2</v>
      </c>
      <c r="E401" s="1352">
        <f t="shared" si="22"/>
        <v>281</v>
      </c>
      <c r="F401" s="819">
        <f t="shared" si="23"/>
        <v>562</v>
      </c>
      <c r="AB401" s="772">
        <v>275</v>
      </c>
      <c r="AC401" s="772">
        <v>280</v>
      </c>
      <c r="AD401" s="772">
        <v>288</v>
      </c>
    </row>
    <row r="402" spans="1:38" ht="20.25" customHeight="1">
      <c r="A402" s="829">
        <v>166</v>
      </c>
      <c r="B402" s="803" t="s">
        <v>946</v>
      </c>
      <c r="C402" s="828" t="s">
        <v>610</v>
      </c>
      <c r="D402" s="829">
        <v>1</v>
      </c>
      <c r="E402" s="1352">
        <f t="shared" si="22"/>
        <v>5366.67</v>
      </c>
      <c r="F402" s="819">
        <f t="shared" si="23"/>
        <v>5366.67</v>
      </c>
      <c r="AB402" s="772">
        <v>5400</v>
      </c>
      <c r="AC402" s="772">
        <v>5200</v>
      </c>
      <c r="AD402" s="772">
        <v>5500</v>
      </c>
    </row>
    <row r="403" spans="1:38" ht="20.25" customHeight="1">
      <c r="A403" s="829">
        <v>167</v>
      </c>
      <c r="B403" s="803" t="s">
        <v>947</v>
      </c>
      <c r="C403" s="828" t="s">
        <v>610</v>
      </c>
      <c r="D403" s="777">
        <v>2</v>
      </c>
      <c r="E403" s="1352">
        <f t="shared" si="22"/>
        <v>1530.87</v>
      </c>
      <c r="F403" s="819">
        <f t="shared" si="23"/>
        <v>3061.74</v>
      </c>
      <c r="AB403" s="772">
        <v>1500</v>
      </c>
      <c r="AC403" s="772">
        <v>1472.6</v>
      </c>
      <c r="AD403" s="772">
        <v>1620</v>
      </c>
    </row>
    <row r="404" spans="1:38" ht="20.25" customHeight="1">
      <c r="A404" s="806" t="s">
        <v>24</v>
      </c>
      <c r="B404" s="837"/>
      <c r="C404" s="807"/>
      <c r="D404" s="807"/>
      <c r="E404" s="808"/>
      <c r="F404" s="819">
        <f>SUM(F229:F403)</f>
        <v>249253.16999999998</v>
      </c>
    </row>
    <row r="406" spans="1:38" ht="20.25" customHeight="1">
      <c r="A406" s="902" t="s">
        <v>1021</v>
      </c>
    </row>
    <row r="407" spans="1:38" ht="16.899999999999999" customHeight="1">
      <c r="AB407" s="739" t="s">
        <v>1005</v>
      </c>
    </row>
    <row r="408" spans="1:38" ht="19.899999999999999" customHeight="1"/>
    <row r="409" spans="1:38" ht="58.9" customHeight="1">
      <c r="A409" s="1025" t="s">
        <v>407</v>
      </c>
      <c r="B409" s="1025"/>
      <c r="C409" s="838" t="s">
        <v>390</v>
      </c>
      <c r="D409" s="838" t="s">
        <v>461</v>
      </c>
      <c r="E409" s="1356" t="s">
        <v>1008</v>
      </c>
      <c r="F409" s="838" t="s">
        <v>408</v>
      </c>
      <c r="AB409" s="839" t="s">
        <v>801</v>
      </c>
      <c r="AC409" s="839" t="s">
        <v>820</v>
      </c>
      <c r="AD409" s="839" t="s">
        <v>821</v>
      </c>
      <c r="AE409" s="839" t="s">
        <v>800</v>
      </c>
      <c r="AF409" s="839" t="s">
        <v>809</v>
      </c>
      <c r="AG409" s="839" t="s">
        <v>822</v>
      </c>
      <c r="AH409" s="839" t="s">
        <v>823</v>
      </c>
      <c r="AI409" s="839" t="s">
        <v>824</v>
      </c>
      <c r="AJ409" s="839" t="s">
        <v>825</v>
      </c>
      <c r="AK409" s="839" t="s">
        <v>826</v>
      </c>
      <c r="AL409" s="839" t="s">
        <v>827</v>
      </c>
    </row>
    <row r="410" spans="1:38" ht="20.25" customHeight="1">
      <c r="A410" s="829">
        <v>1</v>
      </c>
      <c r="B410" s="840" t="s">
        <v>425</v>
      </c>
      <c r="C410" s="841" t="s">
        <v>463</v>
      </c>
      <c r="D410" s="829">
        <v>2</v>
      </c>
      <c r="E410" s="1357">
        <v>16.510000000000002</v>
      </c>
      <c r="F410" s="843">
        <f t="shared" ref="F410:F436" si="24">ROUND(D410*E410,2)</f>
        <v>33.020000000000003</v>
      </c>
      <c r="AB410" s="772">
        <v>19.649999999999999</v>
      </c>
      <c r="AC410" s="772">
        <v>16.07</v>
      </c>
      <c r="AD410" s="772">
        <v>13.81</v>
      </c>
      <c r="AE410" s="772"/>
      <c r="AF410" s="772"/>
      <c r="AG410" s="772"/>
      <c r="AH410" s="772"/>
      <c r="AI410" s="772"/>
      <c r="AJ410" s="772"/>
      <c r="AK410" s="772"/>
      <c r="AL410" s="772"/>
    </row>
    <row r="411" spans="1:38" ht="20.25" customHeight="1">
      <c r="A411" s="829">
        <v>2</v>
      </c>
      <c r="B411" s="840" t="s">
        <v>424</v>
      </c>
      <c r="C411" s="841" t="s">
        <v>409</v>
      </c>
      <c r="D411" s="829">
        <v>1</v>
      </c>
      <c r="E411" s="1357">
        <v>8.9700000000000006</v>
      </c>
      <c r="F411" s="843">
        <f t="shared" si="24"/>
        <v>8.9700000000000006</v>
      </c>
      <c r="AB411" s="772">
        <v>7.97</v>
      </c>
      <c r="AC411" s="772">
        <v>7.38</v>
      </c>
      <c r="AD411" s="772"/>
      <c r="AE411" s="772">
        <v>11.56</v>
      </c>
      <c r="AF411" s="772"/>
      <c r="AG411" s="772"/>
      <c r="AH411" s="772"/>
      <c r="AI411" s="772"/>
      <c r="AJ411" s="772"/>
      <c r="AK411" s="772"/>
      <c r="AL411" s="772"/>
    </row>
    <row r="412" spans="1:38" ht="20.25" customHeight="1">
      <c r="A412" s="829">
        <v>3</v>
      </c>
      <c r="B412" s="840" t="s">
        <v>412</v>
      </c>
      <c r="C412" s="841" t="s">
        <v>463</v>
      </c>
      <c r="D412" s="829">
        <v>1</v>
      </c>
      <c r="E412" s="1357">
        <v>65.103333333333339</v>
      </c>
      <c r="F412" s="843">
        <f t="shared" si="24"/>
        <v>65.099999999999994</v>
      </c>
      <c r="AB412" s="772">
        <v>41.99</v>
      </c>
      <c r="AC412" s="772">
        <v>65.95</v>
      </c>
      <c r="AD412" s="772">
        <v>87.37</v>
      </c>
      <c r="AE412" s="772"/>
      <c r="AF412" s="772"/>
      <c r="AG412" s="772"/>
      <c r="AH412" s="772"/>
      <c r="AI412" s="772"/>
      <c r="AJ412" s="772"/>
      <c r="AK412" s="772"/>
      <c r="AL412" s="772"/>
    </row>
    <row r="413" spans="1:38" ht="20.25" customHeight="1">
      <c r="A413" s="829">
        <v>4</v>
      </c>
      <c r="B413" s="840" t="s">
        <v>420</v>
      </c>
      <c r="C413" s="841" t="s">
        <v>409</v>
      </c>
      <c r="D413" s="829">
        <v>2</v>
      </c>
      <c r="E413" s="1357">
        <v>13.69</v>
      </c>
      <c r="F413" s="843">
        <f t="shared" si="24"/>
        <v>27.38</v>
      </c>
      <c r="AB413" s="772">
        <v>12.9</v>
      </c>
      <c r="AC413" s="772">
        <v>16.170000000000002</v>
      </c>
      <c r="AD413" s="772">
        <v>12</v>
      </c>
      <c r="AE413" s="772"/>
      <c r="AF413" s="772"/>
      <c r="AG413" s="772"/>
      <c r="AH413" s="772"/>
      <c r="AI413" s="772"/>
      <c r="AJ413" s="772"/>
      <c r="AK413" s="772"/>
      <c r="AL413" s="772"/>
    </row>
    <row r="414" spans="1:38" ht="20.25" customHeight="1">
      <c r="A414" s="829">
        <v>5</v>
      </c>
      <c r="B414" s="840" t="s">
        <v>418</v>
      </c>
      <c r="C414" s="841" t="s">
        <v>416</v>
      </c>
      <c r="D414" s="829">
        <v>6</v>
      </c>
      <c r="E414" s="1357">
        <v>13.049999999999999</v>
      </c>
      <c r="F414" s="843">
        <f t="shared" si="24"/>
        <v>78.3</v>
      </c>
      <c r="AB414" s="772">
        <v>15.01</v>
      </c>
      <c r="AC414" s="772">
        <v>8.43</v>
      </c>
      <c r="AD414" s="772">
        <v>15.71</v>
      </c>
      <c r="AE414" s="772"/>
      <c r="AF414" s="772"/>
      <c r="AG414" s="772"/>
      <c r="AH414" s="772"/>
      <c r="AI414" s="772"/>
      <c r="AJ414" s="772"/>
      <c r="AK414" s="772"/>
      <c r="AL414" s="772"/>
    </row>
    <row r="415" spans="1:38" ht="20.25" customHeight="1">
      <c r="A415" s="829">
        <v>6</v>
      </c>
      <c r="B415" s="840" t="s">
        <v>410</v>
      </c>
      <c r="C415" s="841" t="s">
        <v>462</v>
      </c>
      <c r="D415" s="829">
        <v>6</v>
      </c>
      <c r="E415" s="1357">
        <v>2.3866666666666667</v>
      </c>
      <c r="F415" s="843">
        <f t="shared" si="24"/>
        <v>14.32</v>
      </c>
      <c r="AB415" s="772">
        <v>2.3199999999999998</v>
      </c>
      <c r="AC415" s="772">
        <v>2.4</v>
      </c>
      <c r="AD415" s="772">
        <v>2.44</v>
      </c>
      <c r="AE415" s="772"/>
      <c r="AF415" s="772"/>
      <c r="AG415" s="772"/>
      <c r="AH415" s="772"/>
      <c r="AI415" s="772"/>
      <c r="AJ415" s="772"/>
      <c r="AK415" s="772"/>
      <c r="AL415" s="772"/>
    </row>
    <row r="416" spans="1:38" ht="20.25" customHeight="1">
      <c r="A416" s="829">
        <v>7</v>
      </c>
      <c r="B416" s="840" t="s">
        <v>431</v>
      </c>
      <c r="C416" s="841" t="s">
        <v>422</v>
      </c>
      <c r="D416" s="829">
        <v>4</v>
      </c>
      <c r="E416" s="1357">
        <v>8.8833333333333329</v>
      </c>
      <c r="F416" s="843">
        <f t="shared" si="24"/>
        <v>35.53</v>
      </c>
      <c r="AB416" s="772">
        <v>7.9</v>
      </c>
      <c r="AC416" s="772">
        <v>8.08</v>
      </c>
      <c r="AD416" s="772">
        <v>10.67</v>
      </c>
      <c r="AE416" s="772"/>
      <c r="AF416" s="772"/>
      <c r="AG416" s="772"/>
      <c r="AH416" s="772"/>
      <c r="AI416" s="772"/>
      <c r="AJ416" s="772"/>
      <c r="AK416" s="772"/>
      <c r="AL416" s="772"/>
    </row>
    <row r="417" spans="1:38" ht="20.25" customHeight="1">
      <c r="A417" s="829">
        <v>8</v>
      </c>
      <c r="B417" s="840" t="s">
        <v>423</v>
      </c>
      <c r="C417" s="841" t="s">
        <v>422</v>
      </c>
      <c r="D417" s="829">
        <v>4</v>
      </c>
      <c r="E417" s="1357">
        <v>1.2033333333333334</v>
      </c>
      <c r="F417" s="843">
        <f t="shared" si="24"/>
        <v>4.8099999999999996</v>
      </c>
      <c r="AB417" s="772">
        <v>1.62</v>
      </c>
      <c r="AC417" s="772">
        <v>1.26</v>
      </c>
      <c r="AD417" s="772">
        <v>0.73</v>
      </c>
      <c r="AE417" s="772"/>
      <c r="AF417" s="772"/>
      <c r="AG417" s="772"/>
      <c r="AH417" s="772"/>
      <c r="AI417" s="772"/>
      <c r="AJ417" s="772"/>
      <c r="AK417" s="772"/>
      <c r="AL417" s="772"/>
    </row>
    <row r="418" spans="1:38" ht="20.25" customHeight="1">
      <c r="A418" s="829">
        <v>9</v>
      </c>
      <c r="B418" s="844" t="s">
        <v>421</v>
      </c>
      <c r="C418" s="845" t="s">
        <v>422</v>
      </c>
      <c r="D418" s="829">
        <v>4</v>
      </c>
      <c r="E418" s="1357">
        <v>13.87</v>
      </c>
      <c r="F418" s="842">
        <f t="shared" si="24"/>
        <v>55.48</v>
      </c>
      <c r="AB418" s="772">
        <v>16.34</v>
      </c>
      <c r="AC418" s="772"/>
      <c r="AD418" s="772"/>
      <c r="AE418" s="772">
        <v>13.37</v>
      </c>
      <c r="AF418" s="772">
        <v>11.9</v>
      </c>
      <c r="AG418" s="772"/>
      <c r="AH418" s="772"/>
      <c r="AI418" s="772"/>
      <c r="AJ418" s="772"/>
      <c r="AK418" s="772"/>
      <c r="AL418" s="772"/>
    </row>
    <row r="419" spans="1:38" ht="20.25" customHeight="1">
      <c r="A419" s="829">
        <v>10</v>
      </c>
      <c r="B419" s="844" t="s">
        <v>504</v>
      </c>
      <c r="C419" s="845" t="s">
        <v>422</v>
      </c>
      <c r="D419" s="829">
        <v>4</v>
      </c>
      <c r="E419" s="1357">
        <v>2.5211111111111109</v>
      </c>
      <c r="F419" s="842">
        <f t="shared" si="24"/>
        <v>10.08</v>
      </c>
      <c r="AB419" s="772"/>
      <c r="AC419" s="772">
        <f>15.28/6</f>
        <v>2.5466666666666664</v>
      </c>
      <c r="AD419" s="772">
        <f>21.2/12</f>
        <v>1.7666666666666666</v>
      </c>
      <c r="AE419" s="772">
        <v>3.25</v>
      </c>
      <c r="AF419" s="772"/>
      <c r="AG419" s="772"/>
      <c r="AH419" s="772"/>
      <c r="AI419" s="772"/>
      <c r="AJ419" s="772"/>
      <c r="AK419" s="772"/>
      <c r="AL419" s="772"/>
    </row>
    <row r="420" spans="1:38" ht="20.25" customHeight="1">
      <c r="A420" s="829">
        <v>11</v>
      </c>
      <c r="B420" s="840" t="s">
        <v>411</v>
      </c>
      <c r="C420" s="841" t="s">
        <v>409</v>
      </c>
      <c r="D420" s="829">
        <v>2</v>
      </c>
      <c r="E420" s="1357">
        <v>30.313333333333333</v>
      </c>
      <c r="F420" s="843">
        <f t="shared" si="24"/>
        <v>60.63</v>
      </c>
      <c r="AB420" s="772">
        <v>29.45</v>
      </c>
      <c r="AC420" s="772"/>
      <c r="AD420" s="772"/>
      <c r="AE420" s="772">
        <v>29.59</v>
      </c>
      <c r="AF420" s="772">
        <v>31.9</v>
      </c>
      <c r="AG420" s="772"/>
      <c r="AH420" s="772"/>
      <c r="AI420" s="772"/>
      <c r="AJ420" s="772"/>
      <c r="AK420" s="772"/>
      <c r="AL420" s="772"/>
    </row>
    <row r="421" spans="1:38" ht="20.25" customHeight="1">
      <c r="A421" s="829">
        <v>12</v>
      </c>
      <c r="B421" s="840" t="s">
        <v>427</v>
      </c>
      <c r="C421" s="841" t="s">
        <v>462</v>
      </c>
      <c r="D421" s="829">
        <v>3</v>
      </c>
      <c r="E421" s="1357">
        <v>6.3466666666666667</v>
      </c>
      <c r="F421" s="843">
        <f t="shared" si="24"/>
        <v>19.04</v>
      </c>
      <c r="AB421" s="772">
        <v>3.19</v>
      </c>
      <c r="AC421" s="772">
        <v>7.28</v>
      </c>
      <c r="AD421" s="772">
        <v>8.57</v>
      </c>
      <c r="AE421" s="772"/>
      <c r="AF421" s="772"/>
      <c r="AG421" s="772"/>
      <c r="AH421" s="772"/>
      <c r="AI421" s="772"/>
      <c r="AJ421" s="772"/>
      <c r="AK421" s="772"/>
      <c r="AL421" s="772"/>
    </row>
    <row r="422" spans="1:38" ht="20.25" customHeight="1">
      <c r="A422" s="829">
        <v>13</v>
      </c>
      <c r="B422" s="840" t="s">
        <v>414</v>
      </c>
      <c r="C422" s="841" t="s">
        <v>409</v>
      </c>
      <c r="D422" s="829">
        <v>2</v>
      </c>
      <c r="E422" s="1357">
        <v>9.52</v>
      </c>
      <c r="F422" s="843">
        <f t="shared" si="24"/>
        <v>19.04</v>
      </c>
      <c r="AB422" s="772">
        <v>17.899999999999999</v>
      </c>
      <c r="AC422" s="772">
        <v>3.29</v>
      </c>
      <c r="AD422" s="772">
        <v>7.37</v>
      </c>
      <c r="AE422" s="772"/>
      <c r="AF422" s="772"/>
      <c r="AG422" s="772"/>
      <c r="AH422" s="772"/>
      <c r="AI422" s="772"/>
      <c r="AJ422" s="772"/>
      <c r="AK422" s="772"/>
      <c r="AL422" s="772"/>
    </row>
    <row r="423" spans="1:38" ht="20.25" customHeight="1">
      <c r="A423" s="829">
        <v>14</v>
      </c>
      <c r="B423" s="840" t="s">
        <v>413</v>
      </c>
      <c r="C423" s="841" t="s">
        <v>462</v>
      </c>
      <c r="D423" s="829">
        <v>6</v>
      </c>
      <c r="E423" s="1357">
        <v>5.916666666666667</v>
      </c>
      <c r="F423" s="843">
        <f t="shared" si="24"/>
        <v>35.5</v>
      </c>
      <c r="AB423" s="772">
        <v>6.92</v>
      </c>
      <c r="AC423" s="772">
        <v>6.21</v>
      </c>
      <c r="AD423" s="772">
        <v>4.62</v>
      </c>
      <c r="AE423" s="772"/>
      <c r="AF423" s="772"/>
      <c r="AG423" s="772"/>
      <c r="AH423" s="772"/>
      <c r="AI423" s="772"/>
      <c r="AJ423" s="772"/>
      <c r="AK423" s="772"/>
      <c r="AL423" s="772"/>
    </row>
    <row r="424" spans="1:38" ht="20.25" customHeight="1">
      <c r="A424" s="829">
        <v>15</v>
      </c>
      <c r="B424" s="840" t="s">
        <v>474</v>
      </c>
      <c r="C424" s="841" t="s">
        <v>419</v>
      </c>
      <c r="D424" s="829">
        <v>10</v>
      </c>
      <c r="E424" s="1357">
        <v>6.5133333333333328</v>
      </c>
      <c r="F424" s="843">
        <f t="shared" si="24"/>
        <v>65.13</v>
      </c>
      <c r="AB424" s="772">
        <v>6.99</v>
      </c>
      <c r="AC424" s="772">
        <v>4.26</v>
      </c>
      <c r="AD424" s="772">
        <v>8.2899999999999991</v>
      </c>
      <c r="AE424" s="772"/>
      <c r="AF424" s="772"/>
      <c r="AG424" s="772"/>
      <c r="AH424" s="772"/>
      <c r="AI424" s="772"/>
      <c r="AJ424" s="772"/>
      <c r="AK424" s="772"/>
      <c r="AL424" s="772"/>
    </row>
    <row r="425" spans="1:38" ht="20.25" customHeight="1">
      <c r="A425" s="829">
        <v>16</v>
      </c>
      <c r="B425" s="840" t="s">
        <v>466</v>
      </c>
      <c r="C425" s="841" t="s">
        <v>467</v>
      </c>
      <c r="D425" s="829">
        <v>5</v>
      </c>
      <c r="E425" s="1357">
        <v>28.623333333333335</v>
      </c>
      <c r="F425" s="843">
        <f t="shared" si="24"/>
        <v>143.12</v>
      </c>
      <c r="AB425" s="772">
        <v>24.49</v>
      </c>
      <c r="AC425" s="772"/>
      <c r="AD425" s="772"/>
      <c r="AE425" s="772">
        <v>31.48</v>
      </c>
      <c r="AF425" s="772">
        <v>29.9</v>
      </c>
      <c r="AG425" s="772"/>
      <c r="AH425" s="772"/>
      <c r="AI425" s="772"/>
      <c r="AJ425" s="772"/>
      <c r="AK425" s="772"/>
      <c r="AL425" s="772"/>
    </row>
    <row r="426" spans="1:38" ht="20.25" customHeight="1">
      <c r="A426" s="829">
        <v>17</v>
      </c>
      <c r="B426" s="840" t="s">
        <v>428</v>
      </c>
      <c r="C426" s="841" t="s">
        <v>422</v>
      </c>
      <c r="D426" s="829">
        <v>10</v>
      </c>
      <c r="E426" s="1357">
        <v>4.7151111111111117</v>
      </c>
      <c r="F426" s="843">
        <f t="shared" si="24"/>
        <v>47.15</v>
      </c>
      <c r="AB426" s="772">
        <f>28.41/5</f>
        <v>5.6820000000000004</v>
      </c>
      <c r="AC426" s="772">
        <f>29.09/6</f>
        <v>4.8483333333333336</v>
      </c>
      <c r="AD426" s="772">
        <f>21.69/6</f>
        <v>3.6150000000000002</v>
      </c>
      <c r="AE426" s="772"/>
      <c r="AF426" s="772"/>
      <c r="AG426" s="772"/>
      <c r="AH426" s="772"/>
      <c r="AI426" s="772"/>
      <c r="AJ426" s="772"/>
      <c r="AK426" s="772"/>
      <c r="AL426" s="772"/>
    </row>
    <row r="427" spans="1:38" ht="20.25" customHeight="1">
      <c r="A427" s="829">
        <v>18</v>
      </c>
      <c r="B427" s="840" t="s">
        <v>434</v>
      </c>
      <c r="C427" s="841" t="s">
        <v>422</v>
      </c>
      <c r="D427" s="829">
        <v>1</v>
      </c>
      <c r="E427" s="1357">
        <v>68.600000000000009</v>
      </c>
      <c r="F427" s="843">
        <f t="shared" si="24"/>
        <v>68.599999999999994</v>
      </c>
      <c r="AB427" s="772">
        <v>69.900000000000006</v>
      </c>
      <c r="AC427" s="772"/>
      <c r="AD427" s="772"/>
      <c r="AE427" s="772"/>
      <c r="AF427" s="772"/>
      <c r="AG427" s="772"/>
      <c r="AH427" s="772"/>
      <c r="AI427" s="772"/>
      <c r="AJ427" s="772">
        <v>71</v>
      </c>
      <c r="AK427" s="772">
        <v>64.900000000000006</v>
      </c>
      <c r="AL427" s="772"/>
    </row>
    <row r="428" spans="1:38" ht="20.25" customHeight="1">
      <c r="A428" s="829">
        <v>19</v>
      </c>
      <c r="B428" s="840" t="s">
        <v>433</v>
      </c>
      <c r="C428" s="841" t="s">
        <v>422</v>
      </c>
      <c r="D428" s="829">
        <v>1</v>
      </c>
      <c r="E428" s="1357">
        <v>25.429999999999996</v>
      </c>
      <c r="F428" s="843">
        <f t="shared" si="24"/>
        <v>25.43</v>
      </c>
      <c r="AB428" s="772">
        <v>26.47</v>
      </c>
      <c r="AC428" s="772">
        <v>19.399999999999999</v>
      </c>
      <c r="AD428" s="772">
        <v>30.42</v>
      </c>
      <c r="AE428" s="772"/>
      <c r="AF428" s="772"/>
      <c r="AG428" s="772"/>
      <c r="AH428" s="772"/>
      <c r="AI428" s="772"/>
      <c r="AJ428" s="772"/>
      <c r="AK428" s="772"/>
      <c r="AL428" s="772"/>
    </row>
    <row r="429" spans="1:38" ht="20.25" customHeight="1">
      <c r="A429" s="829">
        <v>20</v>
      </c>
      <c r="B429" s="840" t="s">
        <v>465</v>
      </c>
      <c r="C429" s="841" t="s">
        <v>426</v>
      </c>
      <c r="D429" s="829">
        <v>1</v>
      </c>
      <c r="E429" s="1357">
        <v>76.986666666666679</v>
      </c>
      <c r="F429" s="843">
        <f t="shared" si="24"/>
        <v>76.989999999999995</v>
      </c>
      <c r="AB429" s="772">
        <v>75.650000000000006</v>
      </c>
      <c r="AC429" s="772">
        <v>89.77</v>
      </c>
      <c r="AD429" s="772">
        <v>65.540000000000006</v>
      </c>
      <c r="AE429" s="772"/>
      <c r="AF429" s="772"/>
      <c r="AG429" s="772"/>
      <c r="AH429" s="772"/>
      <c r="AI429" s="772"/>
      <c r="AJ429" s="772"/>
      <c r="AK429" s="772"/>
      <c r="AL429" s="772"/>
    </row>
    <row r="430" spans="1:38" ht="20.25" customHeight="1">
      <c r="A430" s="829">
        <v>21</v>
      </c>
      <c r="B430" s="840" t="s">
        <v>417</v>
      </c>
      <c r="C430" s="841" t="s">
        <v>416</v>
      </c>
      <c r="D430" s="829">
        <v>1</v>
      </c>
      <c r="E430" s="1357">
        <v>60.6875</v>
      </c>
      <c r="F430" s="843">
        <f t="shared" si="24"/>
        <v>60.69</v>
      </c>
      <c r="AB430" s="772">
        <v>33.85</v>
      </c>
      <c r="AC430" s="772"/>
      <c r="AD430" s="772"/>
      <c r="AE430" s="772"/>
      <c r="AF430" s="772"/>
      <c r="AG430" s="772">
        <v>93.9</v>
      </c>
      <c r="AH430" s="772">
        <v>67</v>
      </c>
      <c r="AI430" s="772"/>
      <c r="AJ430" s="772"/>
      <c r="AK430" s="772"/>
      <c r="AL430" s="772">
        <v>48</v>
      </c>
    </row>
    <row r="431" spans="1:38" ht="20.25" customHeight="1">
      <c r="A431" s="829">
        <v>22</v>
      </c>
      <c r="B431" s="840" t="s">
        <v>415</v>
      </c>
      <c r="C431" s="841" t="s">
        <v>464</v>
      </c>
      <c r="D431" s="829">
        <v>5</v>
      </c>
      <c r="E431" s="1357">
        <v>8.3266666666666662</v>
      </c>
      <c r="F431" s="843">
        <f t="shared" si="24"/>
        <v>41.63</v>
      </c>
      <c r="AB431" s="772">
        <v>9</v>
      </c>
      <c r="AC431" s="772">
        <v>9.93</v>
      </c>
      <c r="AD431" s="772">
        <v>6.05</v>
      </c>
      <c r="AE431" s="772"/>
      <c r="AF431" s="772"/>
      <c r="AG431" s="772"/>
      <c r="AH431" s="772"/>
      <c r="AI431" s="772"/>
      <c r="AJ431" s="772"/>
      <c r="AK431" s="772"/>
      <c r="AL431" s="772"/>
    </row>
    <row r="432" spans="1:38" ht="20.25" customHeight="1">
      <c r="A432" s="829">
        <v>23</v>
      </c>
      <c r="B432" s="840" t="s">
        <v>471</v>
      </c>
      <c r="C432" s="841" t="s">
        <v>409</v>
      </c>
      <c r="D432" s="829">
        <v>5</v>
      </c>
      <c r="E432" s="1357">
        <v>42.6</v>
      </c>
      <c r="F432" s="843">
        <f t="shared" si="24"/>
        <v>213</v>
      </c>
      <c r="AB432" s="772">
        <v>71.5</v>
      </c>
      <c r="AC432" s="772"/>
      <c r="AD432" s="772"/>
      <c r="AE432" s="772">
        <v>29.9</v>
      </c>
      <c r="AF432" s="772"/>
      <c r="AG432" s="772">
        <v>46.9</v>
      </c>
      <c r="AH432" s="772">
        <f>172/5</f>
        <v>34.4</v>
      </c>
      <c r="AI432" s="772">
        <v>34.9</v>
      </c>
      <c r="AJ432" s="772"/>
      <c r="AK432" s="772"/>
      <c r="AL432" s="772">
        <v>38</v>
      </c>
    </row>
    <row r="433" spans="1:38" ht="20.25" customHeight="1">
      <c r="A433" s="829">
        <v>24</v>
      </c>
      <c r="B433" s="840" t="s">
        <v>429</v>
      </c>
      <c r="C433" s="841" t="s">
        <v>409</v>
      </c>
      <c r="D433" s="829">
        <v>1</v>
      </c>
      <c r="E433" s="1357">
        <v>76.697500000000005</v>
      </c>
      <c r="F433" s="843">
        <f t="shared" si="24"/>
        <v>76.7</v>
      </c>
      <c r="AB433" s="772">
        <v>47.99</v>
      </c>
      <c r="AC433" s="772"/>
      <c r="AD433" s="772"/>
      <c r="AE433" s="772"/>
      <c r="AF433" s="772"/>
      <c r="AG433" s="772">
        <v>94.9</v>
      </c>
      <c r="AH433" s="772">
        <v>79</v>
      </c>
      <c r="AI433" s="772">
        <v>84.9</v>
      </c>
      <c r="AJ433" s="772"/>
      <c r="AK433" s="772"/>
      <c r="AL433" s="772"/>
    </row>
    <row r="434" spans="1:38" ht="20.25" customHeight="1">
      <c r="A434" s="829">
        <v>25</v>
      </c>
      <c r="B434" s="840" t="s">
        <v>473</v>
      </c>
      <c r="C434" s="841" t="s">
        <v>430</v>
      </c>
      <c r="D434" s="829">
        <v>1</v>
      </c>
      <c r="E434" s="1357">
        <v>23.45</v>
      </c>
      <c r="F434" s="843">
        <f t="shared" si="24"/>
        <v>23.45</v>
      </c>
      <c r="AB434" s="772">
        <v>17.3</v>
      </c>
      <c r="AC434" s="772"/>
      <c r="AD434" s="772"/>
      <c r="AE434" s="772">
        <v>32.9</v>
      </c>
      <c r="AF434" s="772">
        <v>20.149999999999999</v>
      </c>
      <c r="AG434" s="772"/>
      <c r="AH434" s="772"/>
      <c r="AI434" s="772"/>
      <c r="AJ434" s="772"/>
      <c r="AK434" s="772"/>
      <c r="AL434" s="772"/>
    </row>
    <row r="435" spans="1:38" ht="20.25" customHeight="1">
      <c r="A435" s="829">
        <v>26</v>
      </c>
      <c r="B435" s="840" t="s">
        <v>472</v>
      </c>
      <c r="C435" s="841" t="s">
        <v>409</v>
      </c>
      <c r="D435" s="829">
        <v>1</v>
      </c>
      <c r="E435" s="1357">
        <v>49.585000000000001</v>
      </c>
      <c r="F435" s="843">
        <f t="shared" si="24"/>
        <v>49.59</v>
      </c>
      <c r="AB435" s="772">
        <v>31.99</v>
      </c>
      <c r="AC435" s="772">
        <v>25.16</v>
      </c>
      <c r="AD435" s="772">
        <v>21.66</v>
      </c>
      <c r="AE435" s="772"/>
      <c r="AF435" s="772"/>
      <c r="AG435" s="772">
        <v>79.900000000000006</v>
      </c>
      <c r="AH435" s="772">
        <v>59</v>
      </c>
      <c r="AI435" s="772">
        <v>79.8</v>
      </c>
      <c r="AJ435" s="772"/>
      <c r="AK435" s="772"/>
      <c r="AL435" s="772"/>
    </row>
    <row r="436" spans="1:38" ht="20.25" customHeight="1">
      <c r="A436" s="829">
        <v>27</v>
      </c>
      <c r="B436" s="840" t="s">
        <v>432</v>
      </c>
      <c r="C436" s="841" t="s">
        <v>422</v>
      </c>
      <c r="D436" s="829">
        <v>1</v>
      </c>
      <c r="E436" s="1357">
        <v>20.146666666666665</v>
      </c>
      <c r="F436" s="843">
        <f t="shared" si="24"/>
        <v>20.149999999999999</v>
      </c>
      <c r="AB436" s="772">
        <v>22.3</v>
      </c>
      <c r="AC436" s="772">
        <v>25.08</v>
      </c>
      <c r="AD436" s="772">
        <v>13.06</v>
      </c>
      <c r="AE436" s="772"/>
      <c r="AF436" s="772"/>
      <c r="AG436" s="772"/>
      <c r="AH436" s="772"/>
      <c r="AI436" s="772"/>
      <c r="AJ436" s="772"/>
      <c r="AK436" s="772"/>
      <c r="AL436" s="772"/>
    </row>
    <row r="437" spans="1:38" ht="20.25" customHeight="1">
      <c r="B437" s="846" t="s">
        <v>408</v>
      </c>
      <c r="C437" s="846"/>
      <c r="D437" s="846"/>
      <c r="E437" s="846"/>
      <c r="F437" s="526">
        <f>ROUND(SUM(F410:F436),2)</f>
        <v>1378.83</v>
      </c>
      <c r="AB437" s="847"/>
      <c r="AC437" s="847"/>
      <c r="AD437" s="847"/>
      <c r="AE437" s="847"/>
      <c r="AF437" s="847"/>
      <c r="AG437" s="847"/>
      <c r="AH437" s="847"/>
      <c r="AI437" s="847"/>
      <c r="AJ437" s="847"/>
      <c r="AK437" s="847"/>
      <c r="AL437" s="847"/>
    </row>
  </sheetData>
  <mergeCells count="30">
    <mergeCell ref="G17:I22"/>
    <mergeCell ref="B24:F24"/>
    <mergeCell ref="B25:F25"/>
    <mergeCell ref="B26:F26"/>
    <mergeCell ref="A28:F28"/>
    <mergeCell ref="E206:E207"/>
    <mergeCell ref="F206:F207"/>
    <mergeCell ref="E134:E135"/>
    <mergeCell ref="F134:F135"/>
    <mergeCell ref="A30:D30"/>
    <mergeCell ref="E30:E31"/>
    <mergeCell ref="F30:F31"/>
    <mergeCell ref="E83:E84"/>
    <mergeCell ref="F83:F84"/>
    <mergeCell ref="B1:G1"/>
    <mergeCell ref="A409:B409"/>
    <mergeCell ref="B3:B4"/>
    <mergeCell ref="C3:C4"/>
    <mergeCell ref="E328:E329"/>
    <mergeCell ref="F328:F329"/>
    <mergeCell ref="E363:E364"/>
    <mergeCell ref="F363:F364"/>
    <mergeCell ref="E227:E228"/>
    <mergeCell ref="F227:F228"/>
    <mergeCell ref="E257:E258"/>
    <mergeCell ref="F257:F258"/>
    <mergeCell ref="E287:E288"/>
    <mergeCell ref="F287:F288"/>
    <mergeCell ref="E165:E166"/>
    <mergeCell ref="F165:F166"/>
  </mergeCells>
  <pageMargins left="0.511811024" right="0.511811024" top="0.78740157499999996" bottom="0.78740157499999996" header="0.31496062000000002" footer="0.31496062000000002"/>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Planilha5">
    <tabColor theme="1" tint="0.499984740745262"/>
    <pageSetUpPr fitToPage="1"/>
  </sheetPr>
  <dimension ref="A1:AB140"/>
  <sheetViews>
    <sheetView showGridLines="0" zoomScale="91" zoomScaleNormal="91" zoomScaleSheetLayoutView="100" workbookViewId="0">
      <pane ySplit="5" topLeftCell="A6" activePane="bottomLeft" state="frozen"/>
      <selection pane="bottomLeft" activeCell="P116" sqref="P116"/>
    </sheetView>
  </sheetViews>
  <sheetFormatPr defaultColWidth="8.5" defaultRowHeight="12"/>
  <cols>
    <col min="1" max="1" width="2.375" style="388" customWidth="1"/>
    <col min="2" max="2" width="21.125" style="388" customWidth="1"/>
    <col min="3" max="3" width="5.375" style="388" customWidth="1"/>
    <col min="4" max="4" width="3.875" style="388" customWidth="1"/>
    <col min="5" max="5" width="19.125" style="388" customWidth="1"/>
    <col min="6" max="6" width="9.625" style="388" customWidth="1"/>
    <col min="7" max="7" width="3.875" style="388" customWidth="1"/>
    <col min="8" max="8" width="9.625" style="388" customWidth="1"/>
    <col min="9" max="9" width="19.25" style="418" customWidth="1"/>
    <col min="10" max="10" width="9.875" style="388" customWidth="1"/>
    <col min="11" max="11" width="22.25" style="561" customWidth="1"/>
    <col min="12" max="12" width="24.625" style="561" customWidth="1"/>
    <col min="13" max="13" width="18" style="561" hidden="1" customWidth="1"/>
    <col min="14" max="14" width="19.875" style="561" customWidth="1"/>
    <col min="15" max="16384" width="8.5" style="388"/>
  </cols>
  <sheetData>
    <row r="1" spans="1:28" s="709" customFormat="1" ht="21">
      <c r="A1" s="710"/>
      <c r="B1" s="711" t="s">
        <v>1020</v>
      </c>
      <c r="C1" s="710"/>
      <c r="D1" s="710"/>
      <c r="E1" s="710"/>
      <c r="F1" s="710"/>
      <c r="G1" s="710"/>
      <c r="H1" s="710"/>
      <c r="I1" s="712"/>
      <c r="J1" s="710"/>
      <c r="K1" s="713"/>
      <c r="L1" s="713"/>
      <c r="M1" s="713"/>
      <c r="N1" s="713"/>
    </row>
    <row r="2" spans="1:28" s="386" customFormat="1" ht="11.25">
      <c r="A2" s="1186" t="s">
        <v>244</v>
      </c>
      <c r="B2" s="1186"/>
      <c r="C2" s="1186"/>
      <c r="D2" s="1186"/>
      <c r="E2" s="1186"/>
      <c r="F2" s="1186"/>
      <c r="G2" s="1186"/>
      <c r="H2" s="1186"/>
      <c r="I2" s="1186"/>
      <c r="J2" s="1186"/>
      <c r="K2" s="562" t="s">
        <v>458</v>
      </c>
      <c r="L2" s="562" t="s">
        <v>459</v>
      </c>
      <c r="M2" s="562" t="s">
        <v>460</v>
      </c>
      <c r="N2" s="562" t="s">
        <v>460</v>
      </c>
    </row>
    <row r="3" spans="1:28" s="387" customFormat="1">
      <c r="A3" s="1188" t="s">
        <v>255</v>
      </c>
      <c r="B3" s="1189"/>
      <c r="C3" s="1189"/>
      <c r="D3" s="1189"/>
      <c r="E3" s="1189"/>
      <c r="F3" s="1189"/>
      <c r="G3" s="1189"/>
      <c r="H3" s="1189"/>
      <c r="I3" s="1189"/>
      <c r="J3" s="1190"/>
      <c r="K3" s="535" t="s">
        <v>405</v>
      </c>
      <c r="L3" s="535" t="s">
        <v>456</v>
      </c>
      <c r="M3" s="535" t="s">
        <v>405</v>
      </c>
      <c r="N3" s="535" t="s">
        <v>456</v>
      </c>
    </row>
    <row r="4" spans="1:28" s="387" customFormat="1">
      <c r="A4" s="912" t="s">
        <v>457</v>
      </c>
      <c r="B4" s="913"/>
      <c r="C4" s="913"/>
      <c r="D4" s="913"/>
      <c r="E4" s="913"/>
      <c r="F4" s="913"/>
      <c r="G4" s="913"/>
      <c r="H4" s="913"/>
      <c r="I4" s="913"/>
      <c r="J4" s="914"/>
      <c r="K4" s="574">
        <v>1</v>
      </c>
      <c r="L4" s="574">
        <v>1</v>
      </c>
      <c r="M4" s="574">
        <v>1</v>
      </c>
      <c r="N4" s="574">
        <v>1</v>
      </c>
    </row>
    <row r="5" spans="1:28" s="375" customFormat="1" ht="15.75">
      <c r="A5" s="1191" t="s">
        <v>237</v>
      </c>
      <c r="B5" s="1192"/>
      <c r="C5" s="1192"/>
      <c r="D5" s="1192"/>
      <c r="E5" s="1192"/>
      <c r="F5" s="1192"/>
      <c r="G5" s="1192"/>
      <c r="H5" s="1192"/>
      <c r="I5" s="1192"/>
      <c r="J5" s="1192"/>
      <c r="K5" s="563">
        <v>0.3</v>
      </c>
      <c r="L5" s="563">
        <v>0.3</v>
      </c>
      <c r="M5" s="563">
        <v>0.3</v>
      </c>
      <c r="N5" s="563"/>
      <c r="O5" s="559"/>
      <c r="P5" s="560"/>
      <c r="Q5" s="560"/>
      <c r="R5" s="560"/>
      <c r="S5" s="560"/>
      <c r="T5" s="560"/>
      <c r="U5" s="560"/>
      <c r="V5" s="560"/>
      <c r="W5" s="560"/>
      <c r="X5" s="560"/>
      <c r="Y5" s="560"/>
      <c r="Z5" s="560"/>
      <c r="AA5" s="560"/>
      <c r="AB5" s="560"/>
    </row>
    <row r="6" spans="1:28" ht="16.5" customHeight="1">
      <c r="I6" s="388"/>
      <c r="K6" s="387"/>
      <c r="L6" s="387"/>
      <c r="M6" s="387"/>
      <c r="N6" s="387"/>
    </row>
    <row r="7" spans="1:28">
      <c r="A7" s="1131" t="s">
        <v>114</v>
      </c>
      <c r="B7" s="1132"/>
      <c r="C7" s="1132"/>
      <c r="D7" s="1132"/>
      <c r="E7" s="1132"/>
      <c r="F7" s="1132"/>
      <c r="G7" s="1132"/>
      <c r="H7" s="1132"/>
      <c r="I7" s="1132"/>
      <c r="J7" s="1132"/>
      <c r="K7" s="564" t="s">
        <v>70</v>
      </c>
      <c r="L7" s="564" t="s">
        <v>70</v>
      </c>
      <c r="M7" s="564" t="s">
        <v>70</v>
      </c>
      <c r="N7" s="564" t="s">
        <v>70</v>
      </c>
    </row>
    <row r="8" spans="1:28">
      <c r="A8" s="389" t="s">
        <v>7</v>
      </c>
      <c r="B8" s="1152" t="s">
        <v>71</v>
      </c>
      <c r="C8" s="1043"/>
      <c r="D8" s="1043"/>
      <c r="E8" s="1043"/>
      <c r="F8" s="1043"/>
      <c r="G8" s="1043"/>
      <c r="H8" s="1043"/>
      <c r="I8" s="1043"/>
      <c r="J8" s="1043"/>
      <c r="K8" s="716">
        <f>'Dados do Licitante'!D26</f>
        <v>3664.33</v>
      </c>
      <c r="L8" s="588">
        <f>'Dados do Licitante'!E26</f>
        <v>2160</v>
      </c>
      <c r="M8" s="588">
        <f>'Dados do Licitante'!D27</f>
        <v>3664.33</v>
      </c>
      <c r="N8" s="588">
        <f>'Dados do Licitante'!E27</f>
        <v>2160</v>
      </c>
    </row>
    <row r="9" spans="1:28">
      <c r="A9" s="390" t="s">
        <v>9</v>
      </c>
      <c r="B9" s="1082" t="s">
        <v>72</v>
      </c>
      <c r="C9" s="1083"/>
      <c r="D9" s="1083"/>
      <c r="E9" s="1083"/>
      <c r="F9" s="1083"/>
      <c r="G9" s="1083"/>
      <c r="H9" s="1083"/>
      <c r="I9" s="1083"/>
      <c r="J9" s="1084"/>
      <c r="K9" s="588">
        <f>ROUND(K$5*K$8,2)</f>
        <v>1099.3</v>
      </c>
      <c r="L9" s="588">
        <f>ROUND(L$5*L$8,2)</f>
        <v>648</v>
      </c>
      <c r="M9" s="588">
        <f>ROUND(M$5*M$8,2)</f>
        <v>1099.3</v>
      </c>
      <c r="N9" s="588">
        <f>ROUND(N$5*N$8,2)</f>
        <v>0</v>
      </c>
    </row>
    <row r="10" spans="1:28">
      <c r="A10" s="1095" t="s">
        <v>73</v>
      </c>
      <c r="B10" s="1187"/>
      <c r="C10" s="1187"/>
      <c r="D10" s="1187"/>
      <c r="E10" s="1187"/>
      <c r="F10" s="1187"/>
      <c r="G10" s="1187"/>
      <c r="H10" s="1187"/>
      <c r="I10" s="1187"/>
      <c r="J10" s="1187"/>
      <c r="K10" s="536">
        <f t="shared" ref="K10:N10" si="0">SUM(K8:K9)</f>
        <v>4763.63</v>
      </c>
      <c r="L10" s="536">
        <f t="shared" si="0"/>
        <v>2808</v>
      </c>
      <c r="M10" s="588">
        <f t="shared" si="0"/>
        <v>4763.63</v>
      </c>
      <c r="N10" s="588">
        <f t="shared" si="0"/>
        <v>2160</v>
      </c>
    </row>
    <row r="11" spans="1:28" ht="18.75" customHeight="1">
      <c r="I11" s="388"/>
      <c r="K11" s="387"/>
      <c r="L11" s="387"/>
      <c r="M11" s="387"/>
      <c r="N11" s="387"/>
    </row>
    <row r="12" spans="1:28">
      <c r="A12" s="1131" t="s">
        <v>115</v>
      </c>
      <c r="B12" s="1132"/>
      <c r="C12" s="1132"/>
      <c r="D12" s="1132"/>
      <c r="E12" s="1132"/>
      <c r="F12" s="1132"/>
      <c r="G12" s="1132"/>
      <c r="H12" s="1132"/>
      <c r="I12" s="1132"/>
      <c r="J12" s="1133"/>
      <c r="K12" s="1052" t="s">
        <v>70</v>
      </c>
      <c r="L12" s="1052" t="s">
        <v>70</v>
      </c>
      <c r="M12" s="1052" t="s">
        <v>70</v>
      </c>
      <c r="N12" s="1052" t="s">
        <v>70</v>
      </c>
    </row>
    <row r="13" spans="1:28">
      <c r="A13" s="1145" t="s">
        <v>382</v>
      </c>
      <c r="B13" s="1146"/>
      <c r="C13" s="1146"/>
      <c r="D13" s="1146"/>
      <c r="E13" s="1146"/>
      <c r="F13" s="1146"/>
      <c r="G13" s="1146"/>
      <c r="H13" s="1146"/>
      <c r="I13" s="1193"/>
      <c r="J13" s="385" t="s">
        <v>75</v>
      </c>
      <c r="K13" s="1053"/>
      <c r="L13" s="1053"/>
      <c r="M13" s="1053"/>
      <c r="N13" s="1053"/>
    </row>
    <row r="14" spans="1:28" s="391" customFormat="1">
      <c r="A14" s="389" t="s">
        <v>7</v>
      </c>
      <c r="B14" s="1152" t="s">
        <v>78</v>
      </c>
      <c r="C14" s="1043"/>
      <c r="D14" s="1043"/>
      <c r="E14" s="1043"/>
      <c r="F14" s="1043"/>
      <c r="G14" s="1043"/>
      <c r="H14" s="1043"/>
      <c r="I14" s="1168"/>
      <c r="J14" s="392">
        <f>1/12</f>
        <v>8.3333333333333329E-2</v>
      </c>
      <c r="K14" s="537">
        <f t="shared" ref="K14:N15" si="1">ROUND($J14*K$10,2)</f>
        <v>396.97</v>
      </c>
      <c r="L14" s="537">
        <f t="shared" si="1"/>
        <v>234</v>
      </c>
      <c r="M14" s="537">
        <f>ROUND($J14*M$10,2)</f>
        <v>396.97</v>
      </c>
      <c r="N14" s="537">
        <f t="shared" si="1"/>
        <v>180</v>
      </c>
    </row>
    <row r="15" spans="1:28" s="391" customFormat="1">
      <c r="A15" s="389" t="s">
        <v>9</v>
      </c>
      <c r="B15" s="1082" t="s">
        <v>79</v>
      </c>
      <c r="C15" s="1083"/>
      <c r="D15" s="1083"/>
      <c r="E15" s="1083"/>
      <c r="F15" s="1083"/>
      <c r="G15" s="1083"/>
      <c r="H15" s="1083"/>
      <c r="I15" s="1084"/>
      <c r="J15" s="393">
        <f>1/3/12</f>
        <v>2.7777777777777776E-2</v>
      </c>
      <c r="K15" s="537">
        <f t="shared" si="1"/>
        <v>132.32</v>
      </c>
      <c r="L15" s="537">
        <f t="shared" si="1"/>
        <v>78</v>
      </c>
      <c r="M15" s="537">
        <f t="shared" si="1"/>
        <v>132.32</v>
      </c>
      <c r="N15" s="537">
        <f t="shared" si="1"/>
        <v>60</v>
      </c>
    </row>
    <row r="16" spans="1:28" s="391" customFormat="1">
      <c r="A16" s="1169" t="s">
        <v>228</v>
      </c>
      <c r="B16" s="1170"/>
      <c r="C16" s="1170"/>
      <c r="D16" s="1170"/>
      <c r="E16" s="1170"/>
      <c r="F16" s="1170"/>
      <c r="G16" s="1170"/>
      <c r="H16" s="1170"/>
      <c r="I16" s="1171"/>
      <c r="J16" s="394">
        <f t="shared" ref="J16:N16" si="2">SUM(J14:J15)</f>
        <v>0.1111111111111111</v>
      </c>
      <c r="K16" s="538">
        <f t="shared" si="2"/>
        <v>529.29</v>
      </c>
      <c r="L16" s="538">
        <f t="shared" si="2"/>
        <v>312</v>
      </c>
      <c r="M16" s="537">
        <f t="shared" si="2"/>
        <v>529.29</v>
      </c>
      <c r="N16" s="537">
        <f t="shared" si="2"/>
        <v>240</v>
      </c>
    </row>
    <row r="17" spans="1:14" s="391" customFormat="1">
      <c r="K17" s="539"/>
      <c r="L17" s="539"/>
      <c r="M17" s="539"/>
      <c r="N17" s="539"/>
    </row>
    <row r="18" spans="1:14">
      <c r="A18" s="1079" t="s">
        <v>80</v>
      </c>
      <c r="B18" s="1080"/>
      <c r="C18" s="1080"/>
      <c r="D18" s="1080"/>
      <c r="E18" s="1080"/>
      <c r="F18" s="1080"/>
      <c r="G18" s="1080"/>
      <c r="H18" s="1080"/>
      <c r="I18" s="1080"/>
      <c r="J18" s="1081"/>
      <c r="K18" s="1052" t="s">
        <v>70</v>
      </c>
      <c r="L18" s="1052" t="s">
        <v>70</v>
      </c>
      <c r="M18" s="1052" t="s">
        <v>70</v>
      </c>
      <c r="N18" s="1075" t="s">
        <v>70</v>
      </c>
    </row>
    <row r="19" spans="1:14">
      <c r="A19" s="395" t="s">
        <v>50</v>
      </c>
      <c r="B19" s="396"/>
      <c r="C19" s="396"/>
      <c r="D19" s="396"/>
      <c r="E19" s="396"/>
      <c r="F19" s="397"/>
      <c r="G19" s="397"/>
      <c r="H19" s="397"/>
      <c r="I19" s="398"/>
      <c r="J19" s="409" t="s">
        <v>75</v>
      </c>
      <c r="K19" s="1053"/>
      <c r="L19" s="1053"/>
      <c r="M19" s="1053"/>
      <c r="N19" s="1075"/>
    </row>
    <row r="20" spans="1:14">
      <c r="A20" s="399" t="s">
        <v>7</v>
      </c>
      <c r="B20" s="1172" t="s">
        <v>8</v>
      </c>
      <c r="C20" s="1173"/>
      <c r="D20" s="1173"/>
      <c r="E20" s="1173"/>
      <c r="F20" s="1173"/>
      <c r="G20" s="1173"/>
      <c r="H20" s="1173"/>
      <c r="I20" s="1174"/>
      <c r="J20" s="409">
        <f>'Dados do Licitante'!G45</f>
        <v>0.2</v>
      </c>
      <c r="K20" s="540">
        <f t="shared" ref="K20:N22" si="3">ROUND($J20*(K$10+K$16),2)</f>
        <v>1058.58</v>
      </c>
      <c r="L20" s="540">
        <f>ROUND($J20*(L$10+L$16),2)</f>
        <v>624</v>
      </c>
      <c r="M20" s="540">
        <f>ROUND($J20*(M$10+M$16),2)</f>
        <v>1058.58</v>
      </c>
      <c r="N20" s="540">
        <f t="shared" si="3"/>
        <v>480</v>
      </c>
    </row>
    <row r="21" spans="1:14">
      <c r="A21" s="400" t="s">
        <v>9</v>
      </c>
      <c r="B21" s="1172" t="s">
        <v>51</v>
      </c>
      <c r="C21" s="1173"/>
      <c r="D21" s="1173"/>
      <c r="E21" s="1173"/>
      <c r="F21" s="1173"/>
      <c r="G21" s="1173"/>
      <c r="H21" s="1173"/>
      <c r="I21" s="1174"/>
      <c r="J21" s="409">
        <f>'Dados do Licitante'!G46</f>
        <v>2.5000000000000001E-2</v>
      </c>
      <c r="K21" s="537">
        <f t="shared" si="3"/>
        <v>132.32</v>
      </c>
      <c r="L21" s="537">
        <f t="shared" si="3"/>
        <v>78</v>
      </c>
      <c r="M21" s="537">
        <f t="shared" si="3"/>
        <v>132.32</v>
      </c>
      <c r="N21" s="540">
        <f t="shared" si="3"/>
        <v>60</v>
      </c>
    </row>
    <row r="22" spans="1:14">
      <c r="A22" s="1175" t="s">
        <v>11</v>
      </c>
      <c r="B22" s="1177" t="s">
        <v>52</v>
      </c>
      <c r="C22" s="1178"/>
      <c r="D22" s="401" t="s">
        <v>53</v>
      </c>
      <c r="E22" s="402"/>
      <c r="F22" s="403"/>
      <c r="G22" s="403"/>
      <c r="H22" s="404"/>
      <c r="I22" s="409">
        <f>'Dados do Licitante'!F47</f>
        <v>0.03</v>
      </c>
      <c r="J22" s="1181">
        <f>I22*I23</f>
        <v>0.03</v>
      </c>
      <c r="K22" s="1054">
        <f t="shared" si="3"/>
        <v>158.79</v>
      </c>
      <c r="L22" s="1054">
        <f t="shared" si="3"/>
        <v>93.6</v>
      </c>
      <c r="M22" s="1054">
        <f t="shared" si="3"/>
        <v>158.79</v>
      </c>
      <c r="N22" s="1074">
        <f t="shared" si="3"/>
        <v>72</v>
      </c>
    </row>
    <row r="23" spans="1:14">
      <c r="A23" s="1176"/>
      <c r="B23" s="1179"/>
      <c r="C23" s="1180"/>
      <c r="D23" s="405" t="s">
        <v>54</v>
      </c>
      <c r="E23" s="402"/>
      <c r="F23" s="406"/>
      <c r="G23" s="406"/>
      <c r="H23" s="407"/>
      <c r="I23" s="676">
        <v>1</v>
      </c>
      <c r="J23" s="1182"/>
      <c r="K23" s="1055"/>
      <c r="L23" s="1055"/>
      <c r="M23" s="1055"/>
      <c r="N23" s="1074"/>
    </row>
    <row r="24" spans="1:14">
      <c r="A24" s="400" t="s">
        <v>13</v>
      </c>
      <c r="B24" s="1184" t="s">
        <v>55</v>
      </c>
      <c r="C24" s="1083"/>
      <c r="D24" s="1083"/>
      <c r="E24" s="1083"/>
      <c r="F24" s="1083"/>
      <c r="G24" s="1083"/>
      <c r="H24" s="1083"/>
      <c r="I24" s="1185"/>
      <c r="J24" s="409">
        <f>'Dados do Licitante'!G49</f>
        <v>1.4999999999999999E-2</v>
      </c>
      <c r="K24" s="537">
        <f t="shared" ref="K24:N28" si="4">ROUND($J24*(K$10+K$16),2)</f>
        <v>79.39</v>
      </c>
      <c r="L24" s="537">
        <f t="shared" si="4"/>
        <v>46.8</v>
      </c>
      <c r="M24" s="537">
        <f t="shared" si="4"/>
        <v>79.39</v>
      </c>
      <c r="N24" s="540">
        <f t="shared" si="4"/>
        <v>36</v>
      </c>
    </row>
    <row r="25" spans="1:14">
      <c r="A25" s="400" t="s">
        <v>15</v>
      </c>
      <c r="B25" s="1184" t="s">
        <v>16</v>
      </c>
      <c r="C25" s="1083"/>
      <c r="D25" s="1083"/>
      <c r="E25" s="1083"/>
      <c r="F25" s="1083"/>
      <c r="G25" s="1083"/>
      <c r="H25" s="1083"/>
      <c r="I25" s="1185"/>
      <c r="J25" s="409">
        <f>'Dados do Licitante'!G50</f>
        <v>0.01</v>
      </c>
      <c r="K25" s="537">
        <f t="shared" si="4"/>
        <v>52.93</v>
      </c>
      <c r="L25" s="537">
        <f t="shared" si="4"/>
        <v>31.2</v>
      </c>
      <c r="M25" s="537">
        <f t="shared" si="4"/>
        <v>52.93</v>
      </c>
      <c r="N25" s="540">
        <f t="shared" si="4"/>
        <v>24</v>
      </c>
    </row>
    <row r="26" spans="1:14">
      <c r="A26" s="400" t="s">
        <v>18</v>
      </c>
      <c r="B26" s="1184" t="s">
        <v>19</v>
      </c>
      <c r="C26" s="1083"/>
      <c r="D26" s="1083"/>
      <c r="E26" s="1083"/>
      <c r="F26" s="1083"/>
      <c r="G26" s="1083"/>
      <c r="H26" s="1083"/>
      <c r="I26" s="1185"/>
      <c r="J26" s="409">
        <f>'Dados do Licitante'!G51</f>
        <v>6.0000000000000001E-3</v>
      </c>
      <c r="K26" s="537">
        <f t="shared" si="4"/>
        <v>31.76</v>
      </c>
      <c r="L26" s="537">
        <f t="shared" si="4"/>
        <v>18.72</v>
      </c>
      <c r="M26" s="537">
        <f>ROUND($J26*(M$10+M$16),2)</f>
        <v>31.76</v>
      </c>
      <c r="N26" s="540">
        <f t="shared" si="4"/>
        <v>14.4</v>
      </c>
    </row>
    <row r="27" spans="1:14">
      <c r="A27" s="400" t="s">
        <v>20</v>
      </c>
      <c r="B27" s="1184" t="s">
        <v>21</v>
      </c>
      <c r="C27" s="1083"/>
      <c r="D27" s="1083"/>
      <c r="E27" s="1083"/>
      <c r="F27" s="1083"/>
      <c r="G27" s="1083"/>
      <c r="H27" s="1083"/>
      <c r="I27" s="1185"/>
      <c r="J27" s="409">
        <f>'Dados do Licitante'!G52</f>
        <v>2E-3</v>
      </c>
      <c r="K27" s="537">
        <f t="shared" si="4"/>
        <v>10.59</v>
      </c>
      <c r="L27" s="537">
        <f t="shared" si="4"/>
        <v>6.24</v>
      </c>
      <c r="M27" s="537">
        <f t="shared" si="4"/>
        <v>10.59</v>
      </c>
      <c r="N27" s="540">
        <f t="shared" si="4"/>
        <v>4.8</v>
      </c>
    </row>
    <row r="28" spans="1:14">
      <c r="A28" s="408" t="s">
        <v>22</v>
      </c>
      <c r="B28" s="1184" t="s">
        <v>23</v>
      </c>
      <c r="C28" s="1083"/>
      <c r="D28" s="1083"/>
      <c r="E28" s="1083"/>
      <c r="F28" s="1083"/>
      <c r="G28" s="1083"/>
      <c r="H28" s="1083"/>
      <c r="I28" s="1185"/>
      <c r="J28" s="409">
        <f>'Dados do Licitante'!G53</f>
        <v>0.08</v>
      </c>
      <c r="K28" s="541">
        <f t="shared" si="4"/>
        <v>423.43</v>
      </c>
      <c r="L28" s="541">
        <f t="shared" si="4"/>
        <v>249.6</v>
      </c>
      <c r="M28" s="541">
        <f t="shared" si="4"/>
        <v>423.43</v>
      </c>
      <c r="N28" s="565">
        <f t="shared" si="4"/>
        <v>192</v>
      </c>
    </row>
    <row r="29" spans="1:14">
      <c r="A29" s="1077" t="s">
        <v>24</v>
      </c>
      <c r="B29" s="1078"/>
      <c r="C29" s="1078"/>
      <c r="D29" s="1078"/>
      <c r="E29" s="1078"/>
      <c r="F29" s="1078"/>
      <c r="G29" s="1078"/>
      <c r="H29" s="1078"/>
      <c r="I29" s="1183"/>
      <c r="J29" s="409">
        <f t="shared" ref="J29:N29" si="5">SUM(J20:J28)</f>
        <v>0.36800000000000005</v>
      </c>
      <c r="K29" s="542">
        <f t="shared" si="5"/>
        <v>1947.79</v>
      </c>
      <c r="L29" s="542">
        <f t="shared" si="5"/>
        <v>1148.1600000000001</v>
      </c>
      <c r="M29" s="542">
        <f>SUM(M20:M28)</f>
        <v>1947.79</v>
      </c>
      <c r="N29" s="536">
        <f t="shared" si="5"/>
        <v>883.19999999999993</v>
      </c>
    </row>
    <row r="30" spans="1:14">
      <c r="I30" s="388"/>
      <c r="K30" s="387"/>
      <c r="L30" s="387"/>
      <c r="M30" s="387"/>
      <c r="N30" s="387"/>
    </row>
    <row r="31" spans="1:14">
      <c r="A31" s="1079" t="s">
        <v>82</v>
      </c>
      <c r="B31" s="1080"/>
      <c r="C31" s="1080"/>
      <c r="D31" s="1080"/>
      <c r="E31" s="1080"/>
      <c r="F31" s="1080"/>
      <c r="G31" s="1080"/>
      <c r="H31" s="1080"/>
      <c r="I31" s="1080"/>
      <c r="J31" s="1081"/>
      <c r="K31" s="1052" t="s">
        <v>70</v>
      </c>
      <c r="L31" s="1052" t="s">
        <v>70</v>
      </c>
      <c r="M31" s="1052" t="s">
        <v>70</v>
      </c>
      <c r="N31" s="1072" t="s">
        <v>70</v>
      </c>
    </row>
    <row r="32" spans="1:14">
      <c r="A32" s="1085" t="s">
        <v>83</v>
      </c>
      <c r="B32" s="1086"/>
      <c r="C32" s="1086"/>
      <c r="D32" s="1086"/>
      <c r="E32" s="1086"/>
      <c r="F32" s="1086"/>
      <c r="G32" s="1086"/>
      <c r="H32" s="1086"/>
      <c r="I32" s="1086"/>
      <c r="J32" s="397"/>
      <c r="K32" s="1053"/>
      <c r="L32" s="1053"/>
      <c r="M32" s="1053"/>
      <c r="N32" s="1073"/>
    </row>
    <row r="33" spans="1:14">
      <c r="A33" s="1152" t="s">
        <v>84</v>
      </c>
      <c r="B33" s="1043"/>
      <c r="C33" s="1043"/>
      <c r="D33" s="1043"/>
      <c r="E33" s="1154" t="s">
        <v>238</v>
      </c>
      <c r="F33" s="1154"/>
      <c r="G33" s="1154"/>
      <c r="H33" s="1155"/>
      <c r="I33" s="677">
        <f>'Dados do Licitante'!F58</f>
        <v>42</v>
      </c>
      <c r="J33" s="1156"/>
      <c r="K33" s="1056">
        <f>(($I33-$I34)*('Dados do Licitante'!$E$39))</f>
        <v>877.8</v>
      </c>
      <c r="L33" s="1056">
        <f>(($I33-$I34)*('Dados do Licitante'!$E$39))</f>
        <v>877.8</v>
      </c>
      <c r="M33" s="1056">
        <f>(($I33-$I34)*('Dados do Licitante'!$E$39))</f>
        <v>877.8</v>
      </c>
      <c r="N33" s="1056">
        <f>(($I33-$I34)*('Dados do Licitante'!$E$39))</f>
        <v>877.8</v>
      </c>
    </row>
    <row r="34" spans="1:14">
      <c r="A34" s="1153"/>
      <c r="B34" s="1045"/>
      <c r="C34" s="1045"/>
      <c r="D34" s="1045"/>
      <c r="E34" s="1167" t="s">
        <v>239</v>
      </c>
      <c r="F34" s="1167"/>
      <c r="G34" s="1167"/>
      <c r="H34" s="1161"/>
      <c r="I34" s="677">
        <f>'Dados do Licitante'!F59</f>
        <v>2.1</v>
      </c>
      <c r="J34" s="1157"/>
      <c r="K34" s="1051"/>
      <c r="L34" s="1051"/>
      <c r="M34" s="1051"/>
      <c r="N34" s="1051"/>
    </row>
    <row r="35" spans="1:14">
      <c r="A35" s="1140" t="s">
        <v>85</v>
      </c>
      <c r="B35" s="1141"/>
      <c r="C35" s="1141"/>
      <c r="D35" s="1141"/>
      <c r="E35" s="1163" t="s">
        <v>235</v>
      </c>
      <c r="F35" s="1163"/>
      <c r="G35" s="1163"/>
      <c r="H35" s="1164"/>
      <c r="I35" s="677">
        <f>'Dados do Licitante'!F60</f>
        <v>0</v>
      </c>
      <c r="J35" s="1156">
        <f>I35-I36</f>
        <v>0</v>
      </c>
      <c r="K35" s="1057">
        <f t="shared" ref="K35:N35" si="6">$J35</f>
        <v>0</v>
      </c>
      <c r="L35" s="1057">
        <f t="shared" si="6"/>
        <v>0</v>
      </c>
      <c r="M35" s="1057">
        <f t="shared" si="6"/>
        <v>0</v>
      </c>
      <c r="N35" s="1057">
        <f t="shared" si="6"/>
        <v>0</v>
      </c>
    </row>
    <row r="36" spans="1:14" ht="13.9" customHeight="1">
      <c r="A36" s="1142"/>
      <c r="B36" s="1060"/>
      <c r="C36" s="1060"/>
      <c r="D36" s="1060"/>
      <c r="E36" s="1165" t="s">
        <v>236</v>
      </c>
      <c r="F36" s="1165"/>
      <c r="G36" s="1165"/>
      <c r="H36" s="1166"/>
      <c r="I36" s="677">
        <f>'Dados do Licitante'!F61</f>
        <v>0</v>
      </c>
      <c r="J36" s="1157"/>
      <c r="K36" s="1058"/>
      <c r="L36" s="1058"/>
      <c r="M36" s="1058"/>
      <c r="N36" s="1058"/>
    </row>
    <row r="37" spans="1:14">
      <c r="A37" s="1152" t="s">
        <v>232</v>
      </c>
      <c r="B37" s="1043"/>
      <c r="C37" s="1043"/>
      <c r="D37" s="1043"/>
      <c r="E37" s="1154" t="s">
        <v>240</v>
      </c>
      <c r="F37" s="1154"/>
      <c r="G37" s="1154"/>
      <c r="H37" s="1155"/>
      <c r="I37" s="677">
        <f>'Dados do Licitante'!F62</f>
        <v>0</v>
      </c>
      <c r="J37" s="1156">
        <f>I37-I38</f>
        <v>0</v>
      </c>
      <c r="K37" s="1056">
        <f t="shared" ref="K37:N37" si="7">$J37</f>
        <v>0</v>
      </c>
      <c r="L37" s="1056">
        <f t="shared" si="7"/>
        <v>0</v>
      </c>
      <c r="M37" s="1056">
        <f t="shared" si="7"/>
        <v>0</v>
      </c>
      <c r="N37" s="1069">
        <f t="shared" si="7"/>
        <v>0</v>
      </c>
    </row>
    <row r="38" spans="1:14">
      <c r="A38" s="1153"/>
      <c r="B38" s="1045"/>
      <c r="C38" s="1045"/>
      <c r="D38" s="1045"/>
      <c r="E38" s="1167" t="s">
        <v>236</v>
      </c>
      <c r="F38" s="1167"/>
      <c r="G38" s="1167"/>
      <c r="H38" s="1161"/>
      <c r="I38" s="677">
        <f>'Dados do Licitante'!F63</f>
        <v>0</v>
      </c>
      <c r="J38" s="1157"/>
      <c r="K38" s="1051"/>
      <c r="L38" s="1051"/>
      <c r="M38" s="1051"/>
      <c r="N38" s="1070"/>
    </row>
    <row r="39" spans="1:14" ht="12.75" customHeight="1">
      <c r="A39" s="1059" t="s">
        <v>500</v>
      </c>
      <c r="B39" s="1059"/>
      <c r="C39" s="1061" t="s">
        <v>243</v>
      </c>
      <c r="D39" s="1061"/>
      <c r="E39" s="1061"/>
      <c r="F39" s="685">
        <f>'Dados do Licitante'!D64</f>
        <v>0</v>
      </c>
      <c r="G39" s="1063" t="s">
        <v>241</v>
      </c>
      <c r="H39" s="1064"/>
      <c r="I39" s="485"/>
      <c r="J39" s="1162"/>
      <c r="K39" s="1050">
        <f>$F$39*F40*$I$40</f>
        <v>0</v>
      </c>
      <c r="L39" s="1050">
        <f>$F$39*$F$41*$I$40</f>
        <v>0</v>
      </c>
      <c r="M39" s="1050">
        <f>$F$39*F40*$I$40</f>
        <v>0</v>
      </c>
      <c r="N39" s="1050">
        <f>$F$39*$F$41*$I$40</f>
        <v>0</v>
      </c>
    </row>
    <row r="40" spans="1:14" ht="12.75" customHeight="1">
      <c r="A40" s="1059"/>
      <c r="B40" s="1059"/>
      <c r="C40" s="1061" t="s">
        <v>570</v>
      </c>
      <c r="D40" s="1061"/>
      <c r="E40" s="1062"/>
      <c r="F40" s="684">
        <f>'Dados do Licitante'!D65</f>
        <v>3664.3325199999999</v>
      </c>
      <c r="G40" s="1065"/>
      <c r="H40" s="1066"/>
      <c r="I40" s="678">
        <f>'Dados do Licitante'!F64</f>
        <v>0.01</v>
      </c>
      <c r="J40" s="1162"/>
      <c r="K40" s="1050"/>
      <c r="L40" s="1050"/>
      <c r="M40" s="1050"/>
      <c r="N40" s="1050"/>
    </row>
    <row r="41" spans="1:14" ht="12.75" customHeight="1">
      <c r="A41" s="1060"/>
      <c r="B41" s="1060"/>
      <c r="C41" s="1061" t="s">
        <v>569</v>
      </c>
      <c r="D41" s="1061"/>
      <c r="E41" s="1062"/>
      <c r="F41" s="684">
        <f>'Dados do Licitante'!D66</f>
        <v>2160</v>
      </c>
      <c r="G41" s="1067"/>
      <c r="H41" s="1068"/>
      <c r="I41" s="678"/>
      <c r="J41" s="1157"/>
      <c r="K41" s="1051"/>
      <c r="L41" s="1051"/>
      <c r="M41" s="1051"/>
      <c r="N41" s="1051"/>
    </row>
    <row r="42" spans="1:14" ht="12.75" customHeight="1">
      <c r="A42" s="1043" t="s">
        <v>501</v>
      </c>
      <c r="B42" s="1043"/>
      <c r="C42" s="1041" t="s">
        <v>243</v>
      </c>
      <c r="D42" s="1041"/>
      <c r="E42" s="1041"/>
      <c r="F42" s="679">
        <f>'Dados do Licitante'!D67</f>
        <v>0.2</v>
      </c>
      <c r="G42" s="1046" t="s">
        <v>241</v>
      </c>
      <c r="H42" s="1047"/>
      <c r="I42" s="678">
        <f>'Dados do Licitante'!F67</f>
        <v>0.01</v>
      </c>
      <c r="J42" s="584"/>
      <c r="K42" s="1050">
        <f>ROUND($F$42*$F$43*$I$42,2)</f>
        <v>7.33</v>
      </c>
      <c r="L42" s="1050">
        <f>ROUND($F$42*$F$44*$I$42*$I$44,2)</f>
        <v>4.32</v>
      </c>
      <c r="M42" s="1050">
        <f>$F$42*$F$43*$I$42</f>
        <v>7.3286650400000006</v>
      </c>
      <c r="N42" s="1050">
        <f>ROUND($F$42*$F$44*$I$42*$I$44,2)</f>
        <v>4.32</v>
      </c>
    </row>
    <row r="43" spans="1:14" ht="12.75" customHeight="1">
      <c r="A43" s="1044"/>
      <c r="B43" s="1044"/>
      <c r="C43" s="1041" t="s">
        <v>570</v>
      </c>
      <c r="D43" s="1041"/>
      <c r="E43" s="1042"/>
      <c r="F43" s="677">
        <f>'Dados do Licitante'!D68</f>
        <v>3664.3325199999999</v>
      </c>
      <c r="G43" s="1048"/>
      <c r="H43" s="1049"/>
      <c r="I43" s="678"/>
      <c r="J43" s="1162"/>
      <c r="K43" s="1050"/>
      <c r="L43" s="1050"/>
      <c r="M43" s="1050"/>
      <c r="N43" s="1050"/>
    </row>
    <row r="44" spans="1:14" ht="12.75" customHeight="1">
      <c r="A44" s="1045"/>
      <c r="B44" s="1045"/>
      <c r="C44" s="1041" t="s">
        <v>569</v>
      </c>
      <c r="D44" s="1041"/>
      <c r="E44" s="1042"/>
      <c r="F44" s="677">
        <f>'Dados do Licitante'!D69</f>
        <v>2160</v>
      </c>
      <c r="G44" s="1160" t="s">
        <v>242</v>
      </c>
      <c r="H44" s="1161"/>
      <c r="I44" s="680">
        <f>'Dados do Licitante'!F69</f>
        <v>1</v>
      </c>
      <c r="J44" s="1157"/>
      <c r="K44" s="1051"/>
      <c r="L44" s="1051"/>
      <c r="M44" s="1051"/>
      <c r="N44" s="1051"/>
    </row>
    <row r="45" spans="1:14">
      <c r="A45" s="1140" t="s">
        <v>502</v>
      </c>
      <c r="B45" s="1141"/>
      <c r="C45" s="1141"/>
      <c r="D45" s="1141"/>
      <c r="E45" s="1163" t="s">
        <v>235</v>
      </c>
      <c r="F45" s="1163"/>
      <c r="G45" s="1163"/>
      <c r="H45" s="1164"/>
      <c r="I45" s="681">
        <f>'Dados do Licitante'!F70</f>
        <v>71.58</v>
      </c>
      <c r="J45" s="1156">
        <f>I45-I46</f>
        <v>71.58</v>
      </c>
      <c r="K45" s="1056">
        <f t="shared" ref="K45:N45" si="8">$J45</f>
        <v>71.58</v>
      </c>
      <c r="L45" s="1056">
        <f t="shared" si="8"/>
        <v>71.58</v>
      </c>
      <c r="M45" s="1056">
        <f t="shared" si="8"/>
        <v>71.58</v>
      </c>
      <c r="N45" s="1069">
        <f t="shared" si="8"/>
        <v>71.58</v>
      </c>
    </row>
    <row r="46" spans="1:14">
      <c r="A46" s="1142"/>
      <c r="B46" s="1060"/>
      <c r="C46" s="1060"/>
      <c r="D46" s="1060"/>
      <c r="E46" s="1165" t="s">
        <v>236</v>
      </c>
      <c r="F46" s="1165"/>
      <c r="G46" s="1165"/>
      <c r="H46" s="1166"/>
      <c r="I46" s="677">
        <f>'Dados do Licitante'!F71</f>
        <v>0</v>
      </c>
      <c r="J46" s="1157"/>
      <c r="K46" s="1051"/>
      <c r="L46" s="1051"/>
      <c r="M46" s="1051"/>
      <c r="N46" s="1070"/>
    </row>
    <row r="47" spans="1:14" s="391" customFormat="1">
      <c r="A47" s="412" t="s">
        <v>503</v>
      </c>
      <c r="B47" s="398"/>
      <c r="C47" s="413"/>
      <c r="D47" s="413"/>
      <c r="E47" s="413"/>
      <c r="F47" s="1158"/>
      <c r="G47" s="1158"/>
      <c r="H47" s="1158"/>
      <c r="I47" s="1159"/>
      <c r="J47" s="485"/>
      <c r="K47" s="723">
        <f>'Dados do Licitante'!G39</f>
        <v>224.07</v>
      </c>
      <c r="L47" s="723">
        <f>'Dados do Licitante'!H39</f>
        <v>224.07</v>
      </c>
      <c r="M47" s="723">
        <f>'Dados do Licitante'!G40</f>
        <v>85.36</v>
      </c>
      <c r="N47" s="723">
        <f>'Dados do Licitante'!H40</f>
        <v>85.36</v>
      </c>
    </row>
    <row r="49" spans="1:14" s="391" customFormat="1">
      <c r="A49" s="1077" t="s">
        <v>24</v>
      </c>
      <c r="B49" s="1078"/>
      <c r="C49" s="1078"/>
      <c r="D49" s="1078"/>
      <c r="E49" s="1078"/>
      <c r="F49" s="1078"/>
      <c r="G49" s="1078"/>
      <c r="H49" s="1078"/>
      <c r="I49" s="1078"/>
      <c r="J49" s="414"/>
      <c r="K49" s="542">
        <f>SUM(K33:K47)</f>
        <v>1180.78</v>
      </c>
      <c r="L49" s="542">
        <f>SUM(L33:L47)</f>
        <v>1177.77</v>
      </c>
      <c r="M49" s="542">
        <f>SUM(M33:M47)</f>
        <v>1042.06866504</v>
      </c>
      <c r="N49" s="536">
        <f>SUM(N33:N47)</f>
        <v>1039.06</v>
      </c>
    </row>
    <row r="50" spans="1:14" s="391" customFormat="1">
      <c r="K50" s="539"/>
      <c r="L50" s="539"/>
      <c r="M50" s="539"/>
      <c r="N50" s="539"/>
    </row>
    <row r="51" spans="1:14" s="391" customFormat="1">
      <c r="A51" s="1079" t="s">
        <v>91</v>
      </c>
      <c r="B51" s="1080"/>
      <c r="C51" s="1080"/>
      <c r="D51" s="1080"/>
      <c r="E51" s="1080"/>
      <c r="F51" s="1080"/>
      <c r="G51" s="1080"/>
      <c r="H51" s="1080"/>
      <c r="I51" s="1080"/>
      <c r="J51" s="1081"/>
      <c r="K51" s="1052" t="s">
        <v>70</v>
      </c>
      <c r="L51" s="1052" t="s">
        <v>70</v>
      </c>
      <c r="M51" s="1052" t="s">
        <v>70</v>
      </c>
      <c r="N51" s="1052" t="s">
        <v>70</v>
      </c>
    </row>
    <row r="52" spans="1:14" s="391" customFormat="1">
      <c r="A52" s="1082" t="s">
        <v>92</v>
      </c>
      <c r="B52" s="1083"/>
      <c r="C52" s="1083"/>
      <c r="D52" s="1083"/>
      <c r="E52" s="1083"/>
      <c r="F52" s="1083"/>
      <c r="G52" s="1083"/>
      <c r="H52" s="1083"/>
      <c r="I52" s="1083"/>
      <c r="J52" s="1084"/>
      <c r="K52" s="1053"/>
      <c r="L52" s="1053"/>
      <c r="M52" s="1053"/>
      <c r="N52" s="1053"/>
    </row>
    <row r="53" spans="1:14" s="391" customFormat="1">
      <c r="A53" s="1082" t="s">
        <v>76</v>
      </c>
      <c r="B53" s="1083"/>
      <c r="C53" s="1083"/>
      <c r="D53" s="1083"/>
      <c r="E53" s="1083"/>
      <c r="F53" s="1083"/>
      <c r="G53" s="1083"/>
      <c r="H53" s="1083"/>
      <c r="I53" s="1083"/>
      <c r="J53" s="1084"/>
      <c r="K53" s="721">
        <f>K16</f>
        <v>529.29</v>
      </c>
      <c r="L53" s="543">
        <f>L16</f>
        <v>312</v>
      </c>
      <c r="M53" s="543">
        <f>M16</f>
        <v>529.29</v>
      </c>
      <c r="N53" s="588">
        <f>N16</f>
        <v>240</v>
      </c>
    </row>
    <row r="54" spans="1:14" s="391" customFormat="1">
      <c r="A54" s="1082" t="s">
        <v>50</v>
      </c>
      <c r="B54" s="1083"/>
      <c r="C54" s="1083"/>
      <c r="D54" s="1083"/>
      <c r="E54" s="1083"/>
      <c r="F54" s="1083"/>
      <c r="G54" s="1083"/>
      <c r="H54" s="1083"/>
      <c r="I54" s="1083"/>
      <c r="J54" s="1084"/>
      <c r="K54" s="721">
        <f>K29</f>
        <v>1947.79</v>
      </c>
      <c r="L54" s="543">
        <f>L29</f>
        <v>1148.1600000000001</v>
      </c>
      <c r="M54" s="543">
        <f>M29</f>
        <v>1947.79</v>
      </c>
      <c r="N54" s="588">
        <f>N29</f>
        <v>883.19999999999993</v>
      </c>
    </row>
    <row r="55" spans="1:14" s="391" customFormat="1">
      <c r="A55" s="1082" t="s">
        <v>250</v>
      </c>
      <c r="B55" s="1083"/>
      <c r="C55" s="1083"/>
      <c r="D55" s="1083"/>
      <c r="E55" s="1083"/>
      <c r="F55" s="1083"/>
      <c r="G55" s="1083"/>
      <c r="H55" s="1083"/>
      <c r="I55" s="1083"/>
      <c r="J55" s="1084"/>
      <c r="K55" s="721">
        <f t="shared" ref="K55:N55" si="9">K49</f>
        <v>1180.78</v>
      </c>
      <c r="L55" s="543">
        <f t="shared" si="9"/>
        <v>1177.77</v>
      </c>
      <c r="M55" s="543">
        <f t="shared" ref="M55" si="10">M49</f>
        <v>1042.06866504</v>
      </c>
      <c r="N55" s="588">
        <f t="shared" si="9"/>
        <v>1039.06</v>
      </c>
    </row>
    <row r="56" spans="1:14" s="391" customFormat="1">
      <c r="A56" s="1138" t="s">
        <v>24</v>
      </c>
      <c r="B56" s="1139"/>
      <c r="C56" s="1139"/>
      <c r="D56" s="1139"/>
      <c r="E56" s="1139"/>
      <c r="F56" s="1139"/>
      <c r="G56" s="1139"/>
      <c r="H56" s="1139"/>
      <c r="I56" s="1139"/>
      <c r="J56" s="415"/>
      <c r="K56" s="719">
        <f t="shared" ref="K56:N56" si="11">SUM(K53:K55)</f>
        <v>3657.8599999999997</v>
      </c>
      <c r="L56" s="542">
        <f t="shared" si="11"/>
        <v>2637.9300000000003</v>
      </c>
      <c r="M56" s="542">
        <f t="shared" ref="M56" si="12">SUM(M53:M55)</f>
        <v>3519.1486650400002</v>
      </c>
      <c r="N56" s="536">
        <f t="shared" si="11"/>
        <v>2162.2599999999998</v>
      </c>
    </row>
    <row r="57" spans="1:14" s="391" customFormat="1" ht="21.75" customHeight="1">
      <c r="A57" s="416"/>
      <c r="B57" s="417"/>
      <c r="C57" s="417"/>
      <c r="D57" s="417"/>
      <c r="E57" s="417"/>
      <c r="F57" s="417"/>
      <c r="G57" s="417"/>
      <c r="H57" s="417"/>
      <c r="I57" s="417"/>
      <c r="J57" s="418"/>
      <c r="K57" s="544"/>
      <c r="L57" s="544"/>
      <c r="M57" s="544"/>
      <c r="N57" s="544"/>
    </row>
    <row r="58" spans="1:14" s="391" customFormat="1">
      <c r="A58" s="1147" t="s">
        <v>246</v>
      </c>
      <c r="B58" s="1148"/>
      <c r="C58" s="1148"/>
      <c r="D58" s="1148"/>
      <c r="E58" s="1148"/>
      <c r="F58" s="1148"/>
      <c r="G58" s="1148"/>
      <c r="H58" s="1148"/>
      <c r="I58" s="1149"/>
      <c r="J58" s="419" t="s">
        <v>93</v>
      </c>
      <c r="K58" s="543" t="s">
        <v>70</v>
      </c>
      <c r="L58" s="543" t="s">
        <v>70</v>
      </c>
      <c r="M58" s="543" t="s">
        <v>70</v>
      </c>
      <c r="N58" s="588" t="s">
        <v>70</v>
      </c>
    </row>
    <row r="59" spans="1:14" s="391" customFormat="1" ht="14.25" customHeight="1">
      <c r="A59" s="420" t="s">
        <v>7</v>
      </c>
      <c r="B59" s="421" t="s">
        <v>249</v>
      </c>
      <c r="C59" s="422"/>
      <c r="D59" s="422"/>
      <c r="E59" s="422"/>
      <c r="F59" s="422"/>
      <c r="G59" s="422"/>
      <c r="H59" s="422"/>
      <c r="I59" s="423"/>
      <c r="J59" s="424"/>
      <c r="K59" s="588">
        <f>((K10+K10/12+K10/12+K10/36)/12)</f>
        <v>474.15761574074077</v>
      </c>
      <c r="L59" s="588">
        <f>((L10+L10/12+L10/12+L10/36)/12)</f>
        <v>279.5</v>
      </c>
      <c r="M59" s="588">
        <f>((M10+M10/12+M10/12+M10/36)/12)</f>
        <v>474.15761574074077</v>
      </c>
      <c r="N59" s="588">
        <f>((N10+N10/12+N10/12+N10/36)/12)</f>
        <v>215</v>
      </c>
    </row>
    <row r="60" spans="1:14" s="391" customFormat="1" ht="14.25" customHeight="1">
      <c r="A60" s="425" t="s">
        <v>9</v>
      </c>
      <c r="B60" s="426" t="s">
        <v>95</v>
      </c>
      <c r="C60" s="422"/>
      <c r="D60" s="422"/>
      <c r="E60" s="422"/>
      <c r="F60" s="422"/>
      <c r="G60" s="422"/>
      <c r="H60" s="422"/>
      <c r="I60" s="427">
        <f>J28</f>
        <v>0.08</v>
      </c>
      <c r="J60" s="424"/>
      <c r="K60" s="588">
        <f t="shared" ref="K60:N60" si="13">K59*$I60</f>
        <v>37.932609259259259</v>
      </c>
      <c r="L60" s="588">
        <f t="shared" si="13"/>
        <v>22.36</v>
      </c>
      <c r="M60" s="588">
        <f t="shared" ref="M60" si="14">M59*$I60</f>
        <v>37.932609259259259</v>
      </c>
      <c r="N60" s="588">
        <f t="shared" si="13"/>
        <v>17.2</v>
      </c>
    </row>
    <row r="61" spans="1:14" s="391" customFormat="1" ht="14.25" customHeight="1">
      <c r="A61" s="425" t="s">
        <v>11</v>
      </c>
      <c r="B61" s="1143" t="s">
        <v>96</v>
      </c>
      <c r="C61" s="1144"/>
      <c r="D61" s="1144"/>
      <c r="E61" s="1144"/>
      <c r="F61" s="1144"/>
      <c r="G61" s="1144"/>
      <c r="H61" s="1144"/>
      <c r="I61" s="427">
        <v>0.4</v>
      </c>
      <c r="J61" s="424"/>
      <c r="K61" s="588">
        <f t="shared" ref="K61:N61" si="15">$I61*(K60)</f>
        <v>15.173043703703705</v>
      </c>
      <c r="L61" s="588">
        <f t="shared" si="15"/>
        <v>8.9440000000000008</v>
      </c>
      <c r="M61" s="588">
        <f t="shared" ref="M61" si="16">$I61*(M60)</f>
        <v>15.173043703703705</v>
      </c>
      <c r="N61" s="588">
        <f t="shared" si="15"/>
        <v>6.88</v>
      </c>
    </row>
    <row r="62" spans="1:14" s="391" customFormat="1" ht="27" customHeight="1">
      <c r="A62" s="420" t="s">
        <v>13</v>
      </c>
      <c r="B62" s="1150" t="s">
        <v>248</v>
      </c>
      <c r="C62" s="1151"/>
      <c r="D62" s="1151"/>
      <c r="E62" s="1151"/>
      <c r="F62" s="1151"/>
      <c r="G62" s="1151"/>
      <c r="H62" s="1151"/>
      <c r="I62" s="481" t="s">
        <v>381</v>
      </c>
      <c r="J62" s="424">
        <f>'Dados do Licitante'!F74</f>
        <v>0.05</v>
      </c>
      <c r="K62" s="542">
        <f t="shared" ref="K62:N62" si="17">ROUND(SUM(K59:K61)*$J62,2)</f>
        <v>26.36</v>
      </c>
      <c r="L62" s="542">
        <f t="shared" si="17"/>
        <v>15.54</v>
      </c>
      <c r="M62" s="542">
        <f t="shared" ref="M62" si="18">ROUND(SUM(M59:M61)*$J62,2)</f>
        <v>26.36</v>
      </c>
      <c r="N62" s="536">
        <f t="shared" si="17"/>
        <v>11.95</v>
      </c>
    </row>
    <row r="63" spans="1:14" s="391" customFormat="1" ht="14.25" customHeight="1">
      <c r="A63" s="425" t="s">
        <v>15</v>
      </c>
      <c r="B63" s="1143" t="s">
        <v>379</v>
      </c>
      <c r="C63" s="1144"/>
      <c r="D63" s="1144"/>
      <c r="E63" s="1144"/>
      <c r="F63" s="1144"/>
      <c r="G63" s="1144"/>
      <c r="H63" s="1144"/>
      <c r="I63" s="480">
        <f>7/30/12</f>
        <v>1.9444444444444445E-2</v>
      </c>
      <c r="J63" s="424"/>
      <c r="K63" s="588">
        <f>$I63*(K10+K10/12+K10/12+K10/36)</f>
        <v>110.63677700617285</v>
      </c>
      <c r="L63" s="588">
        <f>$I63*(L10+L10/12+L10/12+L10/36)</f>
        <v>65.216666666666669</v>
      </c>
      <c r="M63" s="588">
        <f>$I63*(M10+M10/12+M10/12+M10/36)</f>
        <v>110.63677700617285</v>
      </c>
      <c r="N63" s="588">
        <f>$I63*(N10+N10/12+N10/12+N10/36)</f>
        <v>50.166666666666664</v>
      </c>
    </row>
    <row r="64" spans="1:14" s="391" customFormat="1" ht="14.25" customHeight="1">
      <c r="A64" s="425" t="s">
        <v>18</v>
      </c>
      <c r="B64" s="426" t="s">
        <v>380</v>
      </c>
      <c r="C64" s="429"/>
      <c r="D64" s="429"/>
      <c r="E64" s="429"/>
      <c r="F64" s="429"/>
      <c r="G64" s="429"/>
      <c r="H64" s="429"/>
      <c r="I64" s="430">
        <f>J29</f>
        <v>0.36800000000000005</v>
      </c>
      <c r="J64" s="431"/>
      <c r="K64" s="543">
        <f t="shared" ref="K64:N64" si="19">$I64*K63</f>
        <v>40.714333938271615</v>
      </c>
      <c r="L64" s="543">
        <f t="shared" si="19"/>
        <v>23.999733333333339</v>
      </c>
      <c r="M64" s="543">
        <f t="shared" ref="M64" si="20">$I64*M63</f>
        <v>40.714333938271615</v>
      </c>
      <c r="N64" s="588">
        <f t="shared" si="19"/>
        <v>18.461333333333336</v>
      </c>
    </row>
    <row r="65" spans="1:14" s="391" customFormat="1" ht="14.25" customHeight="1">
      <c r="A65" s="425" t="s">
        <v>20</v>
      </c>
      <c r="B65" s="1143" t="s">
        <v>98</v>
      </c>
      <c r="C65" s="1144"/>
      <c r="D65" s="1144"/>
      <c r="E65" s="1144"/>
      <c r="F65" s="1144"/>
      <c r="G65" s="1144"/>
      <c r="H65" s="1144"/>
      <c r="I65" s="427">
        <v>0.4</v>
      </c>
      <c r="J65" s="432"/>
      <c r="K65" s="543">
        <f>40%*(K28)</f>
        <v>169.37200000000001</v>
      </c>
      <c r="L65" s="543">
        <f>40%*(L28)</f>
        <v>99.84</v>
      </c>
      <c r="M65" s="543">
        <f>40%*(M28)</f>
        <v>169.37200000000001</v>
      </c>
      <c r="N65" s="588">
        <f>40%*(N28)</f>
        <v>76.800000000000011</v>
      </c>
    </row>
    <row r="66" spans="1:14" s="391" customFormat="1" ht="14.25" customHeight="1">
      <c r="A66" s="420" t="s">
        <v>22</v>
      </c>
      <c r="B66" s="433" t="s">
        <v>97</v>
      </c>
      <c r="C66" s="434"/>
      <c r="D66" s="434"/>
      <c r="E66" s="434"/>
      <c r="F66" s="434"/>
      <c r="G66" s="434"/>
      <c r="H66" s="434"/>
      <c r="I66" s="428"/>
      <c r="J66" s="431">
        <v>1</v>
      </c>
      <c r="K66" s="542">
        <f t="shared" ref="K66:N66" si="21">ROUND((SUM(K63:K65))*$J66,2)</f>
        <v>320.72000000000003</v>
      </c>
      <c r="L66" s="542">
        <f t="shared" si="21"/>
        <v>189.06</v>
      </c>
      <c r="M66" s="542">
        <f t="shared" ref="M66" si="22">ROUND((SUM(M63:M65))*$J66,2)</f>
        <v>320.72000000000003</v>
      </c>
      <c r="N66" s="536">
        <f t="shared" si="21"/>
        <v>145.43</v>
      </c>
    </row>
    <row r="67" spans="1:14" s="391" customFormat="1" ht="14.25" customHeight="1">
      <c r="A67" s="1134" t="s">
        <v>245</v>
      </c>
      <c r="B67" s="1135"/>
      <c r="C67" s="1135"/>
      <c r="D67" s="1135"/>
      <c r="E67" s="1135"/>
      <c r="F67" s="1135"/>
      <c r="G67" s="1135"/>
      <c r="H67" s="1135"/>
      <c r="I67" s="1136"/>
      <c r="J67" s="435"/>
      <c r="K67" s="542">
        <f t="shared" ref="K67:N67" si="23">K62+K66</f>
        <v>347.08000000000004</v>
      </c>
      <c r="L67" s="542">
        <f t="shared" si="23"/>
        <v>204.6</v>
      </c>
      <c r="M67" s="542">
        <f t="shared" ref="M67" si="24">M62+M66</f>
        <v>347.08000000000004</v>
      </c>
      <c r="N67" s="536">
        <f t="shared" si="23"/>
        <v>157.38</v>
      </c>
    </row>
    <row r="68" spans="1:14" s="391" customFormat="1">
      <c r="K68" s="539"/>
      <c r="L68" s="539"/>
      <c r="M68" s="539"/>
      <c r="N68" s="539"/>
    </row>
    <row r="69" spans="1:14" s="391" customFormat="1">
      <c r="A69" s="1145" t="s">
        <v>99</v>
      </c>
      <c r="B69" s="1146"/>
      <c r="C69" s="1146"/>
      <c r="D69" s="1146"/>
      <c r="E69" s="1146"/>
      <c r="F69" s="1146"/>
      <c r="G69" s="1146"/>
      <c r="H69" s="1146"/>
      <c r="I69" s="1146"/>
      <c r="J69" s="436"/>
      <c r="K69" s="564" t="s">
        <v>70</v>
      </c>
      <c r="L69" s="564" t="s">
        <v>70</v>
      </c>
      <c r="M69" s="564" t="s">
        <v>70</v>
      </c>
      <c r="N69" s="586" t="s">
        <v>70</v>
      </c>
    </row>
    <row r="70" spans="1:14" s="391" customFormat="1">
      <c r="A70" s="1082" t="s">
        <v>100</v>
      </c>
      <c r="B70" s="1083"/>
      <c r="C70" s="1083"/>
      <c r="D70" s="1083"/>
      <c r="E70" s="1083"/>
      <c r="F70" s="1083"/>
      <c r="G70" s="1083"/>
      <c r="H70" s="1083"/>
      <c r="I70" s="1083"/>
      <c r="J70" s="1084"/>
      <c r="K70" s="543">
        <f>K10</f>
        <v>4763.63</v>
      </c>
      <c r="L70" s="543">
        <f>L10</f>
        <v>2808</v>
      </c>
      <c r="M70" s="543">
        <f>M10</f>
        <v>4763.63</v>
      </c>
      <c r="N70" s="588">
        <f>N10</f>
        <v>2160</v>
      </c>
    </row>
    <row r="71" spans="1:14" s="391" customFormat="1">
      <c r="A71" s="1082" t="s">
        <v>101</v>
      </c>
      <c r="B71" s="1083"/>
      <c r="C71" s="1083"/>
      <c r="D71" s="1083"/>
      <c r="E71" s="1083"/>
      <c r="F71" s="1083"/>
      <c r="G71" s="1083"/>
      <c r="H71" s="1083"/>
      <c r="I71" s="1083"/>
      <c r="J71" s="1084"/>
      <c r="K71" s="543">
        <f>K56</f>
        <v>3657.8599999999997</v>
      </c>
      <c r="L71" s="543">
        <f>L56</f>
        <v>2637.9300000000003</v>
      </c>
      <c r="M71" s="543">
        <f>M56</f>
        <v>3519.1486650400002</v>
      </c>
      <c r="N71" s="588">
        <f>N56</f>
        <v>2162.2599999999998</v>
      </c>
    </row>
    <row r="72" spans="1:14" s="391" customFormat="1">
      <c r="A72" s="1082" t="s">
        <v>102</v>
      </c>
      <c r="B72" s="1083"/>
      <c r="C72" s="1083"/>
      <c r="D72" s="1083"/>
      <c r="E72" s="1083"/>
      <c r="F72" s="1083"/>
      <c r="G72" s="1083"/>
      <c r="H72" s="1083"/>
      <c r="I72" s="1083"/>
      <c r="J72" s="1084"/>
      <c r="K72" s="543">
        <f>K67</f>
        <v>347.08000000000004</v>
      </c>
      <c r="L72" s="543">
        <f>L67</f>
        <v>204.6</v>
      </c>
      <c r="M72" s="543">
        <f>M67</f>
        <v>347.08000000000004</v>
      </c>
      <c r="N72" s="588">
        <f>N67</f>
        <v>157.38</v>
      </c>
    </row>
    <row r="73" spans="1:14" s="391" customFormat="1">
      <c r="A73" s="1138" t="s">
        <v>24</v>
      </c>
      <c r="B73" s="1139"/>
      <c r="C73" s="1139"/>
      <c r="D73" s="1139"/>
      <c r="E73" s="1139"/>
      <c r="F73" s="1139"/>
      <c r="G73" s="1139"/>
      <c r="H73" s="1139"/>
      <c r="I73" s="1139"/>
      <c r="J73" s="415"/>
      <c r="K73" s="542">
        <f t="shared" ref="K73:N73" si="25">SUM(K70:K72)</f>
        <v>8768.57</v>
      </c>
      <c r="L73" s="542">
        <f t="shared" si="25"/>
        <v>5650.5300000000007</v>
      </c>
      <c r="M73" s="542">
        <f t="shared" ref="M73" si="26">SUM(M70:M72)</f>
        <v>8629.8586650400011</v>
      </c>
      <c r="N73" s="536">
        <f t="shared" si="25"/>
        <v>4479.6400000000003</v>
      </c>
    </row>
    <row r="74" spans="1:14" s="391" customFormat="1" ht="16.5" customHeight="1">
      <c r="K74" s="539"/>
      <c r="L74" s="539"/>
      <c r="M74" s="539"/>
      <c r="N74" s="539"/>
    </row>
    <row r="75" spans="1:14" s="391" customFormat="1">
      <c r="A75" s="1131" t="s">
        <v>254</v>
      </c>
      <c r="B75" s="1132"/>
      <c r="C75" s="1132"/>
      <c r="D75" s="1132"/>
      <c r="E75" s="1132"/>
      <c r="F75" s="1132"/>
      <c r="G75" s="1132"/>
      <c r="H75" s="1132"/>
      <c r="I75" s="1132"/>
      <c r="J75" s="1133"/>
      <c r="K75" s="545"/>
      <c r="L75" s="545"/>
      <c r="M75" s="545"/>
      <c r="N75" s="566"/>
    </row>
    <row r="76" spans="1:14" s="391" customFormat="1">
      <c r="A76" s="1079" t="s">
        <v>104</v>
      </c>
      <c r="B76" s="1080"/>
      <c r="C76" s="1080"/>
      <c r="D76" s="1080"/>
      <c r="E76" s="1080"/>
      <c r="F76" s="1080"/>
      <c r="G76" s="1080"/>
      <c r="H76" s="1080"/>
      <c r="I76" s="1081"/>
      <c r="J76" s="437" t="s">
        <v>75</v>
      </c>
      <c r="K76" s="1071" t="s">
        <v>70</v>
      </c>
      <c r="L76" s="1071" t="s">
        <v>70</v>
      </c>
      <c r="M76" s="1071" t="s">
        <v>70</v>
      </c>
      <c r="N76" s="1071" t="s">
        <v>70</v>
      </c>
    </row>
    <row r="77" spans="1:14" s="391" customFormat="1" ht="22.5">
      <c r="A77" s="1095" t="s">
        <v>105</v>
      </c>
      <c r="B77" s="1096"/>
      <c r="C77" s="1096"/>
      <c r="D77" s="1096"/>
      <c r="E77" s="1096"/>
      <c r="F77" s="1096"/>
      <c r="G77" s="1096"/>
      <c r="H77" s="1096"/>
      <c r="I77" s="1137"/>
      <c r="J77" s="438" t="s">
        <v>247</v>
      </c>
      <c r="K77" s="1053"/>
      <c r="L77" s="1053"/>
      <c r="M77" s="1053"/>
      <c r="N77" s="1053"/>
    </row>
    <row r="78" spans="1:14" s="391" customFormat="1" ht="24.75" customHeight="1">
      <c r="A78" s="439" t="s">
        <v>7</v>
      </c>
      <c r="B78" s="1087" t="s">
        <v>229</v>
      </c>
      <c r="C78" s="1088"/>
      <c r="D78" s="1088"/>
      <c r="E78" s="1088"/>
      <c r="F78" s="1088"/>
      <c r="G78" s="1088"/>
      <c r="H78" s="1088"/>
      <c r="I78" s="1089"/>
      <c r="J78" s="378">
        <v>30</v>
      </c>
      <c r="K78" s="588">
        <f t="shared" ref="K78:N78" si="27">ROUND(((K73/30)*$J78)/12,2)</f>
        <v>730.71</v>
      </c>
      <c r="L78" s="588">
        <f t="shared" si="27"/>
        <v>470.88</v>
      </c>
      <c r="M78" s="588">
        <f t="shared" ref="M78" si="28">ROUND(((M73/30)*$J78)/12,2)</f>
        <v>719.15</v>
      </c>
      <c r="N78" s="588">
        <f t="shared" si="27"/>
        <v>373.3</v>
      </c>
    </row>
    <row r="79" spans="1:14" s="391" customFormat="1" ht="56.25" customHeight="1">
      <c r="A79" s="385" t="s">
        <v>9</v>
      </c>
      <c r="B79" s="1087" t="s">
        <v>256</v>
      </c>
      <c r="C79" s="1088"/>
      <c r="D79" s="1088"/>
      <c r="E79" s="1088"/>
      <c r="F79" s="1088"/>
      <c r="G79" s="1088"/>
      <c r="H79" s="1088"/>
      <c r="I79" s="1089"/>
      <c r="J79" s="682">
        <f>'Dados do Licitante'!F80</f>
        <v>8.51</v>
      </c>
      <c r="K79" s="588">
        <f t="shared" ref="K79:N79" si="29">ROUND(((K73/22)*$J79)/12,2)</f>
        <v>282.64999999999998</v>
      </c>
      <c r="L79" s="588">
        <f t="shared" si="29"/>
        <v>182.14</v>
      </c>
      <c r="M79" s="588">
        <f t="shared" ref="M79" si="30">ROUND(((M73/22)*$J79)/12,2)</f>
        <v>278.18</v>
      </c>
      <c r="N79" s="588">
        <f t="shared" si="29"/>
        <v>144.4</v>
      </c>
    </row>
    <row r="80" spans="1:14" s="391" customFormat="1" ht="12" customHeight="1">
      <c r="A80" s="1134" t="s">
        <v>24</v>
      </c>
      <c r="B80" s="1135"/>
      <c r="C80" s="1135"/>
      <c r="D80" s="1135"/>
      <c r="E80" s="1135"/>
      <c r="F80" s="1135"/>
      <c r="G80" s="1135"/>
      <c r="H80" s="1135"/>
      <c r="I80" s="1136"/>
      <c r="J80" s="440">
        <f t="shared" ref="J80:N80" si="31">SUM(J78:J79)</f>
        <v>38.51</v>
      </c>
      <c r="K80" s="542">
        <f t="shared" si="31"/>
        <v>1013.36</v>
      </c>
      <c r="L80" s="542">
        <f t="shared" si="31"/>
        <v>653.02</v>
      </c>
      <c r="M80" s="542">
        <f t="shared" ref="M80" si="32">SUM(M78:M79)</f>
        <v>997.32999999999993</v>
      </c>
      <c r="N80" s="536">
        <f t="shared" si="31"/>
        <v>517.70000000000005</v>
      </c>
    </row>
    <row r="81" spans="1:14" s="391" customFormat="1">
      <c r="K81" s="539"/>
      <c r="L81" s="539"/>
      <c r="M81" s="539"/>
      <c r="N81" s="539"/>
    </row>
    <row r="82" spans="1:14" s="391" customFormat="1">
      <c r="A82" s="1079" t="s">
        <v>106</v>
      </c>
      <c r="B82" s="1080"/>
      <c r="C82" s="1080"/>
      <c r="D82" s="1080"/>
      <c r="E82" s="1080"/>
      <c r="F82" s="1080"/>
      <c r="G82" s="1080"/>
      <c r="H82" s="1080"/>
      <c r="I82" s="1081"/>
      <c r="J82" s="437" t="s">
        <v>75</v>
      </c>
      <c r="K82" s="1052" t="s">
        <v>70</v>
      </c>
      <c r="L82" s="1052" t="s">
        <v>70</v>
      </c>
      <c r="M82" s="1052" t="s">
        <v>70</v>
      </c>
      <c r="N82" s="1052" t="s">
        <v>70</v>
      </c>
    </row>
    <row r="83" spans="1:14" s="391" customFormat="1">
      <c r="A83" s="1095" t="s">
        <v>107</v>
      </c>
      <c r="B83" s="1096"/>
      <c r="C83" s="1096"/>
      <c r="D83" s="1096"/>
      <c r="E83" s="1096"/>
      <c r="F83" s="1096"/>
      <c r="G83" s="1096"/>
      <c r="H83" s="1096"/>
      <c r="I83" s="1096"/>
      <c r="J83" s="397"/>
      <c r="K83" s="1053"/>
      <c r="L83" s="1053"/>
      <c r="M83" s="1053"/>
      <c r="N83" s="1053"/>
    </row>
    <row r="84" spans="1:14" s="391" customFormat="1">
      <c r="A84" s="439" t="s">
        <v>7</v>
      </c>
      <c r="B84" s="1130" t="s">
        <v>108</v>
      </c>
      <c r="C84" s="1090"/>
      <c r="D84" s="1090"/>
      <c r="E84" s="1090"/>
      <c r="F84" s="1090"/>
      <c r="G84" s="1090"/>
      <c r="H84" s="1090"/>
      <c r="I84" s="1091"/>
      <c r="J84" s="377">
        <v>0</v>
      </c>
      <c r="K84" s="589">
        <v>0</v>
      </c>
      <c r="L84" s="589">
        <v>0</v>
      </c>
      <c r="M84" s="589">
        <v>0</v>
      </c>
      <c r="N84" s="589">
        <v>0</v>
      </c>
    </row>
    <row r="85" spans="1:14" s="391" customFormat="1">
      <c r="K85" s="539"/>
      <c r="L85" s="539"/>
      <c r="M85" s="539"/>
      <c r="N85" s="539"/>
    </row>
    <row r="86" spans="1:14" s="391" customFormat="1">
      <c r="A86" s="1079" t="s">
        <v>109</v>
      </c>
      <c r="B86" s="1080"/>
      <c r="C86" s="1080"/>
      <c r="D86" s="1080"/>
      <c r="E86" s="1080"/>
      <c r="F86" s="1080"/>
      <c r="G86" s="1080"/>
      <c r="H86" s="1080"/>
      <c r="I86" s="1080"/>
      <c r="J86" s="441"/>
      <c r="K86" s="1052" t="s">
        <v>70</v>
      </c>
      <c r="L86" s="1052" t="s">
        <v>70</v>
      </c>
      <c r="M86" s="1052" t="s">
        <v>70</v>
      </c>
      <c r="N86" s="1052" t="s">
        <v>70</v>
      </c>
    </row>
    <row r="87" spans="1:14" s="391" customFormat="1">
      <c r="A87" s="1082" t="s">
        <v>110</v>
      </c>
      <c r="B87" s="1083"/>
      <c r="C87" s="1083"/>
      <c r="D87" s="1083"/>
      <c r="E87" s="1083"/>
      <c r="F87" s="1083"/>
      <c r="G87" s="1083"/>
      <c r="H87" s="1083"/>
      <c r="I87" s="1083"/>
      <c r="J87" s="397"/>
      <c r="K87" s="1053"/>
      <c r="L87" s="1053"/>
      <c r="M87" s="1053"/>
      <c r="N87" s="1053"/>
    </row>
    <row r="88" spans="1:14" s="391" customFormat="1">
      <c r="A88" s="1082" t="s">
        <v>105</v>
      </c>
      <c r="B88" s="1083"/>
      <c r="C88" s="1083"/>
      <c r="D88" s="1083"/>
      <c r="E88" s="1083"/>
      <c r="F88" s="1083"/>
      <c r="G88" s="1083"/>
      <c r="H88" s="1083"/>
      <c r="I88" s="1083"/>
      <c r="J88" s="442"/>
      <c r="K88" s="567">
        <f t="shared" ref="K88:L88" si="33">K80</f>
        <v>1013.36</v>
      </c>
      <c r="L88" s="567">
        <f t="shared" si="33"/>
        <v>653.02</v>
      </c>
      <c r="M88" s="567">
        <f t="shared" ref="M88" si="34">M80</f>
        <v>997.32999999999993</v>
      </c>
      <c r="N88" s="589">
        <f>N80</f>
        <v>517.70000000000005</v>
      </c>
    </row>
    <row r="89" spans="1:14" s="391" customFormat="1">
      <c r="A89" s="1082" t="s">
        <v>107</v>
      </c>
      <c r="B89" s="1083"/>
      <c r="C89" s="1083"/>
      <c r="D89" s="1083"/>
      <c r="E89" s="1083"/>
      <c r="F89" s="1083"/>
      <c r="G89" s="1083"/>
      <c r="H89" s="1083"/>
      <c r="I89" s="1083"/>
      <c r="J89" s="443"/>
      <c r="K89" s="567">
        <f t="shared" ref="K89:N89" si="35">K84</f>
        <v>0</v>
      </c>
      <c r="L89" s="567">
        <f t="shared" si="35"/>
        <v>0</v>
      </c>
      <c r="M89" s="567">
        <f t="shared" ref="M89" si="36">M84</f>
        <v>0</v>
      </c>
      <c r="N89" s="589">
        <f t="shared" si="35"/>
        <v>0</v>
      </c>
    </row>
    <row r="90" spans="1:14" s="391" customFormat="1">
      <c r="A90" s="1122" t="s">
        <v>24</v>
      </c>
      <c r="B90" s="1123"/>
      <c r="C90" s="1123"/>
      <c r="D90" s="1123"/>
      <c r="E90" s="1123"/>
      <c r="F90" s="1123"/>
      <c r="G90" s="1123"/>
      <c r="H90" s="1123"/>
      <c r="I90" s="1123"/>
      <c r="J90" s="444"/>
      <c r="K90" s="542">
        <f t="shared" ref="K90:N90" si="37">SUM(K88:K89)</f>
        <v>1013.36</v>
      </c>
      <c r="L90" s="542">
        <f t="shared" si="37"/>
        <v>653.02</v>
      </c>
      <c r="M90" s="542">
        <f t="shared" ref="M90" si="38">SUM(M88:M89)</f>
        <v>997.32999999999993</v>
      </c>
      <c r="N90" s="536">
        <f t="shared" si="37"/>
        <v>517.70000000000005</v>
      </c>
    </row>
    <row r="91" spans="1:14" s="391" customFormat="1" ht="17.25" customHeight="1">
      <c r="K91" s="539"/>
      <c r="L91" s="539"/>
      <c r="M91" s="539"/>
      <c r="N91" s="539"/>
    </row>
    <row r="92" spans="1:14" s="391" customFormat="1">
      <c r="A92" s="1131" t="s">
        <v>118</v>
      </c>
      <c r="B92" s="1132"/>
      <c r="C92" s="1132"/>
      <c r="D92" s="1132"/>
      <c r="E92" s="1132"/>
      <c r="F92" s="1132"/>
      <c r="G92" s="1132"/>
      <c r="H92" s="1132"/>
      <c r="I92" s="1132"/>
      <c r="J92" s="1133"/>
      <c r="K92" s="1052" t="s">
        <v>70</v>
      </c>
      <c r="L92" s="1052" t="s">
        <v>70</v>
      </c>
      <c r="M92" s="1052" t="s">
        <v>70</v>
      </c>
      <c r="N92" s="1052" t="s">
        <v>70</v>
      </c>
    </row>
    <row r="93" spans="1:14" s="391" customFormat="1">
      <c r="A93" s="1085" t="s">
        <v>112</v>
      </c>
      <c r="B93" s="1086"/>
      <c r="C93" s="1086"/>
      <c r="D93" s="1086"/>
      <c r="E93" s="1086"/>
      <c r="F93" s="1086"/>
      <c r="G93" s="1086"/>
      <c r="H93" s="1086"/>
      <c r="I93" s="1086"/>
      <c r="J93" s="445"/>
      <c r="K93" s="1053"/>
      <c r="L93" s="1053"/>
      <c r="M93" s="1053"/>
      <c r="N93" s="1053"/>
    </row>
    <row r="94" spans="1:14" s="391" customFormat="1">
      <c r="A94" s="390" t="s">
        <v>7</v>
      </c>
      <c r="B94" s="1130" t="s">
        <v>259</v>
      </c>
      <c r="C94" s="1090"/>
      <c r="D94" s="1090"/>
      <c r="E94" s="1090"/>
      <c r="F94" s="1090"/>
      <c r="G94" s="1090"/>
      <c r="H94" s="1090"/>
      <c r="I94" s="1090"/>
      <c r="J94" s="397"/>
      <c r="K94" s="722">
        <f>'Uniformes e EPIs'!P10</f>
        <v>110.83</v>
      </c>
      <c r="L94" s="722">
        <f>'Uniformes e EPIs'!P21</f>
        <v>110.83</v>
      </c>
      <c r="M94" s="722">
        <f>'Uniformes e EPIs'!P10</f>
        <v>110.83</v>
      </c>
      <c r="N94" s="722">
        <f>'Uniformes e EPIs'!P21</f>
        <v>110.83</v>
      </c>
    </row>
    <row r="95" spans="1:14" s="391" customFormat="1">
      <c r="A95" s="389" t="s">
        <v>9</v>
      </c>
      <c r="B95" s="397" t="s">
        <v>58</v>
      </c>
      <c r="C95" s="397"/>
      <c r="D95" s="397"/>
      <c r="E95" s="397"/>
      <c r="F95" s="397"/>
      <c r="G95" s="397"/>
      <c r="H95" s="397"/>
      <c r="I95" s="397"/>
      <c r="J95" s="397"/>
      <c r="K95" s="722">
        <f>'Uniformes e EPIs'!P38</f>
        <v>167.17</v>
      </c>
      <c r="L95" s="722">
        <f>'Uniformes e EPIs'!P38</f>
        <v>167.17</v>
      </c>
      <c r="M95" s="722">
        <f>'Uniformes e EPIs'!P38</f>
        <v>167.17</v>
      </c>
      <c r="N95" s="722">
        <f>'Uniformes e EPIs'!P38</f>
        <v>167.17</v>
      </c>
    </row>
    <row r="96" spans="1:14" s="391" customFormat="1">
      <c r="A96" s="390" t="s">
        <v>11</v>
      </c>
      <c r="B96" s="1130" t="s">
        <v>257</v>
      </c>
      <c r="C96" s="1090"/>
      <c r="D96" s="1090"/>
      <c r="E96" s="1090"/>
      <c r="F96" s="1090"/>
      <c r="G96" s="1090"/>
      <c r="H96" s="1090"/>
      <c r="I96" s="1090"/>
      <c r="J96" s="397"/>
      <c r="K96" s="724">
        <f>Equipamentos!M45</f>
        <v>254.60999999999999</v>
      </c>
      <c r="L96" s="724">
        <f>Equipamentos!M11</f>
        <v>101.65</v>
      </c>
      <c r="M96" s="724">
        <f>Equipamentos!M45</f>
        <v>254.60999999999999</v>
      </c>
      <c r="N96" s="724">
        <f>Equipamentos!M11</f>
        <v>101.65</v>
      </c>
    </row>
    <row r="97" spans="1:14" s="391" customFormat="1">
      <c r="A97" s="390" t="s">
        <v>13</v>
      </c>
      <c r="B97" s="1130" t="s">
        <v>499</v>
      </c>
      <c r="C97" s="1090"/>
      <c r="D97" s="1090"/>
      <c r="E97" s="1090"/>
      <c r="F97" s="1090"/>
      <c r="G97" s="1090"/>
      <c r="H97" s="1090"/>
      <c r="I97" s="1090"/>
      <c r="J97" s="397"/>
      <c r="K97" s="724"/>
      <c r="L97" s="724"/>
      <c r="M97" s="724"/>
      <c r="N97" s="724"/>
    </row>
    <row r="98" spans="1:14" s="391" customFormat="1">
      <c r="A98" s="390" t="s">
        <v>15</v>
      </c>
      <c r="B98" s="1130" t="s">
        <v>61</v>
      </c>
      <c r="C98" s="1090"/>
      <c r="D98" s="1090"/>
      <c r="E98" s="1090"/>
      <c r="F98" s="1090"/>
      <c r="G98" s="1090"/>
      <c r="H98" s="1090"/>
      <c r="I98" s="1090"/>
      <c r="J98" s="397"/>
      <c r="K98" s="725"/>
      <c r="L98" s="720"/>
      <c r="M98" s="720"/>
      <c r="N98" s="720"/>
    </row>
    <row r="99" spans="1:14" s="391" customFormat="1">
      <c r="A99" s="1077" t="s">
        <v>24</v>
      </c>
      <c r="B99" s="1078"/>
      <c r="C99" s="1078"/>
      <c r="D99" s="1078"/>
      <c r="E99" s="1078"/>
      <c r="F99" s="1078"/>
      <c r="G99" s="1078"/>
      <c r="H99" s="1078"/>
      <c r="I99" s="1078"/>
      <c r="J99" s="585"/>
      <c r="K99" s="726">
        <f>SUM(K94:K98)</f>
        <v>532.61</v>
      </c>
      <c r="L99" s="726">
        <f t="shared" ref="L99:N99" si="39">SUM(L94:L98)</f>
        <v>379.65</v>
      </c>
      <c r="M99" s="726">
        <f t="shared" ref="M99" si="40">SUM(M94:M98)</f>
        <v>532.61</v>
      </c>
      <c r="N99" s="725">
        <f t="shared" si="39"/>
        <v>379.65</v>
      </c>
    </row>
    <row r="100" spans="1:14" s="391" customFormat="1" ht="18" customHeight="1">
      <c r="K100" s="539"/>
      <c r="L100" s="539"/>
      <c r="M100" s="539"/>
      <c r="N100" s="539"/>
    </row>
    <row r="101" spans="1:14" s="391" customFormat="1">
      <c r="A101" s="1131" t="s">
        <v>113</v>
      </c>
      <c r="B101" s="1132"/>
      <c r="C101" s="1132"/>
      <c r="D101" s="1132"/>
      <c r="E101" s="1132"/>
      <c r="F101" s="1132"/>
      <c r="G101" s="1132"/>
      <c r="H101" s="1132"/>
      <c r="I101" s="1132"/>
      <c r="J101" s="1133"/>
      <c r="K101" s="564" t="s">
        <v>70</v>
      </c>
      <c r="L101" s="564" t="s">
        <v>70</v>
      </c>
      <c r="M101" s="564" t="s">
        <v>70</v>
      </c>
      <c r="N101" s="564" t="s">
        <v>70</v>
      </c>
    </row>
    <row r="102" spans="1:14" s="391" customFormat="1">
      <c r="A102" s="1082" t="s">
        <v>114</v>
      </c>
      <c r="B102" s="1083"/>
      <c r="C102" s="1083"/>
      <c r="D102" s="1083"/>
      <c r="E102" s="1083"/>
      <c r="F102" s="1083"/>
      <c r="G102" s="1083"/>
      <c r="H102" s="1083"/>
      <c r="I102" s="1083"/>
      <c r="J102" s="1084"/>
      <c r="K102" s="727">
        <f>K10</f>
        <v>4763.63</v>
      </c>
      <c r="L102" s="727">
        <f>L10</f>
        <v>2808</v>
      </c>
      <c r="M102" s="727">
        <f>M10</f>
        <v>4763.63</v>
      </c>
      <c r="N102" s="727">
        <f>N10</f>
        <v>2160</v>
      </c>
    </row>
    <row r="103" spans="1:14" s="391" customFormat="1">
      <c r="A103" s="1082" t="s">
        <v>115</v>
      </c>
      <c r="B103" s="1083"/>
      <c r="C103" s="1083"/>
      <c r="D103" s="1083"/>
      <c r="E103" s="1083"/>
      <c r="F103" s="1083"/>
      <c r="G103" s="1083"/>
      <c r="H103" s="1083"/>
      <c r="I103" s="1083"/>
      <c r="J103" s="1084"/>
      <c r="K103" s="727">
        <f>K56</f>
        <v>3657.8599999999997</v>
      </c>
      <c r="L103" s="727">
        <f>L56</f>
        <v>2637.9300000000003</v>
      </c>
      <c r="M103" s="727">
        <f>M56</f>
        <v>3519.1486650400002</v>
      </c>
      <c r="N103" s="727">
        <f>N56</f>
        <v>2162.2599999999998</v>
      </c>
    </row>
    <row r="104" spans="1:14" s="391" customFormat="1">
      <c r="A104" s="1082" t="s">
        <v>116</v>
      </c>
      <c r="B104" s="1083"/>
      <c r="C104" s="1083"/>
      <c r="D104" s="1083"/>
      <c r="E104" s="1083"/>
      <c r="F104" s="1083"/>
      <c r="G104" s="1083"/>
      <c r="H104" s="1083"/>
      <c r="I104" s="1083"/>
      <c r="J104" s="1084"/>
      <c r="K104" s="727">
        <f>K67</f>
        <v>347.08000000000004</v>
      </c>
      <c r="L104" s="727">
        <f>L67</f>
        <v>204.6</v>
      </c>
      <c r="M104" s="727">
        <f>M67</f>
        <v>347.08000000000004</v>
      </c>
      <c r="N104" s="727">
        <f>N67</f>
        <v>157.38</v>
      </c>
    </row>
    <row r="105" spans="1:14" s="391" customFormat="1">
      <c r="A105" s="1082" t="s">
        <v>117</v>
      </c>
      <c r="B105" s="1083"/>
      <c r="C105" s="1083"/>
      <c r="D105" s="1083"/>
      <c r="E105" s="1083"/>
      <c r="F105" s="1083"/>
      <c r="G105" s="1083"/>
      <c r="H105" s="1083"/>
      <c r="I105" s="1083"/>
      <c r="J105" s="1084"/>
      <c r="K105" s="727">
        <f t="shared" ref="K105:N105" si="41">K90</f>
        <v>1013.36</v>
      </c>
      <c r="L105" s="727">
        <f t="shared" si="41"/>
        <v>653.02</v>
      </c>
      <c r="M105" s="727">
        <f t="shared" ref="M105" si="42">M90</f>
        <v>997.32999999999993</v>
      </c>
      <c r="N105" s="727">
        <f t="shared" si="41"/>
        <v>517.70000000000005</v>
      </c>
    </row>
    <row r="106" spans="1:14" s="391" customFormat="1">
      <c r="A106" s="1082" t="s">
        <v>118</v>
      </c>
      <c r="B106" s="1083"/>
      <c r="C106" s="1083"/>
      <c r="D106" s="1083"/>
      <c r="E106" s="1083"/>
      <c r="F106" s="1083"/>
      <c r="G106" s="1083"/>
      <c r="H106" s="1083"/>
      <c r="I106" s="1083"/>
      <c r="J106" s="1084"/>
      <c r="K106" s="728">
        <f t="shared" ref="K106:N106" si="43">K99</f>
        <v>532.61</v>
      </c>
      <c r="L106" s="728">
        <f t="shared" si="43"/>
        <v>379.65</v>
      </c>
      <c r="M106" s="728">
        <f t="shared" ref="M106" si="44">M99</f>
        <v>532.61</v>
      </c>
      <c r="N106" s="728">
        <f t="shared" si="43"/>
        <v>379.65</v>
      </c>
    </row>
    <row r="107" spans="1:14" s="391" customFormat="1">
      <c r="A107" s="1122" t="s">
        <v>24</v>
      </c>
      <c r="B107" s="1123"/>
      <c r="C107" s="1123"/>
      <c r="D107" s="1123"/>
      <c r="E107" s="1123"/>
      <c r="F107" s="1123"/>
      <c r="G107" s="1123"/>
      <c r="H107" s="1123"/>
      <c r="I107" s="1123"/>
      <c r="J107" s="411"/>
      <c r="K107" s="729">
        <f t="shared" ref="K107:N107" si="45">SUM(K102:K106)</f>
        <v>10314.540000000001</v>
      </c>
      <c r="L107" s="729">
        <f t="shared" si="45"/>
        <v>6683.2000000000007</v>
      </c>
      <c r="M107" s="729">
        <f t="shared" ref="M107" si="46">SUM(M102:M106)</f>
        <v>10159.798665040002</v>
      </c>
      <c r="N107" s="729">
        <f t="shared" si="45"/>
        <v>5376.99</v>
      </c>
    </row>
    <row r="108" spans="1:14" s="391" customFormat="1" ht="18" customHeight="1">
      <c r="K108" s="539"/>
      <c r="L108" s="539"/>
      <c r="M108" s="539"/>
      <c r="N108" s="539"/>
    </row>
    <row r="109" spans="1:14" s="391" customFormat="1">
      <c r="A109" s="1131" t="s">
        <v>130</v>
      </c>
      <c r="B109" s="1132"/>
      <c r="C109" s="1132"/>
      <c r="D109" s="1132"/>
      <c r="E109" s="1132"/>
      <c r="F109" s="1132"/>
      <c r="G109" s="1132"/>
      <c r="H109" s="1132"/>
      <c r="I109" s="1132"/>
      <c r="J109" s="1133"/>
      <c r="K109" s="1052" t="s">
        <v>70</v>
      </c>
      <c r="L109" s="1052" t="s">
        <v>70</v>
      </c>
      <c r="M109" s="1052" t="s">
        <v>70</v>
      </c>
      <c r="N109" s="1052" t="s">
        <v>70</v>
      </c>
    </row>
    <row r="110" spans="1:14" s="391" customFormat="1">
      <c r="A110" s="1085" t="s">
        <v>121</v>
      </c>
      <c r="B110" s="1086"/>
      <c r="C110" s="1086"/>
      <c r="D110" s="1086"/>
      <c r="E110" s="1086"/>
      <c r="F110" s="1086"/>
      <c r="G110" s="1086"/>
      <c r="H110" s="1086"/>
      <c r="I110" s="1086"/>
      <c r="J110" s="385" t="s">
        <v>120</v>
      </c>
      <c r="K110" s="1053"/>
      <c r="L110" s="1053"/>
      <c r="M110" s="1053"/>
      <c r="N110" s="1053"/>
    </row>
    <row r="111" spans="1:14" s="391" customFormat="1" ht="29.25" customHeight="1">
      <c r="A111" s="389" t="s">
        <v>7</v>
      </c>
      <c r="B111" s="1087" t="s">
        <v>230</v>
      </c>
      <c r="C111" s="1088"/>
      <c r="D111" s="1088"/>
      <c r="E111" s="1088"/>
      <c r="F111" s="1088"/>
      <c r="G111" s="1088"/>
      <c r="H111" s="1088"/>
      <c r="I111" s="1089"/>
      <c r="J111" s="689">
        <f>'Dados do Licitante'!F84</f>
        <v>0.1386</v>
      </c>
      <c r="K111" s="546">
        <f>ROUND($J111*K$107,2)</f>
        <v>1429.6</v>
      </c>
      <c r="L111" s="546">
        <f>ROUND($J111*L$107,2)</f>
        <v>926.29</v>
      </c>
      <c r="M111" s="546">
        <f>ROUND($J111*M$107,2)</f>
        <v>1408.15</v>
      </c>
      <c r="N111" s="546">
        <f>ROUND($J111*N$107,2)</f>
        <v>745.25</v>
      </c>
    </row>
    <row r="112" spans="1:14" s="391" customFormat="1" ht="28.5" customHeight="1">
      <c r="A112" s="389" t="s">
        <v>9</v>
      </c>
      <c r="B112" s="1087" t="s">
        <v>385</v>
      </c>
      <c r="C112" s="1090"/>
      <c r="D112" s="1090"/>
      <c r="E112" s="1090"/>
      <c r="F112" s="1090"/>
      <c r="G112" s="1090"/>
      <c r="H112" s="1090"/>
      <c r="I112" s="1091"/>
      <c r="J112" s="689">
        <f>'Dados do Licitante'!F85</f>
        <v>0.12570000000000001</v>
      </c>
      <c r="K112" s="546">
        <f>ROUND($J112*(K$107+K$111),2)</f>
        <v>1476.24</v>
      </c>
      <c r="L112" s="546">
        <f>ROUND($J112*(L$107+L$111),2)</f>
        <v>956.51</v>
      </c>
      <c r="M112" s="546">
        <f>ROUND($J112*(M$107+M$111),2)</f>
        <v>1454.09</v>
      </c>
      <c r="N112" s="546">
        <f>ROUND($J112*(N$107+N$111),2)</f>
        <v>769.57</v>
      </c>
    </row>
    <row r="113" spans="1:14" s="391" customFormat="1">
      <c r="A113" s="1092" t="s">
        <v>11</v>
      </c>
      <c r="B113" s="1095" t="s">
        <v>122</v>
      </c>
      <c r="C113" s="1096"/>
      <c r="D113" s="1096"/>
      <c r="E113" s="1096"/>
      <c r="F113" s="1096"/>
      <c r="G113" s="1096"/>
      <c r="H113" s="1096"/>
      <c r="I113" s="1097"/>
      <c r="J113" s="689"/>
      <c r="K113" s="547">
        <f>ROUND(($J114+$J115+$J116+K117)/(1-($J114+$J115+$J116+K117))*(K107+K111+K112),2)</f>
        <v>1845.58</v>
      </c>
      <c r="L113" s="547">
        <f t="shared" ref="L113:N113" si="47">ROUND(($J114+$J115+$J116+L117)/(1-($J114+$J115+$J116+L117))*(L107+L111+L112),2)</f>
        <v>1195.82</v>
      </c>
      <c r="M113" s="547">
        <f t="shared" ref="M113" si="48">ROUND(($J114+$J115+$J116+M117)/(1-($J114+$J115+$J116+M117))*(M107+M111+M112),2)</f>
        <v>2164.0100000000002</v>
      </c>
      <c r="N113" s="547">
        <f t="shared" si="47"/>
        <v>1145.29</v>
      </c>
    </row>
    <row r="114" spans="1:14" s="391" customFormat="1">
      <c r="A114" s="1093"/>
      <c r="B114" s="1098" t="s">
        <v>251</v>
      </c>
      <c r="C114" s="1099"/>
      <c r="D114" s="1099"/>
      <c r="E114" s="1100"/>
      <c r="F114" s="395" t="s">
        <v>125</v>
      </c>
      <c r="G114" s="410"/>
      <c r="H114" s="410"/>
      <c r="I114" s="411"/>
      <c r="J114" s="689">
        <f>'Dados do Licitante'!F87</f>
        <v>1.6500000000000001E-2</v>
      </c>
      <c r="K114" s="548">
        <f>ROUND(($J114)*K129,2)</f>
        <v>248.59</v>
      </c>
      <c r="L114" s="548">
        <f>ROUND(($J114)*L129,2)</f>
        <v>161.07</v>
      </c>
      <c r="M114" s="548">
        <f>ROUND(($J114)*M129,2)</f>
        <v>250.57</v>
      </c>
      <c r="N114" s="548">
        <f>ROUND(($J$114)*N129,2)</f>
        <v>132.61000000000001</v>
      </c>
    </row>
    <row r="115" spans="1:14" s="391" customFormat="1">
      <c r="A115" s="1093"/>
      <c r="B115" s="1101"/>
      <c r="C115" s="1102"/>
      <c r="D115" s="1102"/>
      <c r="E115" s="1103"/>
      <c r="F115" s="395" t="s">
        <v>126</v>
      </c>
      <c r="G115" s="410"/>
      <c r="H115" s="410"/>
      <c r="I115" s="411"/>
      <c r="J115" s="689">
        <f>'Dados do Licitante'!F88</f>
        <v>7.5999999999999998E-2</v>
      </c>
      <c r="K115" s="548">
        <f>ROUND(($J115)*K129,2)</f>
        <v>1145.01</v>
      </c>
      <c r="L115" s="548">
        <f>ROUND(($J115)*L129,2)</f>
        <v>741.9</v>
      </c>
      <c r="M115" s="548">
        <f>ROUND(($J115)*M129,2)</f>
        <v>1154.1400000000001</v>
      </c>
      <c r="N115" s="548">
        <f>ROUND(($J$115)*N129,2)</f>
        <v>610.82000000000005</v>
      </c>
    </row>
    <row r="116" spans="1:14" s="391" customFormat="1">
      <c r="A116" s="1094"/>
      <c r="B116" s="1104"/>
      <c r="C116" s="1105"/>
      <c r="D116" s="1105"/>
      <c r="E116" s="1106"/>
      <c r="F116" s="395" t="str">
        <f>'Dados do Licitante'!D89</f>
        <v>Outros, especificar</v>
      </c>
      <c r="G116" s="587"/>
      <c r="H116" s="587"/>
      <c r="I116" s="446"/>
      <c r="J116" s="689">
        <f>'Dados do Licitante'!F89</f>
        <v>0</v>
      </c>
      <c r="K116" s="549">
        <f t="shared" ref="K116:N116" si="49">ROUND($J116*K129,2)</f>
        <v>0</v>
      </c>
      <c r="L116" s="549">
        <f t="shared" si="49"/>
        <v>0</v>
      </c>
      <c r="M116" s="549">
        <f t="shared" ref="M116" si="50">ROUND($J116*M129,2)</f>
        <v>0</v>
      </c>
      <c r="N116" s="549">
        <f t="shared" si="49"/>
        <v>0</v>
      </c>
    </row>
    <row r="117" spans="1:14" s="448" customFormat="1">
      <c r="A117" s="1094"/>
      <c r="B117" s="1098" t="s">
        <v>252</v>
      </c>
      <c r="C117" s="1099"/>
      <c r="D117" s="1099"/>
      <c r="E117" s="1100"/>
      <c r="F117" s="1107" t="s">
        <v>165</v>
      </c>
      <c r="G117" s="1108"/>
      <c r="H117" s="1108"/>
      <c r="I117" s="447"/>
      <c r="J117" s="614" t="s">
        <v>233</v>
      </c>
      <c r="K117" s="550">
        <f>'Dados do Licitante'!D33</f>
        <v>0.03</v>
      </c>
      <c r="L117" s="550">
        <f>'Dados do Licitante'!D33</f>
        <v>0.03</v>
      </c>
      <c r="M117" s="550">
        <f>'Dados do Licitante'!D34</f>
        <v>0.05</v>
      </c>
      <c r="N117" s="550">
        <f>'Dados do Licitante'!D34</f>
        <v>0.05</v>
      </c>
    </row>
    <row r="118" spans="1:14" s="391" customFormat="1">
      <c r="A118" s="1094"/>
      <c r="B118" s="1104"/>
      <c r="C118" s="1105"/>
      <c r="D118" s="1105"/>
      <c r="E118" s="1106"/>
      <c r="F118" s="1109"/>
      <c r="G118" s="1110"/>
      <c r="H118" s="1110"/>
      <c r="I118" s="1111"/>
      <c r="J118" s="1112"/>
      <c r="K118" s="548">
        <f t="shared" ref="K118:N118" si="51">K117*K129</f>
        <v>451.97880000000004</v>
      </c>
      <c r="L118" s="548">
        <f t="shared" si="51"/>
        <v>292.8546</v>
      </c>
      <c r="M118" s="548">
        <f t="shared" si="51"/>
        <v>759.30243325200013</v>
      </c>
      <c r="N118" s="548">
        <f t="shared" si="51"/>
        <v>401.85500000000002</v>
      </c>
    </row>
    <row r="119" spans="1:14" s="391" customFormat="1">
      <c r="A119" s="1077" t="s">
        <v>24</v>
      </c>
      <c r="B119" s="1078"/>
      <c r="C119" s="1078"/>
      <c r="D119" s="1078"/>
      <c r="E119" s="1078"/>
      <c r="F119" s="1078"/>
      <c r="G119" s="1078"/>
      <c r="H119" s="1078"/>
      <c r="I119" s="1078"/>
      <c r="J119" s="444"/>
      <c r="K119" s="551">
        <f>SUM(K111:K113)</f>
        <v>4751.42</v>
      </c>
      <c r="L119" s="551">
        <f t="shared" ref="L119:N119" si="52">SUM(L111:L113)</f>
        <v>3078.62</v>
      </c>
      <c r="M119" s="551">
        <f t="shared" si="52"/>
        <v>5026.25</v>
      </c>
      <c r="N119" s="568">
        <f t="shared" si="52"/>
        <v>2660.11</v>
      </c>
    </row>
    <row r="120" spans="1:14" s="391" customFormat="1" ht="17.25" customHeight="1">
      <c r="K120" s="539"/>
      <c r="L120" s="539"/>
      <c r="M120" s="539"/>
      <c r="N120" s="539"/>
    </row>
    <row r="121" spans="1:14">
      <c r="A121" s="1079" t="s">
        <v>129</v>
      </c>
      <c r="B121" s="1080"/>
      <c r="C121" s="1080"/>
      <c r="D121" s="1080"/>
      <c r="E121" s="1080"/>
      <c r="F121" s="1080"/>
      <c r="G121" s="1080"/>
      <c r="H121" s="1080"/>
      <c r="I121" s="1080"/>
      <c r="J121" s="1081"/>
      <c r="K121" s="564" t="s">
        <v>70</v>
      </c>
      <c r="L121" s="564" t="s">
        <v>70</v>
      </c>
      <c r="M121" s="564" t="s">
        <v>70</v>
      </c>
      <c r="N121" s="586" t="s">
        <v>70</v>
      </c>
    </row>
    <row r="122" spans="1:14">
      <c r="A122" s="1082" t="s">
        <v>114</v>
      </c>
      <c r="B122" s="1083"/>
      <c r="C122" s="1083"/>
      <c r="D122" s="1083"/>
      <c r="E122" s="1083"/>
      <c r="F122" s="1083"/>
      <c r="G122" s="1083"/>
      <c r="H122" s="1083"/>
      <c r="I122" s="1083"/>
      <c r="J122" s="1084"/>
      <c r="K122" s="543">
        <f>K10</f>
        <v>4763.63</v>
      </c>
      <c r="L122" s="543">
        <f>L10</f>
        <v>2808</v>
      </c>
      <c r="M122" s="543">
        <f>M10</f>
        <v>4763.63</v>
      </c>
      <c r="N122" s="588">
        <f>N10</f>
        <v>2160</v>
      </c>
    </row>
    <row r="123" spans="1:14">
      <c r="A123" s="1082" t="s">
        <v>115</v>
      </c>
      <c r="B123" s="1083"/>
      <c r="C123" s="1083"/>
      <c r="D123" s="1083"/>
      <c r="E123" s="1083"/>
      <c r="F123" s="1083"/>
      <c r="G123" s="1083"/>
      <c r="H123" s="1083"/>
      <c r="I123" s="1083"/>
      <c r="J123" s="1084"/>
      <c r="K123" s="543">
        <f>K56</f>
        <v>3657.8599999999997</v>
      </c>
      <c r="L123" s="543">
        <f>L56</f>
        <v>2637.9300000000003</v>
      </c>
      <c r="M123" s="543">
        <f>M56</f>
        <v>3519.1486650400002</v>
      </c>
      <c r="N123" s="588">
        <f>N56</f>
        <v>2162.2599999999998</v>
      </c>
    </row>
    <row r="124" spans="1:14">
      <c r="A124" s="1082" t="s">
        <v>116</v>
      </c>
      <c r="B124" s="1083"/>
      <c r="C124" s="1083"/>
      <c r="D124" s="1083"/>
      <c r="E124" s="1083"/>
      <c r="F124" s="1083"/>
      <c r="G124" s="1083"/>
      <c r="H124" s="1083"/>
      <c r="I124" s="1083"/>
      <c r="J124" s="1084"/>
      <c r="K124" s="543">
        <f>K67</f>
        <v>347.08000000000004</v>
      </c>
      <c r="L124" s="543">
        <f>L67</f>
        <v>204.6</v>
      </c>
      <c r="M124" s="543">
        <f>M67</f>
        <v>347.08000000000004</v>
      </c>
      <c r="N124" s="588">
        <f>N67</f>
        <v>157.38</v>
      </c>
    </row>
    <row r="125" spans="1:14">
      <c r="A125" s="1082" t="s">
        <v>117</v>
      </c>
      <c r="B125" s="1083"/>
      <c r="C125" s="1083"/>
      <c r="D125" s="1083"/>
      <c r="E125" s="1083"/>
      <c r="F125" s="1083"/>
      <c r="G125" s="1083"/>
      <c r="H125" s="1083"/>
      <c r="I125" s="1083"/>
      <c r="J125" s="1084"/>
      <c r="K125" s="543">
        <f t="shared" ref="K125:N125" si="53">K90</f>
        <v>1013.36</v>
      </c>
      <c r="L125" s="543">
        <f t="shared" si="53"/>
        <v>653.02</v>
      </c>
      <c r="M125" s="543">
        <f t="shared" ref="M125" si="54">M90</f>
        <v>997.32999999999993</v>
      </c>
      <c r="N125" s="588">
        <f t="shared" si="53"/>
        <v>517.70000000000005</v>
      </c>
    </row>
    <row r="126" spans="1:14">
      <c r="A126" s="1082" t="s">
        <v>118</v>
      </c>
      <c r="B126" s="1083"/>
      <c r="C126" s="1083"/>
      <c r="D126" s="1083"/>
      <c r="E126" s="1083"/>
      <c r="F126" s="1083"/>
      <c r="G126" s="1083"/>
      <c r="H126" s="1083"/>
      <c r="I126" s="1083"/>
      <c r="J126" s="1084"/>
      <c r="K126" s="543">
        <f t="shared" ref="K126:N126" si="55">K99</f>
        <v>532.61</v>
      </c>
      <c r="L126" s="543">
        <f t="shared" si="55"/>
        <v>379.65</v>
      </c>
      <c r="M126" s="543">
        <f t="shared" ref="M126" si="56">M99</f>
        <v>532.61</v>
      </c>
      <c r="N126" s="588">
        <f t="shared" si="55"/>
        <v>379.65</v>
      </c>
    </row>
    <row r="127" spans="1:14">
      <c r="A127" s="1122" t="s">
        <v>24</v>
      </c>
      <c r="B127" s="1123"/>
      <c r="C127" s="1123"/>
      <c r="D127" s="1123"/>
      <c r="E127" s="1123"/>
      <c r="F127" s="1123"/>
      <c r="G127" s="1123"/>
      <c r="H127" s="1123"/>
      <c r="I127" s="1123"/>
      <c r="J127" s="411"/>
      <c r="K127" s="543">
        <f t="shared" ref="K127:N127" si="57">SUM(K122:K126)</f>
        <v>10314.540000000001</v>
      </c>
      <c r="L127" s="543">
        <f t="shared" si="57"/>
        <v>6683.2000000000007</v>
      </c>
      <c r="M127" s="543">
        <f t="shared" ref="M127" si="58">SUM(M122:M126)</f>
        <v>10159.798665040002</v>
      </c>
      <c r="N127" s="588">
        <f t="shared" si="57"/>
        <v>5376.99</v>
      </c>
    </row>
    <row r="128" spans="1:14">
      <c r="A128" s="1082" t="s">
        <v>130</v>
      </c>
      <c r="B128" s="1083"/>
      <c r="C128" s="1083"/>
      <c r="D128" s="1083"/>
      <c r="E128" s="1083"/>
      <c r="F128" s="1083"/>
      <c r="G128" s="1083"/>
      <c r="H128" s="1083"/>
      <c r="I128" s="1083"/>
      <c r="J128" s="1084"/>
      <c r="K128" s="543">
        <f>K119</f>
        <v>4751.42</v>
      </c>
      <c r="L128" s="543">
        <f t="shared" ref="L128:N128" si="59">L119</f>
        <v>3078.62</v>
      </c>
      <c r="M128" s="543">
        <f t="shared" ref="M128" si="60">M119</f>
        <v>5026.25</v>
      </c>
      <c r="N128" s="588">
        <f t="shared" si="59"/>
        <v>2660.11</v>
      </c>
    </row>
    <row r="129" spans="1:14">
      <c r="A129" s="1124" t="s">
        <v>383</v>
      </c>
      <c r="B129" s="1125"/>
      <c r="C129" s="1125"/>
      <c r="D129" s="1125"/>
      <c r="E129" s="1125"/>
      <c r="F129" s="1125"/>
      <c r="G129" s="1125"/>
      <c r="H129" s="1125"/>
      <c r="I129" s="1125"/>
      <c r="J129" s="1126"/>
      <c r="K129" s="730">
        <f t="shared" ref="K129:N129" si="61">K127+K128</f>
        <v>15065.960000000001</v>
      </c>
      <c r="L129" s="730">
        <f t="shared" si="61"/>
        <v>9761.82</v>
      </c>
      <c r="M129" s="730">
        <f t="shared" si="61"/>
        <v>15186.048665040002</v>
      </c>
      <c r="N129" s="731">
        <f t="shared" si="61"/>
        <v>8037.1</v>
      </c>
    </row>
    <row r="130" spans="1:14" s="391" customFormat="1" ht="13.5" customHeight="1">
      <c r="A130" s="1076"/>
      <c r="B130" s="1076"/>
      <c r="C130" s="1076"/>
      <c r="D130" s="1076"/>
      <c r="E130" s="1076"/>
      <c r="F130" s="1076"/>
      <c r="G130" s="1076"/>
      <c r="H130" s="1076"/>
      <c r="I130" s="1076"/>
      <c r="J130" s="1076"/>
      <c r="K130" s="539"/>
      <c r="L130" s="539"/>
      <c r="M130" s="539"/>
      <c r="N130" s="539"/>
    </row>
    <row r="131" spans="1:14">
      <c r="A131" s="1127" t="s">
        <v>131</v>
      </c>
      <c r="B131" s="1127"/>
      <c r="C131" s="1127"/>
      <c r="D131" s="1127"/>
      <c r="E131" s="1127"/>
      <c r="F131" s="1127"/>
      <c r="G131" s="1127"/>
      <c r="H131" s="1127"/>
      <c r="I131" s="1127"/>
      <c r="J131" s="1127"/>
      <c r="K131" s="552">
        <v>0</v>
      </c>
      <c r="L131" s="552">
        <v>0</v>
      </c>
      <c r="M131" s="552"/>
      <c r="N131" s="570">
        <v>0</v>
      </c>
    </row>
    <row r="132" spans="1:14" s="449" customFormat="1" ht="50.25" customHeight="1">
      <c r="A132" s="1129" t="s">
        <v>479</v>
      </c>
      <c r="B132" s="1129"/>
      <c r="C132" s="1129"/>
      <c r="D132" s="1129"/>
      <c r="E132" s="1129"/>
      <c r="F132" s="1129"/>
      <c r="G132" s="1129"/>
      <c r="H132" s="1129"/>
      <c r="I132" s="1129"/>
      <c r="J132" s="1129"/>
      <c r="K132" s="1129"/>
      <c r="L132" s="1129"/>
      <c r="M132" s="1129"/>
      <c r="N132" s="1129"/>
    </row>
    <row r="133" spans="1:14">
      <c r="A133" s="1128" t="s">
        <v>253</v>
      </c>
      <c r="B133" s="1128"/>
      <c r="C133" s="1128"/>
      <c r="D133" s="1128"/>
      <c r="E133" s="1128"/>
      <c r="F133" s="1128"/>
      <c r="G133" s="1128"/>
      <c r="H133" s="1128"/>
      <c r="I133" s="1128"/>
      <c r="J133" s="1128"/>
      <c r="K133" s="564" t="s">
        <v>70</v>
      </c>
      <c r="L133" s="564" t="s">
        <v>70</v>
      </c>
      <c r="M133" s="564" t="s">
        <v>70</v>
      </c>
      <c r="N133" s="586" t="s">
        <v>70</v>
      </c>
    </row>
    <row r="134" spans="1:14" ht="24.75" customHeight="1">
      <c r="A134" s="1113" t="s">
        <v>480</v>
      </c>
      <c r="B134" s="1114"/>
      <c r="C134" s="1114"/>
      <c r="D134" s="1114"/>
      <c r="E134" s="1114"/>
      <c r="F134" s="1114"/>
      <c r="G134" s="1114"/>
      <c r="H134" s="1114"/>
      <c r="I134" s="1114"/>
      <c r="J134" s="1115"/>
      <c r="K134" s="552">
        <f t="shared" ref="K134:N134" si="62">ROUND((K135+K136+K138),2)</f>
        <v>1273.3399999999999</v>
      </c>
      <c r="L134" s="552">
        <f t="shared" si="62"/>
        <v>750.6</v>
      </c>
      <c r="M134" s="552">
        <f t="shared" ref="M134" si="63">ROUND((M135+M136+M138),2)</f>
        <v>1273.3399999999999</v>
      </c>
      <c r="N134" s="569">
        <f t="shared" si="62"/>
        <v>577.38</v>
      </c>
    </row>
    <row r="135" spans="1:14" ht="12" customHeight="1">
      <c r="A135" s="1116" t="s">
        <v>400</v>
      </c>
      <c r="B135" s="1117"/>
      <c r="C135" s="1117"/>
      <c r="D135" s="1117"/>
      <c r="E135" s="1117"/>
      <c r="F135" s="1117"/>
      <c r="G135" s="1117"/>
      <c r="H135" s="1117"/>
      <c r="I135" s="1117"/>
      <c r="J135" s="1118"/>
      <c r="K135" s="553">
        <f>ROUND(K14,2)</f>
        <v>396.97</v>
      </c>
      <c r="L135" s="553">
        <f>ROUND(L14,2)</f>
        <v>234</v>
      </c>
      <c r="M135" s="553">
        <f>ROUND(M14,2)</f>
        <v>396.97</v>
      </c>
      <c r="N135" s="570">
        <f>ROUND(N14,2)</f>
        <v>180</v>
      </c>
    </row>
    <row r="136" spans="1:14" ht="12" customHeight="1">
      <c r="A136" s="1116" t="s">
        <v>401</v>
      </c>
      <c r="B136" s="1117"/>
      <c r="C136" s="1117"/>
      <c r="D136" s="1117"/>
      <c r="E136" s="1117"/>
      <c r="F136" s="1117"/>
      <c r="G136" s="1117"/>
      <c r="H136" s="1117"/>
      <c r="I136" s="1117"/>
      <c r="J136" s="1118"/>
      <c r="K136" s="553">
        <f>ROUND(K16,2)</f>
        <v>529.29</v>
      </c>
      <c r="L136" s="553">
        <f>ROUND(L16,2)</f>
        <v>312</v>
      </c>
      <c r="M136" s="553">
        <f>ROUND(M16,2)</f>
        <v>529.29</v>
      </c>
      <c r="N136" s="570">
        <f>ROUND(N16,2)</f>
        <v>240</v>
      </c>
    </row>
    <row r="137" spans="1:14" ht="12" customHeight="1">
      <c r="A137" s="1119" t="s">
        <v>402</v>
      </c>
      <c r="B137" s="1120"/>
      <c r="C137" s="1120"/>
      <c r="D137" s="1120"/>
      <c r="E137" s="1120"/>
      <c r="F137" s="1120"/>
      <c r="G137" s="1120"/>
      <c r="H137" s="1120"/>
      <c r="I137" s="1120"/>
      <c r="J137" s="1121"/>
      <c r="K137" s="554">
        <f>SUM(K135:K136)*$J$29</f>
        <v>340.86368000000004</v>
      </c>
      <c r="L137" s="554">
        <f>SUM(L135:L136)*$J$29</f>
        <v>200.92800000000003</v>
      </c>
      <c r="M137" s="554">
        <f>SUM(M135:M136)*$J$29</f>
        <v>340.86368000000004</v>
      </c>
      <c r="N137" s="571">
        <f>SUM(N135:N136)*$J$29</f>
        <v>154.56000000000003</v>
      </c>
    </row>
    <row r="138" spans="1:14" ht="12" customHeight="1">
      <c r="A138" s="1116" t="s">
        <v>403</v>
      </c>
      <c r="B138" s="1117"/>
      <c r="C138" s="1117"/>
      <c r="D138" s="1117"/>
      <c r="E138" s="1117"/>
      <c r="F138" s="1117"/>
      <c r="G138" s="1117"/>
      <c r="H138" s="1117"/>
      <c r="I138" s="1117"/>
      <c r="J138" s="1118"/>
      <c r="K138" s="553">
        <f>ROUND(K67,2)</f>
        <v>347.08</v>
      </c>
      <c r="L138" s="553">
        <f>ROUND(L67,2)</f>
        <v>204.6</v>
      </c>
      <c r="M138" s="553">
        <f>ROUND(M67,2)</f>
        <v>347.08</v>
      </c>
      <c r="N138" s="570">
        <f>ROUND(N67,2)</f>
        <v>157.38</v>
      </c>
    </row>
    <row r="139" spans="1:14" s="449" customFormat="1" ht="24.75" customHeight="1">
      <c r="A139" s="556" t="s">
        <v>404</v>
      </c>
      <c r="B139" s="556"/>
      <c r="C139" s="556"/>
      <c r="D139" s="556"/>
      <c r="E139" s="556"/>
      <c r="F139" s="556"/>
      <c r="G139" s="556"/>
      <c r="H139" s="556"/>
      <c r="I139" s="556"/>
      <c r="J139" s="556"/>
      <c r="K139" s="572"/>
      <c r="L139" s="572"/>
      <c r="M139" s="572"/>
      <c r="N139" s="572"/>
    </row>
    <row r="140" spans="1:14" s="557" customFormat="1">
      <c r="I140" s="558"/>
      <c r="K140" s="573"/>
      <c r="L140" s="573"/>
      <c r="M140" s="573"/>
      <c r="N140" s="573"/>
    </row>
  </sheetData>
  <mergeCells count="196">
    <mergeCell ref="A32:I32"/>
    <mergeCell ref="A33:D34"/>
    <mergeCell ref="E33:H33"/>
    <mergeCell ref="J33:J34"/>
    <mergeCell ref="A2:J2"/>
    <mergeCell ref="B8:J8"/>
    <mergeCell ref="B9:J9"/>
    <mergeCell ref="E34:H34"/>
    <mergeCell ref="A10:J10"/>
    <mergeCell ref="A12:J12"/>
    <mergeCell ref="A3:J3"/>
    <mergeCell ref="A5:J5"/>
    <mergeCell ref="A7:J7"/>
    <mergeCell ref="A13:I13"/>
    <mergeCell ref="A4:J4"/>
    <mergeCell ref="A45:D46"/>
    <mergeCell ref="E45:H45"/>
    <mergeCell ref="J45:J46"/>
    <mergeCell ref="E46:H46"/>
    <mergeCell ref="E38:H38"/>
    <mergeCell ref="E35:H35"/>
    <mergeCell ref="J35:J36"/>
    <mergeCell ref="E36:H36"/>
    <mergeCell ref="B14:I14"/>
    <mergeCell ref="B15:I15"/>
    <mergeCell ref="A16:I16"/>
    <mergeCell ref="A18:J18"/>
    <mergeCell ref="B20:I20"/>
    <mergeCell ref="B21:I21"/>
    <mergeCell ref="A22:A23"/>
    <mergeCell ref="B22:C23"/>
    <mergeCell ref="J22:J23"/>
    <mergeCell ref="A29:I29"/>
    <mergeCell ref="A31:J31"/>
    <mergeCell ref="B24:I24"/>
    <mergeCell ref="B25:I25"/>
    <mergeCell ref="B26:I26"/>
    <mergeCell ref="B27:I27"/>
    <mergeCell ref="B28:I28"/>
    <mergeCell ref="A35:D36"/>
    <mergeCell ref="B65:H65"/>
    <mergeCell ref="A67:I67"/>
    <mergeCell ref="A69:I69"/>
    <mergeCell ref="A53:J53"/>
    <mergeCell ref="A54:J54"/>
    <mergeCell ref="A55:J55"/>
    <mergeCell ref="A56:I56"/>
    <mergeCell ref="A58:I58"/>
    <mergeCell ref="B61:H61"/>
    <mergeCell ref="B62:H62"/>
    <mergeCell ref="B63:H63"/>
    <mergeCell ref="A37:D38"/>
    <mergeCell ref="E37:H37"/>
    <mergeCell ref="J37:J38"/>
    <mergeCell ref="F47:I47"/>
    <mergeCell ref="A49:I49"/>
    <mergeCell ref="A51:J51"/>
    <mergeCell ref="A52:J52"/>
    <mergeCell ref="C42:E42"/>
    <mergeCell ref="C44:E44"/>
    <mergeCell ref="G44:H44"/>
    <mergeCell ref="J43:J44"/>
    <mergeCell ref="J39:J41"/>
    <mergeCell ref="A77:I77"/>
    <mergeCell ref="B78:I78"/>
    <mergeCell ref="B79:I79"/>
    <mergeCell ref="A83:I83"/>
    <mergeCell ref="A70:J70"/>
    <mergeCell ref="A71:J71"/>
    <mergeCell ref="A72:J72"/>
    <mergeCell ref="A73:I73"/>
    <mergeCell ref="A75:J75"/>
    <mergeCell ref="A76:I76"/>
    <mergeCell ref="B84:I84"/>
    <mergeCell ref="A86:I86"/>
    <mergeCell ref="A88:I88"/>
    <mergeCell ref="A89:I89"/>
    <mergeCell ref="A90:I90"/>
    <mergeCell ref="A92:J92"/>
    <mergeCell ref="A87:I87"/>
    <mergeCell ref="A93:I93"/>
    <mergeCell ref="A80:I80"/>
    <mergeCell ref="A82:I82"/>
    <mergeCell ref="B94:I94"/>
    <mergeCell ref="B96:I96"/>
    <mergeCell ref="B97:I97"/>
    <mergeCell ref="A105:J105"/>
    <mergeCell ref="A106:J106"/>
    <mergeCell ref="A107:I107"/>
    <mergeCell ref="A109:J109"/>
    <mergeCell ref="B98:I98"/>
    <mergeCell ref="A99:I99"/>
    <mergeCell ref="A101:J101"/>
    <mergeCell ref="A102:J102"/>
    <mergeCell ref="A103:J103"/>
    <mergeCell ref="A104:J104"/>
    <mergeCell ref="A134:J134"/>
    <mergeCell ref="A135:J135"/>
    <mergeCell ref="A136:J136"/>
    <mergeCell ref="A137:J137"/>
    <mergeCell ref="A138:J138"/>
    <mergeCell ref="A126:J126"/>
    <mergeCell ref="A127:I127"/>
    <mergeCell ref="A128:J128"/>
    <mergeCell ref="A129:J129"/>
    <mergeCell ref="A131:J131"/>
    <mergeCell ref="A133:J133"/>
    <mergeCell ref="A132:N132"/>
    <mergeCell ref="K18:K19"/>
    <mergeCell ref="L18:L19"/>
    <mergeCell ref="N18:N19"/>
    <mergeCell ref="K12:K13"/>
    <mergeCell ref="L12:L13"/>
    <mergeCell ref="N12:N13"/>
    <mergeCell ref="A130:J130"/>
    <mergeCell ref="A119:I119"/>
    <mergeCell ref="A121:J121"/>
    <mergeCell ref="A122:J122"/>
    <mergeCell ref="A123:J123"/>
    <mergeCell ref="A124:J124"/>
    <mergeCell ref="A125:J125"/>
    <mergeCell ref="A110:I110"/>
    <mergeCell ref="B111:I111"/>
    <mergeCell ref="B112:I112"/>
    <mergeCell ref="A113:A118"/>
    <mergeCell ref="B113:I113"/>
    <mergeCell ref="B114:E116"/>
    <mergeCell ref="B117:E118"/>
    <mergeCell ref="F117:H118"/>
    <mergeCell ref="I118:J118"/>
    <mergeCell ref="K33:K34"/>
    <mergeCell ref="L33:L34"/>
    <mergeCell ref="K31:K32"/>
    <mergeCell ref="L31:L32"/>
    <mergeCell ref="N31:N32"/>
    <mergeCell ref="K22:K23"/>
    <mergeCell ref="L22:L23"/>
    <mergeCell ref="N22:N23"/>
    <mergeCell ref="K37:K38"/>
    <mergeCell ref="L37:L38"/>
    <mergeCell ref="N37:N38"/>
    <mergeCell ref="K35:K36"/>
    <mergeCell ref="L35:L36"/>
    <mergeCell ref="N35:N36"/>
    <mergeCell ref="K82:K83"/>
    <mergeCell ref="L82:L83"/>
    <mergeCell ref="N82:N83"/>
    <mergeCell ref="K45:K46"/>
    <mergeCell ref="L45:L46"/>
    <mergeCell ref="N45:N46"/>
    <mergeCell ref="K76:K77"/>
    <mergeCell ref="L76:L77"/>
    <mergeCell ref="N76:N77"/>
    <mergeCell ref="K51:K52"/>
    <mergeCell ref="L51:L52"/>
    <mergeCell ref="N51:N52"/>
    <mergeCell ref="M45:M46"/>
    <mergeCell ref="M51:M52"/>
    <mergeCell ref="M76:M77"/>
    <mergeCell ref="M82:M83"/>
    <mergeCell ref="K109:K110"/>
    <mergeCell ref="L109:L110"/>
    <mergeCell ref="N109:N110"/>
    <mergeCell ref="K92:K93"/>
    <mergeCell ref="L92:L93"/>
    <mergeCell ref="N92:N93"/>
    <mergeCell ref="K86:K87"/>
    <mergeCell ref="L86:L87"/>
    <mergeCell ref="N86:N87"/>
    <mergeCell ref="M86:M87"/>
    <mergeCell ref="M92:M93"/>
    <mergeCell ref="M109:M110"/>
    <mergeCell ref="C43:E43"/>
    <mergeCell ref="A42:B44"/>
    <mergeCell ref="G42:H43"/>
    <mergeCell ref="K42:K44"/>
    <mergeCell ref="L42:L44"/>
    <mergeCell ref="M42:M44"/>
    <mergeCell ref="N42:N44"/>
    <mergeCell ref="M12:M13"/>
    <mergeCell ref="M18:M19"/>
    <mergeCell ref="M22:M23"/>
    <mergeCell ref="M31:M32"/>
    <mergeCell ref="M33:M34"/>
    <mergeCell ref="M35:M36"/>
    <mergeCell ref="M37:M38"/>
    <mergeCell ref="M39:M41"/>
    <mergeCell ref="K39:K41"/>
    <mergeCell ref="L39:L41"/>
    <mergeCell ref="N39:N41"/>
    <mergeCell ref="A39:B41"/>
    <mergeCell ref="C39:E39"/>
    <mergeCell ref="C41:E41"/>
    <mergeCell ref="G39:H41"/>
    <mergeCell ref="C40:E40"/>
    <mergeCell ref="N33:N34"/>
  </mergeCells>
  <conditionalFormatting sqref="K5:N5">
    <cfRule type="cellIs" dxfId="1" priority="1" operator="equal">
      <formula>"0%"</formula>
    </cfRule>
    <cfRule type="cellIs" dxfId="0" priority="2" operator="equal">
      <formula>"30%"</formula>
    </cfRule>
  </conditionalFormatting>
  <pageMargins left="0.55118110236220474" right="0.31496062992125984" top="0.78740157480314965" bottom="0.78740157480314965" header="0.31496062992125984" footer="0.31496062992125984"/>
  <pageSetup paperSize="9" scale="83" fitToHeight="8" orientation="portrait" r:id="rId1"/>
  <rowBreaks count="2" manualBreakCount="2">
    <brk id="95" max="13" man="1"/>
    <brk id="118" max="1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1413BA-8806-400E-940A-28146308AD6D}">
  <sheetPr codeName="Planilha8">
    <pageSetUpPr fitToPage="1"/>
  </sheetPr>
  <dimension ref="A1:Q39"/>
  <sheetViews>
    <sheetView showGridLines="0" topLeftCell="A7" zoomScaleNormal="100" workbookViewId="0">
      <selection activeCell="F22" sqref="F22"/>
    </sheetView>
  </sheetViews>
  <sheetFormatPr defaultColWidth="9" defaultRowHeight="12"/>
  <cols>
    <col min="1" max="1" width="6.75" style="657" customWidth="1"/>
    <col min="2" max="2" width="7.125" style="657" customWidth="1"/>
    <col min="3" max="3" width="58.375" style="657" customWidth="1"/>
    <col min="4" max="4" width="13.25" style="657" customWidth="1"/>
    <col min="5" max="5" width="11" style="657" customWidth="1"/>
    <col min="6" max="6" width="13.125" style="657" bestFit="1" customWidth="1"/>
    <col min="7" max="7" width="15" style="657" customWidth="1"/>
    <col min="8" max="8" width="14" style="657" customWidth="1"/>
    <col min="9" max="9" width="12.25" style="657" bestFit="1" customWidth="1"/>
    <col min="10" max="10" width="13.875" style="657" bestFit="1" customWidth="1"/>
    <col min="11" max="11" width="11.875" style="657" bestFit="1" customWidth="1"/>
    <col min="12" max="12" width="13" style="657" bestFit="1" customWidth="1"/>
    <col min="13" max="14" width="13" style="657" customWidth="1"/>
    <col min="15" max="15" width="15.875" style="657" bestFit="1" customWidth="1"/>
    <col min="16" max="16" width="15.75" style="657" bestFit="1" customWidth="1"/>
    <col min="17" max="17" width="12.75" style="657" bestFit="1" customWidth="1"/>
    <col min="18" max="16384" width="9" style="657"/>
  </cols>
  <sheetData>
    <row r="1" spans="1:11" ht="52.5" customHeight="1">
      <c r="A1" s="1198" t="s">
        <v>532</v>
      </c>
      <c r="B1" s="1198"/>
      <c r="C1" s="1198"/>
      <c r="D1" s="1198"/>
      <c r="E1" s="1198"/>
      <c r="F1" s="1198"/>
      <c r="G1" s="1198"/>
      <c r="H1" s="1198"/>
    </row>
    <row r="2" spans="1:11">
      <c r="A2" s="848"/>
      <c r="B2" s="848"/>
      <c r="C2" s="848"/>
      <c r="D2" s="848"/>
      <c r="E2" s="848"/>
      <c r="F2" s="848"/>
      <c r="G2" s="849"/>
    </row>
    <row r="3" spans="1:11" ht="34.5" customHeight="1">
      <c r="A3" s="1205" t="s">
        <v>528</v>
      </c>
      <c r="B3" s="1206"/>
      <c r="C3" s="850"/>
      <c r="D3" s="851"/>
      <c r="E3" s="852"/>
      <c r="F3" s="853" t="s">
        <v>1014</v>
      </c>
      <c r="G3" s="1195"/>
      <c r="H3" s="1195"/>
    </row>
    <row r="4" spans="1:11" ht="34.5" customHeight="1">
      <c r="A4" s="1207" t="s">
        <v>476</v>
      </c>
      <c r="B4" s="1208"/>
      <c r="C4" s="854"/>
      <c r="D4" s="855"/>
      <c r="E4" s="856"/>
      <c r="F4" s="857" t="s">
        <v>529</v>
      </c>
      <c r="G4" s="1196"/>
      <c r="H4" s="1197"/>
    </row>
    <row r="5" spans="1:11" ht="14.45" customHeight="1">
      <c r="A5" s="1199" t="s">
        <v>43</v>
      </c>
      <c r="B5" s="1200"/>
      <c r="C5" s="1194" t="s">
        <v>531</v>
      </c>
      <c r="D5" s="1194"/>
      <c r="E5" s="1194"/>
      <c r="F5" s="1194"/>
      <c r="G5" s="1194"/>
      <c r="H5" s="1194"/>
    </row>
    <row r="6" spans="1:11" ht="14.45" customHeight="1">
      <c r="A6" s="1201"/>
      <c r="B6" s="1202"/>
      <c r="C6" s="1194"/>
      <c r="D6" s="1194"/>
      <c r="E6" s="1194"/>
      <c r="F6" s="1194"/>
      <c r="G6" s="1194"/>
      <c r="H6" s="1194"/>
    </row>
    <row r="7" spans="1:11" ht="14.45" customHeight="1">
      <c r="A7" s="1203"/>
      <c r="B7" s="1204"/>
      <c r="C7" s="1194"/>
      <c r="D7" s="1194"/>
      <c r="E7" s="1194"/>
      <c r="F7" s="1194"/>
      <c r="G7" s="1194"/>
      <c r="H7" s="1194"/>
    </row>
    <row r="9" spans="1:11">
      <c r="A9" s="657" t="s">
        <v>530</v>
      </c>
    </row>
    <row r="11" spans="1:11" ht="9.75" customHeight="1"/>
    <row r="12" spans="1:11" ht="21" customHeight="1">
      <c r="A12" s="858" t="s">
        <v>532</v>
      </c>
      <c r="B12" s="859"/>
      <c r="C12" s="859"/>
      <c r="D12" s="859"/>
      <c r="E12" s="859"/>
      <c r="F12" s="859"/>
      <c r="G12" s="860"/>
      <c r="H12" s="860"/>
      <c r="K12" s="861"/>
    </row>
    <row r="13" spans="1:11" ht="7.5" customHeight="1">
      <c r="K13" s="861"/>
    </row>
    <row r="14" spans="1:11" ht="30" customHeight="1">
      <c r="A14" s="862" t="s">
        <v>469</v>
      </c>
      <c r="B14" s="862" t="s">
        <v>440</v>
      </c>
      <c r="C14" s="862" t="s">
        <v>407</v>
      </c>
      <c r="D14" s="862" t="s">
        <v>521</v>
      </c>
      <c r="E14" s="862" t="s">
        <v>138</v>
      </c>
      <c r="F14" s="862" t="s">
        <v>470</v>
      </c>
      <c r="G14" s="862" t="s">
        <v>1002</v>
      </c>
      <c r="H14" s="862" t="s">
        <v>1003</v>
      </c>
      <c r="K14" s="861"/>
    </row>
    <row r="15" spans="1:11">
      <c r="A15" s="1214">
        <v>1</v>
      </c>
      <c r="B15" s="1210">
        <v>1</v>
      </c>
      <c r="C15" s="1211" t="s">
        <v>1015</v>
      </c>
      <c r="D15" s="863" t="s">
        <v>62</v>
      </c>
      <c r="E15" s="864" t="s">
        <v>992</v>
      </c>
      <c r="F15" s="865">
        <f>'Postos Fixos'!K129+'Postos Fixos'!L129</f>
        <v>24827.78</v>
      </c>
      <c r="G15" s="866">
        <f>F15*12</f>
        <v>297933.36</v>
      </c>
      <c r="H15" s="866">
        <f>F15*60</f>
        <v>1489666.7999999998</v>
      </c>
      <c r="K15" s="861"/>
    </row>
    <row r="16" spans="1:11">
      <c r="A16" s="1214"/>
      <c r="B16" s="1210"/>
      <c r="C16" s="1211"/>
      <c r="D16" s="863" t="s">
        <v>0</v>
      </c>
      <c r="E16" s="864" t="s">
        <v>992</v>
      </c>
      <c r="F16" s="865">
        <f>'Postos Fixos'!N129</f>
        <v>8037.1</v>
      </c>
      <c r="G16" s="866">
        <f>F16*12</f>
        <v>96445.200000000012</v>
      </c>
      <c r="H16" s="866">
        <f t="shared" ref="H16:H22" si="0">F16*60</f>
        <v>482226</v>
      </c>
    </row>
    <row r="17" spans="1:17" ht="32.450000000000003" customHeight="1">
      <c r="A17" s="1214"/>
      <c r="B17" s="1210"/>
      <c r="C17" s="1211"/>
      <c r="D17" s="867" t="s">
        <v>173</v>
      </c>
      <c r="E17" s="868" t="s">
        <v>992</v>
      </c>
      <c r="F17" s="869">
        <f>SUM(F15:F16)</f>
        <v>32864.879999999997</v>
      </c>
      <c r="G17" s="870">
        <f>SUM(G15:G16)</f>
        <v>394378.56</v>
      </c>
      <c r="H17" s="871">
        <f>SUM(H15:H16)</f>
        <v>1971892.7999999998</v>
      </c>
    </row>
    <row r="18" spans="1:17">
      <c r="A18" s="1214"/>
      <c r="B18" s="1212">
        <v>2</v>
      </c>
      <c r="C18" s="1213" t="s">
        <v>1016</v>
      </c>
      <c r="D18" s="872" t="s">
        <v>62</v>
      </c>
      <c r="E18" s="873" t="s">
        <v>992</v>
      </c>
      <c r="F18" s="874">
        <f>'Hora Homem'!F4</f>
        <v>24800</v>
      </c>
      <c r="G18" s="875">
        <f t="shared" ref="G18:G19" si="1">F18*12</f>
        <v>297600</v>
      </c>
      <c r="H18" s="875">
        <f t="shared" si="0"/>
        <v>1488000</v>
      </c>
    </row>
    <row r="19" spans="1:17">
      <c r="A19" s="1214"/>
      <c r="B19" s="1212"/>
      <c r="C19" s="1213"/>
      <c r="D19" s="872" t="s">
        <v>0</v>
      </c>
      <c r="E19" s="876" t="s">
        <v>992</v>
      </c>
      <c r="F19" s="874">
        <f>'Hora Homem'!F5</f>
        <v>31000</v>
      </c>
      <c r="G19" s="875">
        <f t="shared" si="1"/>
        <v>372000</v>
      </c>
      <c r="H19" s="875">
        <f t="shared" si="0"/>
        <v>1860000</v>
      </c>
    </row>
    <row r="20" spans="1:17" ht="76.150000000000006" customHeight="1">
      <c r="A20" s="1214"/>
      <c r="B20" s="1212"/>
      <c r="C20" s="1213"/>
      <c r="D20" s="877" t="s">
        <v>173</v>
      </c>
      <c r="E20" s="878" t="s">
        <v>992</v>
      </c>
      <c r="F20" s="879">
        <f>SUM(F18:F19)</f>
        <v>55800</v>
      </c>
      <c r="G20" s="880">
        <f>SUM(G18:G19)</f>
        <v>669600</v>
      </c>
      <c r="H20" s="880">
        <f>SUM(H18:H19)</f>
        <v>3348000</v>
      </c>
    </row>
    <row r="21" spans="1:17" ht="15" customHeight="1">
      <c r="A21" s="1214"/>
      <c r="B21" s="1215">
        <v>3</v>
      </c>
      <c r="C21" s="1218" t="s">
        <v>1017</v>
      </c>
      <c r="D21" s="863" t="s">
        <v>62</v>
      </c>
      <c r="E21" s="881" t="s">
        <v>992</v>
      </c>
      <c r="F21" s="882">
        <f>ROUND(G21/12,2)</f>
        <v>44112.47</v>
      </c>
      <c r="G21" s="882">
        <f>'Peças e Materiais de Consumo'!F3</f>
        <v>529349.64</v>
      </c>
      <c r="H21" s="882">
        <f t="shared" si="0"/>
        <v>2646748.2000000002</v>
      </c>
      <c r="J21" s="883"/>
      <c r="K21" s="861"/>
    </row>
    <row r="22" spans="1:17">
      <c r="A22" s="1214"/>
      <c r="B22" s="1216"/>
      <c r="C22" s="1218"/>
      <c r="D22" s="863" t="s">
        <v>0</v>
      </c>
      <c r="E22" s="881" t="s">
        <v>992</v>
      </c>
      <c r="F22" s="882">
        <f>ROUND(G22/12,2)</f>
        <v>28670.02</v>
      </c>
      <c r="G22" s="882">
        <f>'Peças e Materiais de Consumo'!F4</f>
        <v>344040.18</v>
      </c>
      <c r="H22" s="882">
        <f t="shared" si="0"/>
        <v>1720201.2</v>
      </c>
      <c r="K22" s="861"/>
    </row>
    <row r="23" spans="1:17" ht="49.9" customHeight="1">
      <c r="A23" s="1214"/>
      <c r="B23" s="1217"/>
      <c r="C23" s="1218"/>
      <c r="D23" s="867" t="s">
        <v>173</v>
      </c>
      <c r="E23" s="884" t="s">
        <v>992</v>
      </c>
      <c r="F23" s="885">
        <f>SUM(F21:F22)</f>
        <v>72782.490000000005</v>
      </c>
      <c r="G23" s="885">
        <f t="shared" ref="G23" si="2">SUM(G21:G22)</f>
        <v>873389.82000000007</v>
      </c>
      <c r="H23" s="885">
        <f t="shared" ref="H23" si="3">SUM(H21:H22)</f>
        <v>4366949.4000000004</v>
      </c>
      <c r="K23" s="861"/>
    </row>
    <row r="24" spans="1:17" s="892" customFormat="1">
      <c r="A24" s="886" t="s">
        <v>24</v>
      </c>
      <c r="B24" s="887"/>
      <c r="C24" s="887"/>
      <c r="D24" s="888"/>
      <c r="E24" s="889"/>
      <c r="F24" s="890">
        <f>F17+F20+F23</f>
        <v>161447.37</v>
      </c>
      <c r="G24" s="891">
        <f t="shared" ref="G24:H24" si="4">G17+G20+G23</f>
        <v>1937368.3800000001</v>
      </c>
      <c r="H24" s="891">
        <f t="shared" si="4"/>
        <v>9686842.1999999993</v>
      </c>
      <c r="J24" s="893"/>
      <c r="K24" s="894"/>
      <c r="L24" s="895"/>
    </row>
    <row r="25" spans="1:17">
      <c r="F25" s="896"/>
      <c r="G25" s="883"/>
    </row>
    <row r="26" spans="1:17">
      <c r="F26" s="896"/>
      <c r="G26" s="883"/>
    </row>
    <row r="27" spans="1:17">
      <c r="A27" s="897" t="s">
        <v>571</v>
      </c>
      <c r="B27" s="897"/>
      <c r="C27" s="897"/>
      <c r="F27" s="898"/>
      <c r="G27" s="898"/>
    </row>
    <row r="29" spans="1:17" ht="33.6" customHeight="1">
      <c r="A29" s="1209" t="s">
        <v>522</v>
      </c>
      <c r="B29" s="1209"/>
      <c r="C29" s="1209"/>
    </row>
    <row r="30" spans="1:17" ht="13.5" customHeight="1"/>
    <row r="31" spans="1:17">
      <c r="Q31" s="899"/>
    </row>
    <row r="32" spans="1:17">
      <c r="A32" s="897" t="s">
        <v>523</v>
      </c>
      <c r="B32" s="897"/>
      <c r="C32" s="897"/>
      <c r="Q32" s="899"/>
    </row>
    <row r="33" spans="1:17">
      <c r="A33" s="897" t="s">
        <v>524</v>
      </c>
      <c r="Q33" s="899"/>
    </row>
    <row r="34" spans="1:17">
      <c r="A34" s="900"/>
      <c r="Q34" s="899"/>
    </row>
    <row r="35" spans="1:17">
      <c r="A35" s="897" t="s">
        <v>525</v>
      </c>
      <c r="B35" s="897"/>
      <c r="C35" s="897"/>
    </row>
    <row r="36" spans="1:17">
      <c r="A36" s="861" t="s">
        <v>526</v>
      </c>
      <c r="Q36" s="899"/>
    </row>
    <row r="37" spans="1:17">
      <c r="A37" s="861" t="s">
        <v>527</v>
      </c>
    </row>
    <row r="38" spans="1:17">
      <c r="A38" s="897" t="s">
        <v>533</v>
      </c>
      <c r="B38" s="897"/>
      <c r="C38" s="897"/>
    </row>
    <row r="39" spans="1:17">
      <c r="M39" s="899"/>
    </row>
  </sheetData>
  <mergeCells count="15">
    <mergeCell ref="A29:C29"/>
    <mergeCell ref="B15:B17"/>
    <mergeCell ref="C15:C17"/>
    <mergeCell ref="B18:B20"/>
    <mergeCell ref="C18:C20"/>
    <mergeCell ref="A15:A23"/>
    <mergeCell ref="B21:B23"/>
    <mergeCell ref="C21:C23"/>
    <mergeCell ref="C5:H7"/>
    <mergeCell ref="G3:H3"/>
    <mergeCell ref="G4:H4"/>
    <mergeCell ref="A1:H1"/>
    <mergeCell ref="A5:B7"/>
    <mergeCell ref="A3:B3"/>
    <mergeCell ref="A4:B4"/>
  </mergeCells>
  <pageMargins left="0.51181102362204722" right="0.51181102362204722" top="1.5748031496062993" bottom="0.78740157480314965" header="0.31496062992125984" footer="0.31496062992125984"/>
  <pageSetup paperSize="9" scale="5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FEC195-5843-43B0-AA28-D2DC2AD48CC9}">
  <dimension ref="A2:L105"/>
  <sheetViews>
    <sheetView showGridLines="0" zoomScale="91" zoomScaleNormal="91" workbookViewId="0">
      <selection activeCell="F124" sqref="F124"/>
    </sheetView>
  </sheetViews>
  <sheetFormatPr defaultRowHeight="14.25"/>
  <cols>
    <col min="2" max="2" width="28.25" customWidth="1"/>
    <col min="3" max="3" width="14.625" customWidth="1"/>
    <col min="4" max="4" width="40.75" customWidth="1"/>
    <col min="5" max="5" width="55.25" customWidth="1"/>
  </cols>
  <sheetData>
    <row r="2" spans="1:8" s="355" customFormat="1" ht="12">
      <c r="A2" s="367" t="s">
        <v>267</v>
      </c>
      <c r="B2" s="376"/>
      <c r="C2" s="376"/>
    </row>
    <row r="3" spans="1:8" s="355" customFormat="1" ht="12">
      <c r="A3" s="371">
        <v>1</v>
      </c>
      <c r="B3" s="357" t="s">
        <v>268</v>
      </c>
      <c r="C3" s="358"/>
      <c r="D3" s="359" t="s">
        <v>5</v>
      </c>
      <c r="E3" s="359" t="s">
        <v>6</v>
      </c>
      <c r="F3" s="356"/>
      <c r="G3" s="356"/>
      <c r="H3" s="356"/>
    </row>
    <row r="4" spans="1:8" s="355" customFormat="1" ht="79.150000000000006" customHeight="1">
      <c r="A4" s="360" t="s">
        <v>7</v>
      </c>
      <c r="B4" s="361" t="s">
        <v>71</v>
      </c>
      <c r="C4" s="368" t="s">
        <v>341</v>
      </c>
      <c r="D4" s="450" t="s">
        <v>7</v>
      </c>
      <c r="E4" s="364" t="s">
        <v>1004</v>
      </c>
      <c r="F4" s="374"/>
      <c r="H4" s="356"/>
    </row>
    <row r="5" spans="1:8" s="455" customFormat="1" ht="17.25" customHeight="1">
      <c r="A5" s="360" t="s">
        <v>9</v>
      </c>
      <c r="B5" s="361" t="s">
        <v>72</v>
      </c>
      <c r="C5" s="451">
        <v>0.3</v>
      </c>
      <c r="D5" s="452" t="s">
        <v>342</v>
      </c>
      <c r="E5" s="453" t="s">
        <v>343</v>
      </c>
      <c r="F5" s="454"/>
      <c r="G5" s="454"/>
      <c r="H5" s="454"/>
    </row>
    <row r="6" spans="1:8" s="355" customFormat="1" ht="12">
      <c r="A6" s="356"/>
      <c r="B6" s="356"/>
      <c r="C6" s="356"/>
      <c r="D6" s="356"/>
      <c r="E6" s="356"/>
      <c r="F6" s="356"/>
      <c r="G6" s="356"/>
      <c r="H6" s="356"/>
    </row>
    <row r="7" spans="1:8" s="355" customFormat="1" ht="12">
      <c r="A7" s="356"/>
      <c r="B7" s="356"/>
      <c r="C7" s="356"/>
      <c r="D7" s="356"/>
      <c r="E7" s="356"/>
      <c r="F7" s="356"/>
      <c r="G7" s="356"/>
      <c r="H7" s="356"/>
    </row>
    <row r="8" spans="1:8" s="355" customFormat="1" ht="12">
      <c r="A8" s="367" t="s">
        <v>269</v>
      </c>
      <c r="B8" s="376"/>
      <c r="C8" s="376"/>
    </row>
    <row r="9" spans="1:8" s="355" customFormat="1" ht="12">
      <c r="A9" s="367" t="s">
        <v>264</v>
      </c>
      <c r="B9" s="376"/>
      <c r="C9" s="376"/>
    </row>
    <row r="10" spans="1:8" s="355" customFormat="1" ht="12">
      <c r="A10" s="371" t="s">
        <v>266</v>
      </c>
      <c r="B10" s="357" t="s">
        <v>25</v>
      </c>
      <c r="C10" s="358" t="s">
        <v>4</v>
      </c>
      <c r="D10" s="359" t="s">
        <v>5</v>
      </c>
      <c r="E10" s="359" t="s">
        <v>6</v>
      </c>
    </row>
    <row r="11" spans="1:8" s="355" customFormat="1" ht="24">
      <c r="A11" s="360" t="s">
        <v>7</v>
      </c>
      <c r="B11" s="361" t="s">
        <v>25</v>
      </c>
      <c r="C11" s="451">
        <f>ROUND((1/12),4)</f>
        <v>8.3299999999999999E-2</v>
      </c>
      <c r="D11" s="456" t="s">
        <v>344</v>
      </c>
      <c r="E11" s="457" t="s">
        <v>26</v>
      </c>
    </row>
    <row r="12" spans="1:8" s="355" customFormat="1" ht="36">
      <c r="A12" s="360" t="s">
        <v>9</v>
      </c>
      <c r="B12" s="361" t="s">
        <v>27</v>
      </c>
      <c r="C12" s="451">
        <f>ROUND((1/36),4)</f>
        <v>2.7799999999999998E-2</v>
      </c>
      <c r="D12" s="458" t="s">
        <v>345</v>
      </c>
      <c r="E12" s="453" t="s">
        <v>346</v>
      </c>
      <c r="G12" s="373"/>
    </row>
    <row r="13" spans="1:8" s="355" customFormat="1" ht="12">
      <c r="A13" s="365" t="s">
        <v>24</v>
      </c>
      <c r="B13" s="365"/>
      <c r="C13" s="366">
        <f>SUM(C11:C12)</f>
        <v>0.1111</v>
      </c>
    </row>
    <row r="14" spans="1:8" s="355" customFormat="1" ht="12">
      <c r="A14" s="356"/>
      <c r="B14" s="356"/>
      <c r="C14" s="356"/>
      <c r="D14" s="356"/>
      <c r="E14" s="356"/>
      <c r="G14" s="356"/>
      <c r="H14" s="356"/>
    </row>
    <row r="15" spans="1:8" s="355" customFormat="1" ht="12">
      <c r="A15" s="356"/>
      <c r="B15" s="356"/>
      <c r="C15" s="356"/>
      <c r="D15" s="356"/>
      <c r="E15" s="356"/>
      <c r="G15" s="356"/>
      <c r="H15" s="356"/>
    </row>
    <row r="16" spans="1:8" s="355" customFormat="1" ht="12">
      <c r="A16" s="356"/>
      <c r="B16" s="356"/>
      <c r="C16" s="356"/>
      <c r="D16" s="356"/>
      <c r="E16" s="356"/>
      <c r="F16" s="356"/>
      <c r="G16" s="356"/>
      <c r="H16" s="356"/>
    </row>
    <row r="17" spans="1:8" s="355" customFormat="1" ht="12">
      <c r="A17" s="459" t="s">
        <v>347</v>
      </c>
      <c r="B17" s="459"/>
      <c r="C17" s="356"/>
      <c r="D17" s="356"/>
      <c r="E17" s="356"/>
      <c r="F17" s="356"/>
      <c r="G17" s="356"/>
      <c r="H17" s="356"/>
    </row>
    <row r="18" spans="1:8" s="355" customFormat="1" ht="12">
      <c r="A18" s="367" t="s">
        <v>265</v>
      </c>
      <c r="B18" s="376"/>
      <c r="C18" s="376"/>
    </row>
    <row r="19" spans="1:8" s="355" customFormat="1" ht="24">
      <c r="A19" s="371" t="s">
        <v>2</v>
      </c>
      <c r="B19" s="357" t="s">
        <v>3</v>
      </c>
      <c r="C19" s="358" t="s">
        <v>4</v>
      </c>
      <c r="D19" s="359" t="s">
        <v>5</v>
      </c>
      <c r="E19" s="359" t="s">
        <v>6</v>
      </c>
    </row>
    <row r="20" spans="1:8" s="461" customFormat="1" ht="12">
      <c r="A20" s="360" t="s">
        <v>7</v>
      </c>
      <c r="B20" s="361" t="s">
        <v>8</v>
      </c>
      <c r="C20" s="363">
        <v>0.2</v>
      </c>
      <c r="D20" s="460" t="s">
        <v>1</v>
      </c>
      <c r="E20" s="457" t="s">
        <v>348</v>
      </c>
      <c r="F20" s="355"/>
    </row>
    <row r="21" spans="1:8" s="355" customFormat="1" ht="12">
      <c r="A21" s="360" t="s">
        <v>9</v>
      </c>
      <c r="B21" s="361" t="s">
        <v>10</v>
      </c>
      <c r="C21" s="363">
        <v>2.5000000000000001E-2</v>
      </c>
      <c r="D21" s="460" t="s">
        <v>1</v>
      </c>
      <c r="E21" s="457" t="s">
        <v>349</v>
      </c>
    </row>
    <row r="22" spans="1:8" s="355" customFormat="1" ht="60">
      <c r="A22" s="360" t="s">
        <v>11</v>
      </c>
      <c r="B22" s="361" t="s">
        <v>12</v>
      </c>
      <c r="C22" s="363">
        <v>0.03</v>
      </c>
      <c r="D22" s="462" t="s">
        <v>350</v>
      </c>
      <c r="E22" s="453" t="s">
        <v>351</v>
      </c>
    </row>
    <row r="23" spans="1:8" s="355" customFormat="1" ht="12">
      <c r="A23" s="360" t="s">
        <v>13</v>
      </c>
      <c r="B23" s="361" t="s">
        <v>14</v>
      </c>
      <c r="C23" s="363">
        <v>1.4999999999999999E-2</v>
      </c>
      <c r="D23" s="460" t="s">
        <v>1</v>
      </c>
      <c r="E23" s="457" t="s">
        <v>352</v>
      </c>
    </row>
    <row r="24" spans="1:8" s="355" customFormat="1" ht="12">
      <c r="A24" s="360" t="s">
        <v>15</v>
      </c>
      <c r="B24" s="361" t="s">
        <v>16</v>
      </c>
      <c r="C24" s="363">
        <v>0.01</v>
      </c>
      <c r="D24" s="460" t="s">
        <v>1</v>
      </c>
      <c r="E24" s="457" t="s">
        <v>17</v>
      </c>
    </row>
    <row r="25" spans="1:8" s="355" customFormat="1" ht="12">
      <c r="A25" s="360" t="s">
        <v>18</v>
      </c>
      <c r="B25" s="361" t="s">
        <v>19</v>
      </c>
      <c r="C25" s="363">
        <v>6.0000000000000001E-3</v>
      </c>
      <c r="D25" s="460" t="s">
        <v>1</v>
      </c>
      <c r="E25" s="457" t="s">
        <v>353</v>
      </c>
    </row>
    <row r="26" spans="1:8" s="355" customFormat="1" ht="12">
      <c r="A26" s="360" t="s">
        <v>20</v>
      </c>
      <c r="B26" s="361" t="s">
        <v>21</v>
      </c>
      <c r="C26" s="363">
        <v>2E-3</v>
      </c>
      <c r="D26" s="460" t="s">
        <v>1</v>
      </c>
      <c r="E26" s="457" t="s">
        <v>354</v>
      </c>
    </row>
    <row r="27" spans="1:8" s="355" customFormat="1" ht="12">
      <c r="A27" s="360" t="s">
        <v>22</v>
      </c>
      <c r="B27" s="361" t="s">
        <v>23</v>
      </c>
      <c r="C27" s="363">
        <v>0.08</v>
      </c>
      <c r="D27" s="460" t="s">
        <v>1</v>
      </c>
      <c r="E27" s="457" t="s">
        <v>355</v>
      </c>
    </row>
    <row r="28" spans="1:8" s="355" customFormat="1" ht="12">
      <c r="A28" s="365" t="s">
        <v>24</v>
      </c>
      <c r="B28" s="365"/>
      <c r="C28" s="366">
        <f>SUM(C20:C27)</f>
        <v>0.36800000000000005</v>
      </c>
    </row>
    <row r="29" spans="1:8" s="355" customFormat="1" ht="12">
      <c r="A29" s="376"/>
      <c r="B29" s="376"/>
      <c r="C29" s="376"/>
    </row>
    <row r="30" spans="1:8" s="355" customFormat="1" ht="12">
      <c r="F30" s="374"/>
    </row>
    <row r="31" spans="1:8" s="355" customFormat="1" ht="12">
      <c r="F31" s="374"/>
    </row>
    <row r="32" spans="1:8" s="355" customFormat="1" ht="12"/>
    <row r="33" spans="1:5" s="355" customFormat="1" ht="12">
      <c r="A33" s="367" t="s">
        <v>270</v>
      </c>
      <c r="B33" s="376"/>
      <c r="C33" s="376"/>
    </row>
    <row r="34" spans="1:5" s="355" customFormat="1" ht="12">
      <c r="A34" s="371" t="s">
        <v>272</v>
      </c>
      <c r="B34" s="357" t="s">
        <v>271</v>
      </c>
      <c r="C34" s="358"/>
      <c r="D34" s="359" t="s">
        <v>5</v>
      </c>
      <c r="E34" s="359" t="s">
        <v>6</v>
      </c>
    </row>
    <row r="35" spans="1:5" s="355" customFormat="1" ht="24">
      <c r="A35" s="1219" t="s">
        <v>273</v>
      </c>
      <c r="B35" s="1224" t="s">
        <v>281</v>
      </c>
      <c r="C35" s="380" t="s">
        <v>291</v>
      </c>
      <c r="D35" s="1226" t="s">
        <v>294</v>
      </c>
      <c r="E35" s="1231" t="s">
        <v>298</v>
      </c>
    </row>
    <row r="36" spans="1:5" s="355" customFormat="1" ht="24">
      <c r="A36" s="1220"/>
      <c r="B36" s="1229"/>
      <c r="C36" s="380" t="s">
        <v>292</v>
      </c>
      <c r="D36" s="1230"/>
      <c r="E36" s="1232"/>
    </row>
    <row r="37" spans="1:5" s="355" customFormat="1" ht="84">
      <c r="A37" s="1228"/>
      <c r="B37" s="1225"/>
      <c r="C37" s="380" t="s">
        <v>293</v>
      </c>
      <c r="D37" s="1227"/>
      <c r="E37" s="1233"/>
    </row>
    <row r="38" spans="1:5" s="355" customFormat="1" ht="24">
      <c r="A38" s="360" t="s">
        <v>274</v>
      </c>
      <c r="B38" s="361" t="s">
        <v>282</v>
      </c>
      <c r="C38" s="381" t="s">
        <v>295</v>
      </c>
      <c r="D38" s="463" t="s">
        <v>13</v>
      </c>
      <c r="E38" s="364" t="s">
        <v>298</v>
      </c>
    </row>
    <row r="39" spans="1:5" s="355" customFormat="1" ht="24">
      <c r="A39" s="360" t="s">
        <v>275</v>
      </c>
      <c r="B39" s="361" t="s">
        <v>283</v>
      </c>
      <c r="C39" s="381" t="s">
        <v>296</v>
      </c>
      <c r="D39" s="464" t="s">
        <v>15</v>
      </c>
      <c r="E39" s="364" t="s">
        <v>298</v>
      </c>
    </row>
    <row r="40" spans="1:5" s="355" customFormat="1" ht="12">
      <c r="A40" s="1219" t="s">
        <v>276</v>
      </c>
      <c r="B40" s="1224" t="s">
        <v>829</v>
      </c>
      <c r="C40" s="382" t="s">
        <v>834</v>
      </c>
      <c r="D40" s="1226" t="s">
        <v>832</v>
      </c>
      <c r="E40" s="1231" t="s">
        <v>833</v>
      </c>
    </row>
    <row r="41" spans="1:5" s="355" customFormat="1" ht="24">
      <c r="A41" s="1220"/>
      <c r="B41" s="1229"/>
      <c r="C41" s="381" t="s">
        <v>831</v>
      </c>
      <c r="D41" s="1230"/>
      <c r="E41" s="1232"/>
    </row>
    <row r="42" spans="1:5" s="355" customFormat="1" ht="12">
      <c r="A42" s="1220"/>
      <c r="B42" s="1229"/>
      <c r="C42" s="382" t="s">
        <v>301</v>
      </c>
      <c r="D42" s="1230"/>
      <c r="E42" s="1232"/>
    </row>
    <row r="43" spans="1:5" s="355" customFormat="1" ht="12">
      <c r="A43" s="1219" t="s">
        <v>276</v>
      </c>
      <c r="B43" s="1224" t="s">
        <v>284</v>
      </c>
      <c r="C43" s="382" t="s">
        <v>830</v>
      </c>
      <c r="D43" s="1226" t="s">
        <v>303</v>
      </c>
      <c r="E43" s="1231" t="s">
        <v>298</v>
      </c>
    </row>
    <row r="44" spans="1:5" s="355" customFormat="1" ht="36">
      <c r="A44" s="1220"/>
      <c r="B44" s="1229"/>
      <c r="C44" s="381" t="s">
        <v>300</v>
      </c>
      <c r="D44" s="1230"/>
      <c r="E44" s="1232"/>
    </row>
    <row r="45" spans="1:5" s="355" customFormat="1" ht="12">
      <c r="A45" s="1220"/>
      <c r="B45" s="1229"/>
      <c r="C45" s="382" t="s">
        <v>301</v>
      </c>
      <c r="D45" s="1230"/>
      <c r="E45" s="1232"/>
    </row>
    <row r="46" spans="1:5" s="355" customFormat="1" ht="12">
      <c r="A46" s="1228"/>
      <c r="B46" s="1225"/>
      <c r="C46" s="382" t="s">
        <v>302</v>
      </c>
      <c r="D46" s="1227"/>
      <c r="E46" s="1233"/>
    </row>
    <row r="47" spans="1:5" s="355" customFormat="1" ht="24">
      <c r="A47" s="1219" t="s">
        <v>277</v>
      </c>
      <c r="B47" s="1224" t="s">
        <v>285</v>
      </c>
      <c r="C47" s="381" t="s">
        <v>304</v>
      </c>
      <c r="D47" s="1226" t="s">
        <v>306</v>
      </c>
      <c r="E47" s="1231" t="s">
        <v>298</v>
      </c>
    </row>
    <row r="48" spans="1:5" s="355" customFormat="1" ht="24">
      <c r="A48" s="1228"/>
      <c r="B48" s="1225"/>
      <c r="C48" s="381" t="s">
        <v>305</v>
      </c>
      <c r="D48" s="1227"/>
      <c r="E48" s="1233"/>
    </row>
    <row r="49" spans="1:6" s="355" customFormat="1" ht="48">
      <c r="A49" s="1219" t="s">
        <v>289</v>
      </c>
      <c r="B49" s="1224" t="s">
        <v>290</v>
      </c>
      <c r="C49" s="381" t="s">
        <v>318</v>
      </c>
      <c r="D49" s="1226" t="s">
        <v>828</v>
      </c>
      <c r="E49" s="1231" t="s">
        <v>836</v>
      </c>
    </row>
    <row r="50" spans="1:6" s="355" customFormat="1" ht="36">
      <c r="A50" s="1220"/>
      <c r="B50" s="1229"/>
      <c r="C50" s="381" t="s">
        <v>319</v>
      </c>
      <c r="D50" s="1230"/>
      <c r="E50" s="1232"/>
    </row>
    <row r="51" spans="1:6" s="355" customFormat="1" ht="84">
      <c r="A51" s="1220"/>
      <c r="B51" s="1229"/>
      <c r="C51" s="380" t="s">
        <v>320</v>
      </c>
      <c r="D51" s="1230"/>
      <c r="E51" s="1232"/>
    </row>
    <row r="52" spans="1:6" s="355" customFormat="1" ht="84">
      <c r="A52" s="1220"/>
      <c r="B52" s="1229"/>
      <c r="C52" s="380" t="s">
        <v>835</v>
      </c>
      <c r="D52" s="1230"/>
      <c r="E52" s="1232"/>
    </row>
    <row r="53" spans="1:6" s="355" customFormat="1" ht="24">
      <c r="A53" s="1228"/>
      <c r="B53" s="1225"/>
      <c r="C53" s="380" t="s">
        <v>322</v>
      </c>
      <c r="D53" s="1227"/>
      <c r="E53" s="1233"/>
    </row>
    <row r="54" spans="1:6" s="355" customFormat="1" ht="12">
      <c r="A54" s="365" t="s">
        <v>24</v>
      </c>
      <c r="B54" s="365"/>
      <c r="C54" s="366"/>
    </row>
    <row r="55" spans="1:6" s="355" customFormat="1" ht="12">
      <c r="F55" s="374"/>
    </row>
    <row r="56" spans="1:6" s="355" customFormat="1" ht="12">
      <c r="F56" s="374"/>
    </row>
    <row r="57" spans="1:6" s="355" customFormat="1" ht="12">
      <c r="F57" s="374"/>
    </row>
    <row r="58" spans="1:6" s="355" customFormat="1" ht="12">
      <c r="F58" s="374"/>
    </row>
    <row r="59" spans="1:6" s="355" customFormat="1" ht="12">
      <c r="F59" s="374"/>
    </row>
    <row r="60" spans="1:6" s="355" customFormat="1" ht="12">
      <c r="A60" s="367" t="s">
        <v>28</v>
      </c>
      <c r="B60" s="370"/>
      <c r="C60" s="370"/>
    </row>
    <row r="61" spans="1:6" s="355" customFormat="1" ht="12">
      <c r="A61" s="371">
        <v>3</v>
      </c>
      <c r="B61" s="357" t="s">
        <v>29</v>
      </c>
      <c r="C61" s="358" t="s">
        <v>325</v>
      </c>
      <c r="D61" s="359" t="s">
        <v>5</v>
      </c>
      <c r="E61" s="359" t="s">
        <v>6</v>
      </c>
      <c r="F61" s="376"/>
    </row>
    <row r="62" spans="1:6" s="355" customFormat="1" ht="12">
      <c r="A62" s="360" t="s">
        <v>7</v>
      </c>
      <c r="B62" s="361" t="s">
        <v>30</v>
      </c>
      <c r="C62" s="465">
        <v>0.05</v>
      </c>
      <c r="D62" s="460" t="s">
        <v>356</v>
      </c>
      <c r="E62" s="457" t="s">
        <v>357</v>
      </c>
      <c r="F62" s="376"/>
    </row>
    <row r="63" spans="1:6" s="355" customFormat="1" ht="24">
      <c r="A63" s="360" t="s">
        <v>9</v>
      </c>
      <c r="B63" s="361" t="s">
        <v>32</v>
      </c>
      <c r="C63" s="465">
        <f>C62</f>
        <v>0.05</v>
      </c>
      <c r="D63" s="460" t="s">
        <v>358</v>
      </c>
      <c r="E63" s="457" t="s">
        <v>359</v>
      </c>
      <c r="F63" s="376"/>
    </row>
    <row r="64" spans="1:6" s="355" customFormat="1" ht="24">
      <c r="A64" s="360" t="s">
        <v>11</v>
      </c>
      <c r="B64" s="361" t="s">
        <v>33</v>
      </c>
      <c r="C64" s="465">
        <f>C62</f>
        <v>0.05</v>
      </c>
      <c r="D64" s="466" t="s">
        <v>360</v>
      </c>
      <c r="E64" s="457" t="s">
        <v>361</v>
      </c>
      <c r="F64" s="376"/>
    </row>
    <row r="65" spans="1:6" s="355" customFormat="1" ht="12">
      <c r="A65" s="360" t="s">
        <v>13</v>
      </c>
      <c r="B65" s="361" t="s">
        <v>30</v>
      </c>
      <c r="C65" s="465">
        <v>0.05</v>
      </c>
      <c r="D65" s="466" t="s">
        <v>362</v>
      </c>
      <c r="E65" s="457"/>
      <c r="F65" s="376"/>
    </row>
    <row r="66" spans="1:6" s="355" customFormat="1" ht="14.25" customHeight="1">
      <c r="A66" s="360" t="s">
        <v>15</v>
      </c>
      <c r="B66" s="361" t="s">
        <v>34</v>
      </c>
      <c r="C66" s="465">
        <v>1</v>
      </c>
      <c r="D66" s="466" t="s">
        <v>384</v>
      </c>
      <c r="E66" s="457" t="s">
        <v>31</v>
      </c>
    </row>
    <row r="67" spans="1:6" s="461" customFormat="1" ht="24">
      <c r="A67" s="360" t="s">
        <v>18</v>
      </c>
      <c r="B67" s="361" t="s">
        <v>363</v>
      </c>
      <c r="C67" s="465">
        <f>C66</f>
        <v>1</v>
      </c>
      <c r="D67" s="467" t="s">
        <v>364</v>
      </c>
      <c r="E67" s="468" t="s">
        <v>365</v>
      </c>
    </row>
    <row r="68" spans="1:6" s="461" customFormat="1" ht="36">
      <c r="A68" s="360" t="s">
        <v>20</v>
      </c>
      <c r="B68" s="361" t="s">
        <v>35</v>
      </c>
      <c r="C68" s="465">
        <f>C66</f>
        <v>1</v>
      </c>
      <c r="D68" s="466" t="s">
        <v>366</v>
      </c>
      <c r="E68" s="453" t="s">
        <v>367</v>
      </c>
    </row>
    <row r="69" spans="1:6" s="461" customFormat="1" ht="19.5" customHeight="1">
      <c r="A69" s="360" t="s">
        <v>22</v>
      </c>
      <c r="B69" s="469" t="s">
        <v>368</v>
      </c>
      <c r="C69" s="465">
        <f>C67</f>
        <v>1</v>
      </c>
      <c r="D69" s="470" t="s">
        <v>369</v>
      </c>
      <c r="E69" s="470"/>
    </row>
    <row r="70" spans="1:6" s="355" customFormat="1" ht="12">
      <c r="A70" s="365"/>
      <c r="B70" s="365"/>
      <c r="C70" s="366"/>
      <c r="D70" s="470"/>
      <c r="E70" s="470"/>
    </row>
    <row r="71" spans="1:6" s="355" customFormat="1" ht="12">
      <c r="A71" s="376"/>
      <c r="B71" s="376"/>
      <c r="C71" s="376"/>
    </row>
    <row r="72" spans="1:6" s="355" customFormat="1" ht="12">
      <c r="A72" s="376"/>
      <c r="B72" s="376"/>
      <c r="C72" s="376"/>
    </row>
    <row r="73" spans="1:6" s="355" customFormat="1" ht="12">
      <c r="A73" s="376"/>
      <c r="B73" s="376"/>
      <c r="C73" s="376"/>
    </row>
    <row r="74" spans="1:6" s="355" customFormat="1" ht="12">
      <c r="A74" s="376"/>
      <c r="B74" s="376"/>
      <c r="C74" s="376"/>
    </row>
    <row r="75" spans="1:6" s="355" customFormat="1" ht="12">
      <c r="A75" s="367" t="s">
        <v>326</v>
      </c>
      <c r="B75" s="376"/>
      <c r="C75" s="376"/>
    </row>
    <row r="76" spans="1:6" s="355" customFormat="1" ht="12">
      <c r="A76" s="367" t="s">
        <v>327</v>
      </c>
      <c r="B76" s="376"/>
      <c r="C76" s="376"/>
    </row>
    <row r="77" spans="1:6" s="355" customFormat="1" ht="20.100000000000001" customHeight="1">
      <c r="A77" s="371" t="s">
        <v>328</v>
      </c>
      <c r="B77" s="357" t="s">
        <v>329</v>
      </c>
      <c r="C77" s="358" t="s">
        <v>330</v>
      </c>
      <c r="D77" s="359" t="s">
        <v>5</v>
      </c>
      <c r="E77" s="471" t="s">
        <v>6</v>
      </c>
    </row>
    <row r="78" spans="1:6" s="355" customFormat="1" ht="36">
      <c r="A78" s="360" t="s">
        <v>7</v>
      </c>
      <c r="B78" s="361" t="s">
        <v>153</v>
      </c>
      <c r="C78" s="383">
        <v>30</v>
      </c>
      <c r="D78" s="470" t="s">
        <v>370</v>
      </c>
      <c r="E78" s="468" t="s">
        <v>371</v>
      </c>
    </row>
    <row r="79" spans="1:6" s="355" customFormat="1" ht="409.5">
      <c r="A79" s="360" t="s">
        <v>9</v>
      </c>
      <c r="B79" s="697" t="s">
        <v>332</v>
      </c>
      <c r="C79" s="383">
        <v>8.5149000000000008</v>
      </c>
      <c r="D79" s="697" t="s">
        <v>333</v>
      </c>
      <c r="E79" s="697" t="s">
        <v>372</v>
      </c>
    </row>
    <row r="80" spans="1:6" s="355" customFormat="1" ht="12">
      <c r="A80" s="365" t="s">
        <v>24</v>
      </c>
      <c r="B80" s="365"/>
      <c r="C80" s="366"/>
    </row>
    <row r="81" spans="1:8" s="355" customFormat="1" ht="12">
      <c r="A81" s="356"/>
      <c r="B81" s="356"/>
      <c r="C81" s="356"/>
      <c r="D81" s="356"/>
      <c r="E81" s="356"/>
      <c r="F81" s="356"/>
      <c r="G81" s="356"/>
      <c r="H81" s="356"/>
    </row>
    <row r="82" spans="1:8" s="355" customFormat="1" ht="12">
      <c r="A82" s="376"/>
      <c r="B82" s="376"/>
      <c r="C82" s="376"/>
    </row>
    <row r="83" spans="1:8" s="355" customFormat="1" ht="12">
      <c r="A83" s="376"/>
      <c r="B83" s="376"/>
      <c r="C83" s="376"/>
    </row>
    <row r="84" spans="1:8" s="355" customFormat="1" ht="12">
      <c r="A84" s="376"/>
      <c r="B84" s="376"/>
      <c r="C84" s="376"/>
    </row>
    <row r="85" spans="1:8" s="355" customFormat="1" ht="12">
      <c r="A85" s="367" t="s">
        <v>334</v>
      </c>
      <c r="B85" s="376"/>
      <c r="C85" s="376"/>
    </row>
    <row r="86" spans="1:8" s="355" customFormat="1" ht="12">
      <c r="A86" s="371">
        <v>5</v>
      </c>
      <c r="B86" s="357" t="s">
        <v>335</v>
      </c>
      <c r="C86" s="358"/>
      <c r="D86" s="359" t="s">
        <v>5</v>
      </c>
      <c r="E86" s="359" t="s">
        <v>6</v>
      </c>
      <c r="F86" s="356"/>
      <c r="G86" s="356"/>
      <c r="H86" s="356"/>
    </row>
    <row r="87" spans="1:8" s="355" customFormat="1" ht="12">
      <c r="A87" s="360" t="s">
        <v>7</v>
      </c>
      <c r="B87" s="361" t="s">
        <v>259</v>
      </c>
      <c r="C87" s="368"/>
      <c r="D87" s="450"/>
      <c r="E87" s="364"/>
      <c r="F87" s="356"/>
      <c r="G87" s="356"/>
      <c r="H87" s="356"/>
    </row>
    <row r="88" spans="1:8" s="355" customFormat="1" ht="48">
      <c r="A88" s="360" t="s">
        <v>9</v>
      </c>
      <c r="B88" s="361" t="s">
        <v>58</v>
      </c>
      <c r="C88" s="368"/>
      <c r="D88" s="369"/>
      <c r="E88" s="364" t="s">
        <v>338</v>
      </c>
      <c r="F88" s="356"/>
      <c r="G88" s="356"/>
      <c r="H88" s="356"/>
    </row>
    <row r="89" spans="1:8" s="355" customFormat="1" ht="12">
      <c r="A89" s="360" t="s">
        <v>11</v>
      </c>
      <c r="B89" s="361" t="s">
        <v>336</v>
      </c>
      <c r="C89" s="368"/>
      <c r="D89" s="369"/>
      <c r="E89" s="364"/>
      <c r="F89" s="356"/>
      <c r="G89" s="356"/>
      <c r="H89" s="356"/>
    </row>
    <row r="90" spans="1:8" s="355" customFormat="1" ht="12">
      <c r="A90" s="360" t="s">
        <v>13</v>
      </c>
      <c r="B90" s="361" t="s">
        <v>337</v>
      </c>
      <c r="C90" s="368"/>
      <c r="D90" s="369"/>
      <c r="E90" s="364"/>
      <c r="F90" s="356"/>
      <c r="G90" s="356"/>
      <c r="H90" s="356"/>
    </row>
    <row r="91" spans="1:8" s="355" customFormat="1" ht="12">
      <c r="A91" s="360" t="s">
        <v>15</v>
      </c>
      <c r="B91" s="361"/>
      <c r="C91" s="368"/>
      <c r="D91" s="369"/>
      <c r="E91" s="364"/>
      <c r="F91" s="356"/>
      <c r="G91" s="356"/>
      <c r="H91" s="356"/>
    </row>
    <row r="92" spans="1:8" s="355" customFormat="1" ht="12">
      <c r="A92" s="365" t="s">
        <v>24</v>
      </c>
      <c r="B92" s="365"/>
      <c r="C92" s="366"/>
      <c r="F92" s="356"/>
      <c r="G92" s="356"/>
      <c r="H92" s="356"/>
    </row>
    <row r="93" spans="1:8" s="355" customFormat="1" ht="12">
      <c r="A93" s="356"/>
      <c r="B93" s="356"/>
      <c r="C93" s="356"/>
      <c r="D93" s="356"/>
      <c r="E93" s="356"/>
      <c r="F93" s="356"/>
      <c r="G93" s="356"/>
      <c r="H93" s="356"/>
    </row>
    <row r="94" spans="1:8" s="355" customFormat="1" ht="12">
      <c r="A94" s="376"/>
      <c r="B94" s="376"/>
      <c r="C94" s="376"/>
    </row>
    <row r="95" spans="1:8" s="355" customFormat="1" ht="12">
      <c r="A95" s="376"/>
      <c r="B95" s="376"/>
      <c r="C95" s="376"/>
    </row>
    <row r="96" spans="1:8" s="355" customFormat="1" ht="12">
      <c r="A96" s="376"/>
      <c r="B96" s="376"/>
      <c r="C96" s="376"/>
    </row>
    <row r="97" spans="1:12" s="355" customFormat="1" ht="12">
      <c r="A97" s="367" t="s">
        <v>262</v>
      </c>
      <c r="B97" s="370"/>
      <c r="C97" s="370"/>
    </row>
    <row r="98" spans="1:12" s="355" customFormat="1" ht="70.5" customHeight="1">
      <c r="A98" s="473"/>
      <c r="B98" s="357" t="s">
        <v>339</v>
      </c>
      <c r="C98" s="358"/>
      <c r="D98" s="359"/>
      <c r="E98" s="359" t="s">
        <v>6</v>
      </c>
      <c r="F98" s="374"/>
    </row>
    <row r="99" spans="1:12" s="355" customFormat="1" ht="52.5" customHeight="1">
      <c r="A99" s="360" t="s">
        <v>7</v>
      </c>
      <c r="B99" s="379" t="s">
        <v>39</v>
      </c>
      <c r="C99" s="384">
        <v>0.1905</v>
      </c>
      <c r="D99" s="372" t="s">
        <v>373</v>
      </c>
      <c r="E99" s="1234"/>
      <c r="F99" s="374"/>
    </row>
    <row r="100" spans="1:12" s="355" customFormat="1" ht="50.45" customHeight="1">
      <c r="A100" s="360" t="s">
        <v>9</v>
      </c>
      <c r="B100" s="379" t="s">
        <v>41</v>
      </c>
      <c r="C100" s="384">
        <v>0.14080000000000001</v>
      </c>
      <c r="D100" s="474" t="s">
        <v>374</v>
      </c>
      <c r="E100" s="1235"/>
      <c r="F100" s="374"/>
    </row>
    <row r="101" spans="1:12" s="355" customFormat="1" ht="12">
      <c r="A101" s="1219" t="s">
        <v>11</v>
      </c>
      <c r="B101" s="475" t="s">
        <v>36</v>
      </c>
      <c r="C101" s="476">
        <v>1.6500000000000001E-2</v>
      </c>
      <c r="D101" s="463" t="s">
        <v>375</v>
      </c>
      <c r="E101" s="362"/>
      <c r="F101" s="374"/>
    </row>
    <row r="102" spans="1:12" s="355" customFormat="1" ht="48.75" customHeight="1">
      <c r="A102" s="1220"/>
      <c r="B102" s="475" t="s">
        <v>37</v>
      </c>
      <c r="C102" s="476">
        <v>7.5999999999999998E-2</v>
      </c>
      <c r="D102" s="463" t="s">
        <v>376</v>
      </c>
      <c r="E102" s="364"/>
      <c r="F102" s="374"/>
    </row>
    <row r="103" spans="1:12" s="355" customFormat="1" ht="12">
      <c r="A103" s="1220"/>
      <c r="B103" s="477" t="s">
        <v>38</v>
      </c>
      <c r="C103" s="478" t="s">
        <v>4</v>
      </c>
      <c r="D103" s="372" t="s">
        <v>377</v>
      </c>
      <c r="E103" s="364" t="s">
        <v>340</v>
      </c>
      <c r="F103" s="374"/>
    </row>
    <row r="104" spans="1:12" s="355" customFormat="1" ht="36">
      <c r="A104" s="1221" t="s">
        <v>122</v>
      </c>
      <c r="B104" s="1222"/>
      <c r="C104" s="1223"/>
      <c r="D104" s="479" t="s">
        <v>378</v>
      </c>
      <c r="E104" s="364"/>
      <c r="F104" s="374"/>
    </row>
    <row r="105" spans="1:12">
      <c r="H105" s="355"/>
      <c r="I105" s="355"/>
      <c r="J105" s="355"/>
      <c r="K105" s="355"/>
      <c r="L105" s="355"/>
    </row>
  </sheetData>
  <mergeCells count="23">
    <mergeCell ref="E99:E100"/>
    <mergeCell ref="E47:E48"/>
    <mergeCell ref="A49:A53"/>
    <mergeCell ref="B49:B53"/>
    <mergeCell ref="D49:D53"/>
    <mergeCell ref="E49:E53"/>
    <mergeCell ref="A47:A48"/>
    <mergeCell ref="E35:E37"/>
    <mergeCell ref="A43:A46"/>
    <mergeCell ref="B43:B46"/>
    <mergeCell ref="D43:D46"/>
    <mergeCell ref="E43:E46"/>
    <mergeCell ref="A40:A42"/>
    <mergeCell ref="B40:B42"/>
    <mergeCell ref="D40:D42"/>
    <mergeCell ref="E40:E42"/>
    <mergeCell ref="A101:A103"/>
    <mergeCell ref="A104:C104"/>
    <mergeCell ref="B47:B48"/>
    <mergeCell ref="D47:D48"/>
    <mergeCell ref="A35:A37"/>
    <mergeCell ref="B35:B37"/>
    <mergeCell ref="D35:D37"/>
  </mergeCells>
  <pageMargins left="0.511811024" right="0.511811024" top="0.78740157499999996" bottom="0.78740157499999996" header="0.31496062000000002" footer="0.31496062000000002"/>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8345C6-5CA8-4DDE-9D27-156815A5F6EB}">
  <sheetPr codeName="Planilha7"/>
  <dimension ref="A1:E4"/>
  <sheetViews>
    <sheetView workbookViewId="0">
      <selection sqref="A1:E4"/>
    </sheetView>
  </sheetViews>
  <sheetFormatPr defaultRowHeight="14.25"/>
  <cols>
    <col min="1" max="1" width="24.5" customWidth="1"/>
    <col min="2" max="2" width="17.25" customWidth="1"/>
    <col min="3" max="3" width="22.625" customWidth="1"/>
    <col min="4" max="4" width="13.125" customWidth="1"/>
    <col min="5" max="5" width="17.125" customWidth="1"/>
  </cols>
  <sheetData>
    <row r="1" spans="1:5" ht="26.25" customHeight="1">
      <c r="A1" s="484" t="s">
        <v>492</v>
      </c>
      <c r="B1" s="484" t="s">
        <v>498</v>
      </c>
      <c r="C1" s="484" t="s">
        <v>493</v>
      </c>
      <c r="D1" s="484" t="s">
        <v>494</v>
      </c>
      <c r="E1" s="484" t="s">
        <v>495</v>
      </c>
    </row>
    <row r="2" spans="1:5" ht="27" customHeight="1">
      <c r="A2" s="1236" t="s">
        <v>406</v>
      </c>
      <c r="B2" s="484" t="s">
        <v>497</v>
      </c>
      <c r="C2" s="484" t="s">
        <v>459</v>
      </c>
      <c r="D2" s="484" t="s">
        <v>490</v>
      </c>
      <c r="E2" s="484" t="s">
        <v>496</v>
      </c>
    </row>
    <row r="3" spans="1:5" ht="27" customHeight="1">
      <c r="A3" s="1236"/>
      <c r="B3" s="484" t="s">
        <v>497</v>
      </c>
      <c r="C3" s="484" t="s">
        <v>460</v>
      </c>
      <c r="D3" s="484" t="s">
        <v>490</v>
      </c>
      <c r="E3" s="484" t="s">
        <v>496</v>
      </c>
    </row>
    <row r="4" spans="1:5" ht="27" customHeight="1">
      <c r="A4" s="484" t="s">
        <v>405</v>
      </c>
      <c r="B4" s="484" t="s">
        <v>497</v>
      </c>
      <c r="C4" s="484" t="s">
        <v>459</v>
      </c>
      <c r="D4" s="484" t="s">
        <v>491</v>
      </c>
      <c r="E4" s="484" t="s">
        <v>496</v>
      </c>
    </row>
  </sheetData>
  <mergeCells count="1">
    <mergeCell ref="A2:A3"/>
  </mergeCell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9D7F402F72CE14398D42545A94E94C5" ma:contentTypeVersion="17" ma:contentTypeDescription="Create a new document." ma:contentTypeScope="" ma:versionID="76796b727b8bfe9faeacf8f7a10721f3">
  <xsd:schema xmlns:xsd="http://www.w3.org/2001/XMLSchema" xmlns:xs="http://www.w3.org/2001/XMLSchema" xmlns:p="http://schemas.microsoft.com/office/2006/metadata/properties" xmlns:ns1="http://schemas.microsoft.com/sharepoint/v3" xmlns:ns3="90c9b95a-a465-4f52-a3c1-aec14dc52020" xmlns:ns4="9ee57e47-cf98-45ec-9025-cefecdcd0f7f" targetNamespace="http://schemas.microsoft.com/office/2006/metadata/properties" ma:root="true" ma:fieldsID="327ad37ed380ba461348ed69852f1a68" ns1:_="" ns3:_="" ns4:_="">
    <xsd:import namespace="http://schemas.microsoft.com/sharepoint/v3"/>
    <xsd:import namespace="90c9b95a-a465-4f52-a3c1-aec14dc52020"/>
    <xsd:import namespace="9ee57e47-cf98-45ec-9025-cefecdcd0f7f"/>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OCR" minOccurs="0"/>
                <xsd:element ref="ns4:MediaServiceGenerationTime" minOccurs="0"/>
                <xsd:element ref="ns4:MediaServiceEventHashCode" minOccurs="0"/>
                <xsd:element ref="ns4:MediaServiceDateTaken" minOccurs="0"/>
                <xsd:element ref="ns4:MediaServiceLocation" minOccurs="0"/>
                <xsd:element ref="ns4:MediaLengthInSeconds" minOccurs="0"/>
                <xsd:element ref="ns1:_ip_UnifiedCompliancePolicyProperties" minOccurs="0"/>
                <xsd:element ref="ns1:_ip_UnifiedCompliancePolicyUIAction" minOccurs="0"/>
                <xsd:element ref="ns4:_activity" minOccurs="0"/>
                <xsd:element ref="ns4:MediaServiceSearchProperties" minOccurs="0"/>
                <xsd:element ref="ns4: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xsd:simpleType>
        <xsd:restriction base="dms:Note"/>
      </xsd:simpleType>
    </xsd:element>
    <xsd:element name="_ip_UnifiedCompliancePolicyUIAction" ma:index="2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0c9b95a-a465-4f52-a3c1-aec14dc52020"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ee57e47-cf98-45ec-9025-cefecdcd0f7f"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_activity" ma:index="22" nillable="true" ma:displayName="_activity" ma:hidden="true" ma:internalName="_activity">
      <xsd:simpleType>
        <xsd:restriction base="dms:Note"/>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868F3F2-4B57-49A8-AE41-D11C75E760AA}">
  <ds:schemaRefs>
    <ds:schemaRef ds:uri="http://schemas.microsoft.com/sharepoint/v3/contenttype/forms"/>
  </ds:schemaRefs>
</ds:datastoreItem>
</file>

<file path=customXml/itemProps2.xml><?xml version="1.0" encoding="utf-8"?>
<ds:datastoreItem xmlns:ds="http://schemas.openxmlformats.org/officeDocument/2006/customXml" ds:itemID="{B3DF576F-2F0C-4E10-A3E6-B42E1E6229F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0c9b95a-a465-4f52-a3c1-aec14dc52020"/>
    <ds:schemaRef ds:uri="9ee57e47-cf98-45ec-9025-cefecdcd0f7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13</vt:i4>
      </vt:variant>
      <vt:variant>
        <vt:lpstr>Intervalos Nomeados</vt:lpstr>
      </vt:variant>
      <vt:variant>
        <vt:i4>2</vt:i4>
      </vt:variant>
    </vt:vector>
  </HeadingPairs>
  <TitlesOfParts>
    <vt:vector size="15" baseType="lpstr">
      <vt:lpstr>Dados do Licitante</vt:lpstr>
      <vt:lpstr>Uniformes e EPIs</vt:lpstr>
      <vt:lpstr>Equipamentos</vt:lpstr>
      <vt:lpstr>Hora Homem</vt:lpstr>
      <vt:lpstr>Peças e Materiais de Consumo</vt:lpstr>
      <vt:lpstr>Postos Fixos</vt:lpstr>
      <vt:lpstr>Modelo de Proposta</vt:lpstr>
      <vt:lpstr>Memória de Cálculo</vt:lpstr>
      <vt:lpstr>Planilha1</vt:lpstr>
      <vt:lpstr>STS-Republica</vt:lpstr>
      <vt:lpstr>Embarcações</vt:lpstr>
      <vt:lpstr>Memória de Cálculos</vt:lpstr>
      <vt:lpstr>Nr Empregados e Produtividade</vt:lpstr>
      <vt:lpstr>'Modelo de Proposta'!Area_de_impressao</vt:lpstr>
      <vt:lpstr>'Postos Fixos'!Area_de_impressao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WIFI</dc:creator>
  <cp:keywords/>
  <dc:description/>
  <cp:lastModifiedBy>Marisa de Moraes</cp:lastModifiedBy>
  <cp:revision>23</cp:revision>
  <cp:lastPrinted>2024-04-11T17:21:56Z</cp:lastPrinted>
  <dcterms:created xsi:type="dcterms:W3CDTF">2015-04-07T17:28:10Z</dcterms:created>
  <dcterms:modified xsi:type="dcterms:W3CDTF">2024-10-17T20:09:28Z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0x010100E9D7F402F72CE14398D42545A94E94C5</vt:lpwstr>
  </property>
  <property fmtid="{D5CDD505-2E9C-101B-9397-08002B2CF9AE}" pid="3" name="_ip_UnifiedCompliancePolicyUIAction">
    <vt:lpwstr/>
  </property>
  <property fmtid="{D5CDD505-2E9C-101B-9397-08002B2CF9AE}" pid="4" name="_ip_UnifiedCompliancePolicyProperties">
    <vt:lpwstr/>
  </property>
  <property fmtid="{D5CDD505-2E9C-101B-9397-08002B2CF9AE}" pid="5" name="_activity">
    <vt:lpwstr/>
  </property>
</Properties>
</file>