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tos.pmrb\Desktop\"/>
    </mc:Choice>
  </mc:AlternateContent>
  <xr:revisionPtr revIDLastSave="0" documentId="13_ncr:1_{6DE37982-D3BA-4A8B-BE04-2F66579477C0}" xr6:coauthVersionLast="47" xr6:coauthVersionMax="47" xr10:uidLastSave="{00000000-0000-0000-0000-000000000000}"/>
  <bookViews>
    <workbookView xWindow="-90" yWindow="-90" windowWidth="28980" windowHeight="15780" xr2:uid="{177EDD12-4C13-49FB-BCE2-81B6C487A9FB}"/>
  </bookViews>
  <sheets>
    <sheet name="Resumo" sheetId="20" r:id="rId1"/>
    <sheet name="Custos" sheetId="19" r:id="rId2"/>
    <sheet name="Insumos e Equipamentos" sheetId="5" r:id="rId3"/>
    <sheet name="Uniformes" sheetId="6" r:id="rId4"/>
    <sheet name="Memória de Cálculo" sheetId="21" r:id="rId5"/>
  </sheets>
  <definedNames>
    <definedName name="A">#REF!</definedName>
    <definedName name="aaaa">#REF!</definedName>
    <definedName name="AAAsDAFDSAGFDSHG">#REF!</definedName>
    <definedName name="abc">#REF!</definedName>
    <definedName name="ALMOXARIFE">#REF!</definedName>
    <definedName name="Area_2" localSheetId="1">#REF!</definedName>
    <definedName name="Area_2">#REF!</definedName>
    <definedName name="Area_3" localSheetId="1">#REF!</definedName>
    <definedName name="Area_3">#REF!</definedName>
    <definedName name="_xlnm.Print_Area" localSheetId="1">Custos!$A$1:$I$145</definedName>
    <definedName name="aREA1" localSheetId="1">#REF!</definedName>
    <definedName name="aREA1">#REF!</definedName>
    <definedName name="area2" localSheetId="1">#REF!</definedName>
    <definedName name="area2">#REF!</definedName>
    <definedName name="Area3" localSheetId="1">#REF!</definedName>
    <definedName name="Area3">#REF!</definedName>
    <definedName name="Area4" localSheetId="1">#REF!</definedName>
    <definedName name="Area4">#REF!</definedName>
    <definedName name="ARTÍFICE_VRA" localSheetId="1">#REF!</definedName>
    <definedName name="ARTÍFICE_VRA">#REF!</definedName>
    <definedName name="ARTÍFICEVRA" localSheetId="1">#REF!</definedName>
    <definedName name="ARTÍFICEVRA">#REF!</definedName>
    <definedName name="B">#REF!</definedName>
    <definedName name="cbgnfgjg">#REF!</definedName>
    <definedName name="CDGFNFVBH">#REF!</definedName>
    <definedName name="E">#REF!</definedName>
    <definedName name="Excel_BuilIn" localSheetId="1">#REF!</definedName>
    <definedName name="Excel_BuilIn">#REF!</definedName>
    <definedName name="Excel_BuiltIn_Print_Area" localSheetId="1">#REF!</definedName>
    <definedName name="Excel_BuiltIn_Print_Area">#REF!</definedName>
    <definedName name="Excel_BuiltIn_Print_Area_1" localSheetId="1">#REF!</definedName>
    <definedName name="Excel_BuiltIn_Print_Area_1">#REF!</definedName>
    <definedName name="Excel_BuiltIn_Print_Area_2" localSheetId="1">#REF!</definedName>
    <definedName name="Excel_BuiltIn_Print_Area_2">#REF!</definedName>
    <definedName name="Excel_um" localSheetId="1">#REF!</definedName>
    <definedName name="Excel_um">#REF!</definedName>
    <definedName name="FTHRTGJHG">#REF!</definedName>
    <definedName name="gkghkj">#REF!</definedName>
    <definedName name="INSUMO" localSheetId="1">#REF!</definedName>
    <definedName name="INSUMO">#REF!</definedName>
    <definedName name="Pintor" localSheetId="1">#REF!</definedName>
    <definedName name="Pintor">#REF!</definedName>
    <definedName name="Pintor1" localSheetId="1">#REF!</definedName>
    <definedName name="Pintor1">#REF!</definedName>
    <definedName name="RTUJH">#REF!</definedName>
    <definedName name="SDFGDFGF">#REF!</definedName>
    <definedName name="SDFGSDGASDF">#REF!</definedName>
    <definedName name="segdfhg">#REF!</definedName>
    <definedName name="SHGFSDHFFDG">#REF!</definedName>
    <definedName name="um" localSheetId="1">#REF!</definedName>
    <definedName name="um">#REF!</definedName>
    <definedName name="VRA" localSheetId="1">#REF!</definedName>
    <definedName name="VRA">#REF!</definedName>
    <definedName name="zdfsdf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6" i="5" l="1"/>
  <c r="K66" i="5"/>
  <c r="J66" i="5"/>
  <c r="I66" i="5"/>
  <c r="I50" i="5"/>
  <c r="J50" i="5" s="1"/>
  <c r="I26" i="5"/>
  <c r="J26" i="5" s="1"/>
  <c r="J92" i="5"/>
  <c r="I92" i="5"/>
  <c r="I93" i="5" s="1"/>
  <c r="I94" i="5" s="1"/>
  <c r="I95" i="5" s="1"/>
  <c r="L50" i="5" l="1"/>
  <c r="K50" i="5"/>
  <c r="L26" i="5"/>
  <c r="K26" i="5"/>
  <c r="J93" i="5"/>
  <c r="J94" i="5" s="1"/>
  <c r="H91" i="5"/>
  <c r="K91" i="5" s="1"/>
  <c r="M91" i="5" s="1"/>
  <c r="C42" i="21"/>
  <c r="C44" i="21"/>
  <c r="C47" i="21"/>
  <c r="G60" i="19"/>
  <c r="L91" i="5" l="1"/>
  <c r="J95" i="5"/>
  <c r="C52" i="21"/>
  <c r="C57" i="21"/>
  <c r="H92" i="5" l="1"/>
  <c r="K92" i="5" s="1"/>
  <c r="H95" i="5"/>
  <c r="K95" i="5" s="1"/>
  <c r="H94" i="5"/>
  <c r="K94" i="5" s="1"/>
  <c r="H93" i="5"/>
  <c r="K93" i="5" s="1"/>
  <c r="C56" i="21"/>
  <c r="C55" i="21"/>
  <c r="C54" i="21"/>
  <c r="C53" i="21"/>
  <c r="M95" i="5" l="1"/>
  <c r="L95" i="5"/>
  <c r="L93" i="5"/>
  <c r="M93" i="5"/>
  <c r="M94" i="5"/>
  <c r="L94" i="5"/>
  <c r="M92" i="5"/>
  <c r="M96" i="5" s="1"/>
  <c r="K96" i="5"/>
  <c r="L92" i="5"/>
  <c r="H81" i="19"/>
  <c r="H78" i="19"/>
  <c r="H76" i="19"/>
  <c r="L96" i="5" l="1"/>
  <c r="M98" i="5" s="1"/>
  <c r="H111" i="19" s="1"/>
  <c r="C58" i="21"/>
  <c r="C45" i="21"/>
  <c r="C46" i="21" s="1"/>
  <c r="C43" i="21"/>
  <c r="C16" i="21"/>
  <c r="C15" i="21"/>
  <c r="G12" i="6" l="1"/>
  <c r="I12" i="6" s="1"/>
  <c r="G11" i="6"/>
  <c r="I11" i="6" s="1"/>
  <c r="G10" i="6"/>
  <c r="I10" i="6" s="1"/>
  <c r="G9" i="6"/>
  <c r="H9" i="6" s="1"/>
  <c r="J9" i="6" s="1"/>
  <c r="G8" i="6"/>
  <c r="I8" i="6" s="1"/>
  <c r="G7" i="6"/>
  <c r="H7" i="6" s="1"/>
  <c r="J7" i="6" s="1"/>
  <c r="G6" i="6"/>
  <c r="I6" i="6" s="1"/>
  <c r="G5" i="6"/>
  <c r="H5" i="6" s="1"/>
  <c r="J5" i="6" s="1"/>
  <c r="G4" i="6"/>
  <c r="I4" i="6" s="1"/>
  <c r="I80" i="5"/>
  <c r="J80" i="5" s="1"/>
  <c r="I79" i="5"/>
  <c r="J79" i="5" s="1"/>
  <c r="I78" i="5"/>
  <c r="J78" i="5" s="1"/>
  <c r="L78" i="5" s="1"/>
  <c r="I77" i="5"/>
  <c r="J77" i="5" s="1"/>
  <c r="I76" i="5"/>
  <c r="J76" i="5" s="1"/>
  <c r="L76" i="5" s="1"/>
  <c r="I75" i="5"/>
  <c r="J75" i="5" s="1"/>
  <c r="I74" i="5"/>
  <c r="J74" i="5" s="1"/>
  <c r="L74" i="5" s="1"/>
  <c r="I73" i="5"/>
  <c r="J73" i="5" s="1"/>
  <c r="I72" i="5"/>
  <c r="J72" i="5" s="1"/>
  <c r="L72" i="5" s="1"/>
  <c r="I71" i="5"/>
  <c r="J71" i="5" s="1"/>
  <c r="I70" i="5"/>
  <c r="J70" i="5" s="1"/>
  <c r="L70" i="5" s="1"/>
  <c r="I69" i="5"/>
  <c r="J69" i="5" s="1"/>
  <c r="I68" i="5"/>
  <c r="J68" i="5" s="1"/>
  <c r="L68" i="5" s="1"/>
  <c r="I67" i="5"/>
  <c r="J67" i="5" s="1"/>
  <c r="I60" i="5"/>
  <c r="J60" i="5" s="1"/>
  <c r="I59" i="5"/>
  <c r="J59" i="5" s="1"/>
  <c r="I58" i="5"/>
  <c r="J58" i="5" s="1"/>
  <c r="I57" i="5"/>
  <c r="J57" i="5" s="1"/>
  <c r="I56" i="5"/>
  <c r="J56" i="5" s="1"/>
  <c r="I55" i="5"/>
  <c r="J55" i="5" s="1"/>
  <c r="I54" i="5"/>
  <c r="J54" i="5" s="1"/>
  <c r="I53" i="5"/>
  <c r="J53" i="5" s="1"/>
  <c r="I52" i="5"/>
  <c r="J52" i="5" s="1"/>
  <c r="I51" i="5"/>
  <c r="J51" i="5" s="1"/>
  <c r="I44" i="5"/>
  <c r="J44" i="5" s="1"/>
  <c r="I43" i="5"/>
  <c r="J43" i="5" s="1"/>
  <c r="L43" i="5" s="1"/>
  <c r="I42" i="5"/>
  <c r="J42" i="5" s="1"/>
  <c r="I41" i="5"/>
  <c r="J41" i="5" s="1"/>
  <c r="L41" i="5" s="1"/>
  <c r="I40" i="5"/>
  <c r="J40" i="5" s="1"/>
  <c r="I39" i="5"/>
  <c r="J39" i="5" s="1"/>
  <c r="L39" i="5" s="1"/>
  <c r="I38" i="5"/>
  <c r="J38" i="5" s="1"/>
  <c r="I37" i="5"/>
  <c r="J37" i="5" s="1"/>
  <c r="L37" i="5" s="1"/>
  <c r="I36" i="5"/>
  <c r="J36" i="5" s="1"/>
  <c r="I35" i="5"/>
  <c r="J35" i="5" s="1"/>
  <c r="L35" i="5" s="1"/>
  <c r="I34" i="5"/>
  <c r="J34" i="5" s="1"/>
  <c r="I33" i="5"/>
  <c r="J33" i="5" s="1"/>
  <c r="L33" i="5" s="1"/>
  <c r="I32" i="5"/>
  <c r="J32" i="5" s="1"/>
  <c r="I31" i="5"/>
  <c r="J31" i="5" s="1"/>
  <c r="L31" i="5" s="1"/>
  <c r="I30" i="5"/>
  <c r="J30" i="5" s="1"/>
  <c r="I29" i="5"/>
  <c r="J29" i="5" s="1"/>
  <c r="L29" i="5" s="1"/>
  <c r="I28" i="5"/>
  <c r="J28" i="5" s="1"/>
  <c r="I27" i="5"/>
  <c r="J27" i="5" s="1"/>
  <c r="K27" i="5" s="1"/>
  <c r="I20" i="5"/>
  <c r="J20" i="5" s="1"/>
  <c r="I19" i="5"/>
  <c r="J19" i="5" s="1"/>
  <c r="L19" i="5" s="1"/>
  <c r="I18" i="5"/>
  <c r="J18" i="5" s="1"/>
  <c r="I17" i="5"/>
  <c r="J17" i="5" s="1"/>
  <c r="L17" i="5" s="1"/>
  <c r="I16" i="5"/>
  <c r="J16" i="5" s="1"/>
  <c r="I15" i="5"/>
  <c r="J15" i="5" s="1"/>
  <c r="L15" i="5" s="1"/>
  <c r="I14" i="5"/>
  <c r="J14" i="5" s="1"/>
  <c r="I13" i="5"/>
  <c r="J13" i="5" s="1"/>
  <c r="L13" i="5" s="1"/>
  <c r="I12" i="5"/>
  <c r="J12" i="5" s="1"/>
  <c r="I11" i="5"/>
  <c r="J11" i="5" s="1"/>
  <c r="L11" i="5" s="1"/>
  <c r="I10" i="5"/>
  <c r="J10" i="5" s="1"/>
  <c r="I9" i="5"/>
  <c r="J9" i="5" s="1"/>
  <c r="L9" i="5" s="1"/>
  <c r="I8" i="5"/>
  <c r="J8" i="5" s="1"/>
  <c r="I7" i="5"/>
  <c r="J7" i="5" s="1"/>
  <c r="I6" i="5"/>
  <c r="J6" i="5" s="1"/>
  <c r="I5" i="5"/>
  <c r="J5" i="5" s="1"/>
  <c r="I4" i="5"/>
  <c r="J4" i="5" s="1"/>
  <c r="H91" i="19"/>
  <c r="H88" i="19"/>
  <c r="L80" i="5" l="1"/>
  <c r="L85" i="5"/>
  <c r="H11" i="6"/>
  <c r="J11" i="6" s="1"/>
  <c r="I5" i="6"/>
  <c r="I9" i="6"/>
  <c r="H4" i="6"/>
  <c r="H6" i="6"/>
  <c r="J6" i="6" s="1"/>
  <c r="H8" i="6"/>
  <c r="J8" i="6" s="1"/>
  <c r="H10" i="6"/>
  <c r="J10" i="6" s="1"/>
  <c r="H12" i="6"/>
  <c r="J12" i="6" s="1"/>
  <c r="I7" i="6"/>
  <c r="K6" i="5"/>
  <c r="L6" i="5"/>
  <c r="L7" i="5"/>
  <c r="K7" i="5"/>
  <c r="L40" i="5"/>
  <c r="K40" i="5"/>
  <c r="L5" i="5"/>
  <c r="K5" i="5"/>
  <c r="L28" i="5"/>
  <c r="K28" i="5"/>
  <c r="L44" i="5"/>
  <c r="K44" i="5"/>
  <c r="L58" i="5"/>
  <c r="K58" i="5"/>
  <c r="L51" i="5"/>
  <c r="K51" i="5"/>
  <c r="J61" i="5"/>
  <c r="L59" i="5"/>
  <c r="K59" i="5"/>
  <c r="K71" i="5"/>
  <c r="L71" i="5"/>
  <c r="L34" i="5"/>
  <c r="K34" i="5"/>
  <c r="L52" i="5"/>
  <c r="K52" i="5"/>
  <c r="L30" i="5"/>
  <c r="K30" i="5"/>
  <c r="L53" i="5"/>
  <c r="K53" i="5"/>
  <c r="K73" i="5"/>
  <c r="L73" i="5"/>
  <c r="L20" i="5"/>
  <c r="K20" i="5"/>
  <c r="L42" i="5"/>
  <c r="K42" i="5"/>
  <c r="L55" i="5"/>
  <c r="K55" i="5"/>
  <c r="K79" i="5"/>
  <c r="L79" i="5"/>
  <c r="K18" i="5"/>
  <c r="L18" i="5"/>
  <c r="L60" i="5"/>
  <c r="K60" i="5"/>
  <c r="L8" i="5"/>
  <c r="K8" i="5"/>
  <c r="K67" i="5"/>
  <c r="J81" i="5"/>
  <c r="L67" i="5"/>
  <c r="L14" i="5"/>
  <c r="K14" i="5"/>
  <c r="L36" i="5"/>
  <c r="K36" i="5"/>
  <c r="L54" i="5"/>
  <c r="K54" i="5"/>
  <c r="K10" i="5"/>
  <c r="L10" i="5"/>
  <c r="L32" i="5"/>
  <c r="K32" i="5"/>
  <c r="L56" i="5"/>
  <c r="K56" i="5"/>
  <c r="K69" i="5"/>
  <c r="L69" i="5"/>
  <c r="K12" i="5"/>
  <c r="L12" i="5"/>
  <c r="K77" i="5"/>
  <c r="L77" i="5"/>
  <c r="K4" i="5"/>
  <c r="J21" i="5"/>
  <c r="L4" i="5"/>
  <c r="K16" i="5"/>
  <c r="L16" i="5"/>
  <c r="J45" i="5"/>
  <c r="L38" i="5"/>
  <c r="K38" i="5"/>
  <c r="L57" i="5"/>
  <c r="K57" i="5"/>
  <c r="K75" i="5"/>
  <c r="L75" i="5"/>
  <c r="K29" i="5"/>
  <c r="K31" i="5"/>
  <c r="K33" i="5"/>
  <c r="K35" i="5"/>
  <c r="K37" i="5"/>
  <c r="K39" i="5"/>
  <c r="K41" i="5"/>
  <c r="K43" i="5"/>
  <c r="L27" i="5"/>
  <c r="K68" i="5"/>
  <c r="K70" i="5"/>
  <c r="K72" i="5"/>
  <c r="K74" i="5"/>
  <c r="K76" i="5"/>
  <c r="K78" i="5"/>
  <c r="K80" i="5"/>
  <c r="K9" i="5"/>
  <c r="K11" i="5"/>
  <c r="K13" i="5"/>
  <c r="K15" i="5"/>
  <c r="K17" i="5"/>
  <c r="K19" i="5"/>
  <c r="H92" i="19"/>
  <c r="H90" i="19"/>
  <c r="H89" i="19"/>
  <c r="H79" i="19"/>
  <c r="H87" i="19"/>
  <c r="H77" i="19"/>
  <c r="H39" i="19"/>
  <c r="H40" i="19"/>
  <c r="L84" i="5" l="1"/>
  <c r="L86" i="5" s="1"/>
  <c r="K85" i="5"/>
  <c r="M85" i="5"/>
  <c r="I13" i="6"/>
  <c r="H110" i="19" s="1"/>
  <c r="L81" i="5"/>
  <c r="K61" i="5"/>
  <c r="L45" i="5"/>
  <c r="J4" i="6"/>
  <c r="J13" i="6" s="1"/>
  <c r="H13" i="6"/>
  <c r="L61" i="5"/>
  <c r="K81" i="5"/>
  <c r="K21" i="5"/>
  <c r="K45" i="5"/>
  <c r="L21" i="5"/>
  <c r="H41" i="19"/>
  <c r="H97" i="19"/>
  <c r="M84" i="5" l="1"/>
  <c r="M86" i="5" s="1"/>
  <c r="K84" i="5"/>
  <c r="K86" i="5" s="1"/>
  <c r="H112" i="19" s="1"/>
  <c r="C141" i="19"/>
  <c r="H119" i="19"/>
  <c r="H123" i="19" s="1"/>
  <c r="H59" i="19"/>
  <c r="H57" i="19"/>
  <c r="H53" i="19"/>
  <c r="H80" i="19" s="1"/>
  <c r="H27" i="19"/>
  <c r="H28" i="19" s="1"/>
  <c r="H99" i="19" l="1"/>
  <c r="H100" i="19" s="1"/>
  <c r="H113" i="19"/>
  <c r="H132" i="19" s="1"/>
  <c r="H58" i="19"/>
  <c r="H64" i="19" s="1"/>
  <c r="H71" i="19" s="1"/>
  <c r="G58" i="19"/>
  <c r="H34" i="19" l="1"/>
  <c r="I39" i="19" l="1"/>
  <c r="I92" i="19"/>
  <c r="I93" i="19"/>
  <c r="I95" i="19"/>
  <c r="I94" i="19"/>
  <c r="I81" i="19"/>
  <c r="I80" i="19"/>
  <c r="I40" i="19"/>
  <c r="H149" i="19" s="1"/>
  <c r="H128" i="19"/>
  <c r="I96" i="19"/>
  <c r="I79" i="19"/>
  <c r="I98" i="19"/>
  <c r="I77" i="19"/>
  <c r="I78" i="19"/>
  <c r="I91" i="19"/>
  <c r="I76" i="19"/>
  <c r="I89" i="19"/>
  <c r="I88" i="19"/>
  <c r="I90" i="19"/>
  <c r="I87" i="19"/>
  <c r="I97" i="19" l="1"/>
  <c r="I99" i="19"/>
  <c r="H148" i="19"/>
  <c r="I41" i="19"/>
  <c r="I47" i="19" s="1"/>
  <c r="H82" i="19"/>
  <c r="H150" i="19" s="1"/>
  <c r="I100" i="19" l="1"/>
  <c r="H151" i="19" s="1"/>
  <c r="H152" i="19" s="1"/>
  <c r="H69" i="19"/>
  <c r="I50" i="19"/>
  <c r="I52" i="19"/>
  <c r="I45" i="19"/>
  <c r="I51" i="19"/>
  <c r="I48" i="19"/>
  <c r="I49" i="19"/>
  <c r="I46" i="19"/>
  <c r="H130" i="19"/>
  <c r="H105" i="19" l="1"/>
  <c r="H106" i="19" s="1"/>
  <c r="H131" i="19"/>
  <c r="I53" i="19"/>
  <c r="H70" i="19" s="1"/>
  <c r="H72" i="19" s="1"/>
  <c r="H129" i="19" l="1"/>
  <c r="H133" i="19" s="1"/>
  <c r="I117" i="19" l="1"/>
  <c r="I118" i="19" s="1"/>
  <c r="I119" i="19" s="1"/>
  <c r="I122" i="19" l="1"/>
  <c r="I123" i="19"/>
  <c r="H134" i="19" s="1"/>
  <c r="H135" i="19" s="1"/>
  <c r="C3" i="20" s="1"/>
  <c r="E3" i="20" s="1"/>
  <c r="G3" i="20" s="1"/>
  <c r="G4" i="20" s="1"/>
  <c r="G6" i="20" s="1"/>
  <c r="I121" i="19"/>
  <c r="I120" i="19"/>
  <c r="G5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adminwks</author>
    <author>STI</author>
  </authors>
  <commentList>
    <comment ref="H21" authorId="0" shapeId="0" xr:uid="{36132BD9-2D17-48DE-90B9-7D1A05185F93}">
      <text>
        <r>
          <rPr>
            <b/>
            <sz val="9"/>
            <color indexed="81"/>
            <rFont val="Segoe UI"/>
            <family val="2"/>
          </rPr>
          <t>Refere-se ao valor mínimo a ser respeitado. Caso a CCT da empresa possua valor superior, este deverá ser considerado. Caso seja menor, deverá utilizar o valor da célula.</t>
        </r>
      </text>
    </comment>
    <comment ref="I47" authorId="1" shapeId="0" xr:uid="{94C7FBBB-30C5-424E-8C69-6D09062CC3AD}">
      <text>
        <r>
          <rPr>
            <b/>
            <sz val="9"/>
            <color indexed="81"/>
            <rFont val="Segoe UI"/>
            <family val="2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60" authorId="0" shapeId="0" xr:uid="{5738498D-A695-419F-92B6-6D07CC8FC536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</text>
    </comment>
    <comment ref="G60" authorId="0" shapeId="0" xr:uid="{9D9AF5CA-C3E3-47AF-BD07-C1EF7751CA76}">
      <text>
        <r>
          <rPr>
            <b/>
            <sz val="9"/>
            <color indexed="81"/>
            <rFont val="Segoe UI"/>
            <family val="2"/>
          </rPr>
          <t>Preencher o valor conforme disposto na CCT da empresa</t>
        </r>
      </text>
    </comment>
    <comment ref="H61" authorId="0" shapeId="0" xr:uid="{3E7760A4-0DA9-4E6F-A17B-CB31599DC3E5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</text>
    </comment>
    <comment ref="H62" authorId="0" shapeId="0" xr:uid="{83431F17-EE40-46E6-B278-EE89460600D2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</text>
    </comment>
    <comment ref="H63" authorId="0" shapeId="0" xr:uid="{AFB22A5B-5854-4899-8BC5-82FFC9827F71}">
      <text>
        <r>
          <rPr>
            <b/>
            <sz val="9"/>
            <color indexed="81"/>
            <rFont val="Segoe UI"/>
            <family val="2"/>
          </rPr>
          <t>A CCT utilizada na planilha modelo prevê o beneficial social familiar. Caso a CCT da empresa tenha previsões diferentes, estas deverão constar na planilha</t>
        </r>
      </text>
    </comment>
    <comment ref="J76" authorId="0" shapeId="0" xr:uid="{A25F3762-065C-45E6-9B93-7D05FA101A85}">
      <text>
        <r>
          <rPr>
            <b/>
            <sz val="9"/>
            <color indexed="81"/>
            <rFont val="Segoe UI"/>
            <family val="2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0" shapeId="0" xr:uid="{35DAA278-0B68-4523-84D7-07FA992B2E27}">
      <text>
        <r>
          <rPr>
            <b/>
            <sz val="9"/>
            <color indexed="81"/>
            <rFont val="Segoe UI"/>
            <family val="2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I117" authorId="1" shapeId="0" xr:uid="{93BBAC08-DB48-4C59-96F0-3D1F45498639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18" authorId="1" shapeId="0" xr:uid="{E3BA0A6A-7544-4700-A710-AF27DBA2155C}">
      <text>
        <r>
          <rPr>
            <b/>
            <sz val="9"/>
            <color indexed="81"/>
            <rFont val="Segoe UI"/>
            <family val="2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20" authorId="0" shapeId="0" xr:uid="{D934CB15-8727-494A-9A39-CC8738A91740}">
      <text>
        <r>
          <rPr>
            <b/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  <comment ref="I121" authorId="0" shapeId="0" xr:uid="{D3A21C96-06D2-4FF2-B5FB-E7355698CD42}">
      <text>
        <r>
          <rPr>
            <sz val="9"/>
            <color indexed="81"/>
            <rFont val="Segoe UI"/>
            <family val="2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</text>
    </comment>
  </commentList>
</comments>
</file>

<file path=xl/sharedStrings.xml><?xml version="1.0" encoding="utf-8"?>
<sst xmlns="http://schemas.openxmlformats.org/spreadsheetml/2006/main" count="716" uniqueCount="378">
  <si>
    <t>Posto</t>
  </si>
  <si>
    <t>TOTAL</t>
  </si>
  <si>
    <t xml:space="preserve">PLANILHA DE CUSTOS E FORMAÇÃO DE PREÇOS </t>
  </si>
  <si>
    <t xml:space="preserve">Processo nº: </t>
  </si>
  <si>
    <t xml:space="preserve">Pregão </t>
  </si>
  <si>
    <t>Data do Pregão:</t>
  </si>
  <si>
    <t>DISCRIMINAÇÃO DOS SERVIÇOS (DADOS REFERENTES À CONTRATAÇÃO)</t>
  </si>
  <si>
    <t>A</t>
  </si>
  <si>
    <t>Data de apresentação da proposta (dia/mês/ano)</t>
  </si>
  <si>
    <t>B</t>
  </si>
  <si>
    <t>Município/ UF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</si>
  <si>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</si>
  <si>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</si>
  <si>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</si>
  <si>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</si>
  <si>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</si>
  <si>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IDENTIFICAÇÃO DO SERVIÇO</t>
  </si>
  <si>
    <t>Unidade de medida</t>
  </si>
  <si>
    <t>Quantidade total a contratar (em função da unidade de medida):</t>
  </si>
  <si>
    <t>Cargo:</t>
  </si>
  <si>
    <t>MÃO-DE-OBRA VINCULADA À EXECUÇÃO CONTRATUAL</t>
  </si>
  <si>
    <t>Dados complementares para composição dos custos referente à mão-de-obra</t>
  </si>
  <si>
    <t>Tipo do serviço</t>
  </si>
  <si>
    <t>Classificação Brasileira de Ocupações (CBO)</t>
  </si>
  <si>
    <t>Salário Normativo da Categoria Profissional</t>
  </si>
  <si>
    <t xml:space="preserve">Categoria profissional </t>
  </si>
  <si>
    <t>Data base da categoria</t>
  </si>
  <si>
    <t>MÓDULO 01: COMPOSIÇÃO DA REMUNERAÇÃO</t>
  </si>
  <si>
    <t>Composição da remuneração</t>
  </si>
  <si>
    <t>Valor (R$)</t>
  </si>
  <si>
    <t>Salário base</t>
  </si>
  <si>
    <t>Adicional de periculosidade</t>
  </si>
  <si>
    <t>Sim/Não</t>
  </si>
  <si>
    <t>S</t>
  </si>
  <si>
    <t>Adicional de insalubridade</t>
  </si>
  <si>
    <t>N</t>
  </si>
  <si>
    <t>Adicional noturno</t>
  </si>
  <si>
    <t>E</t>
  </si>
  <si>
    <t xml:space="preserve">Hora noturna adicional - ou hora noturna reduzida </t>
  </si>
  <si>
    <t>F</t>
  </si>
  <si>
    <t>Adicional de hora extra no feriado</t>
  </si>
  <si>
    <t>G</t>
  </si>
  <si>
    <t>Outros (especificar)</t>
  </si>
  <si>
    <t>TOTAL DA REMUNERAÇÃO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</si>
  <si>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</si>
  <si>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</si>
  <si>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</si>
  <si>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</si>
  <si>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</si>
  <si>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</si>
  <si>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t xml:space="preserve">Férias e Adicional de Férias </t>
  </si>
  <si>
    <t xml:space="preserve">TOTAL </t>
  </si>
  <si>
    <t>c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</si>
  <si>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</si>
  <si>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</si>
  <si>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</si>
  <si>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</si>
  <si>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</si>
  <si>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Seguro Acidente do Trabalho (SAT)</t>
  </si>
  <si>
    <t>SESC ou SESI</t>
  </si>
  <si>
    <t>SENAI ou SENAC</t>
  </si>
  <si>
    <t>SEBRAE</t>
  </si>
  <si>
    <t>INCRA</t>
  </si>
  <si>
    <t>I</t>
  </si>
  <si>
    <t>FGTS</t>
  </si>
  <si>
    <t>Submódulo 2.3 - Benefícios Mensais e Diários</t>
  </si>
  <si>
    <t>2.3</t>
  </si>
  <si>
    <t>Benefícios Mensais e Diários</t>
  </si>
  <si>
    <t>Transporte</t>
  </si>
  <si>
    <t>SIM/NÃO</t>
  </si>
  <si>
    <t>Valor</t>
  </si>
  <si>
    <t>Passagens</t>
  </si>
  <si>
    <t>Dias</t>
  </si>
  <si>
    <t>Desconto</t>
  </si>
  <si>
    <t>Auxílio-Refeição/Alimentação</t>
  </si>
  <si>
    <t>Plano de Assistência Médica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</si>
  <si>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</si>
  <si>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</si>
  <si>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</si>
  <si>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 xml:space="preserve">MÓDULO 03: PROVISÃO PARA RESCISÃO 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</si>
  <si>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</si>
  <si>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</si>
  <si>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</si>
  <si>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</si>
  <si>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</si>
  <si>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</si>
  <si>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</si>
  <si>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</si>
  <si>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</si>
  <si>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</si>
  <si>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</si>
  <si>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</si>
  <si>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</si>
  <si>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</si>
  <si>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Licença Maternidade</t>
  </si>
  <si>
    <t>Auxílio-Doença</t>
  </si>
  <si>
    <t>Substituto na Cobertura das Ausências por Acidente de Trabalho</t>
  </si>
  <si>
    <t>Estima-se uma licença de 15 dias por ano para 1,22% dos empregados. Esta taxa foi obtida pela proporção de acidentes de trabalho registrados, 717.911, conforme dados do Anuário Estatístico da Previdência Social – AEPS/2013, em relação a 58.981.000 de trabalhadores que fazem jus a emissão da CAT (trabalhadores com carteira assinada, outros tipos de trabalhadores e domésticas), conforme dados da PNAD 2013.</t>
  </si>
  <si>
    <t>Subtotal</t>
  </si>
  <si>
    <t>M</t>
  </si>
  <si>
    <t>QUADRO RESUMO DO MÓDULO 4 - CUSTO DE REPOSIÇÃO DO PROFISSIONAL AUSENTE</t>
  </si>
  <si>
    <t>Substituto nas Ausência Legais</t>
  </si>
  <si>
    <t>MÓDULO 05: INSUMOS DIVERSOS</t>
  </si>
  <si>
    <t>Insumos Diversos</t>
  </si>
  <si>
    <t>Uniformes</t>
  </si>
  <si>
    <t>Materiais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</si>
  <si>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</si>
  <si>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</si>
  <si>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</si>
  <si>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</si>
  <si>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</si>
  <si>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</si>
  <si>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</si>
  <si>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PIS</t>
  </si>
  <si>
    <t>C.2</t>
  </si>
  <si>
    <t>COFINS</t>
  </si>
  <si>
    <t>C.3</t>
  </si>
  <si>
    <t>Tibutos Municipais</t>
  </si>
  <si>
    <t>ISS</t>
  </si>
  <si>
    <t>QUADRO RESUMO DO CUSTO POR EMPREGADO</t>
  </si>
  <si>
    <t>Mão-de-obra vinculada 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</si>
  <si>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</si>
  <si>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</si>
  <si>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</si>
  <si>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</si>
  <si>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</si>
  <si>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</si>
  <si>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</si>
  <si>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POSTO</t>
  </si>
  <si>
    <t>Adm</t>
  </si>
  <si>
    <t>VALORES RETIDOS PARA A CONTA VINCULADA</t>
  </si>
  <si>
    <t>Mão-de-Obra vinculada à execução contratual (valor por empregado)</t>
  </si>
  <si>
    <t>Modulo 2.1 -  13° Salário</t>
  </si>
  <si>
    <t>Módulo 3 - Provisão Para Rescisão</t>
  </si>
  <si>
    <t>PREÇO TOTAL POR EMPREGADO</t>
  </si>
  <si>
    <t>L</t>
  </si>
  <si>
    <t>Proporcional de férias, 1/3 e 13º sobre custo de reposição (exceto licença maternidade)</t>
  </si>
  <si>
    <t>Incidência do Submódulo 2 sobre o custo de reposição</t>
  </si>
  <si>
    <t>ITEM</t>
  </si>
  <si>
    <t>INSUMOS DIVERSOS</t>
  </si>
  <si>
    <t xml:space="preserve">QUANTIDADE </t>
  </si>
  <si>
    <t>COTAÇÃO 1</t>
  </si>
  <si>
    <t>COTAÇÃO 2</t>
  </si>
  <si>
    <t>COTAÇÃO 3</t>
  </si>
  <si>
    <t>VALOR MÉDIO</t>
  </si>
  <si>
    <t xml:space="preserve">CUSTO MENSAL </t>
  </si>
  <si>
    <t>DESCRIÇÃO</t>
  </si>
  <si>
    <t>QTDE ANUAL</t>
  </si>
  <si>
    <t>2024/2025</t>
  </si>
  <si>
    <t xml:space="preserve">Jaqueta de frio. Modelagem solta, material de primeira qualidade.                                                                                COR: conforme padronagem adotada pela contratada, EXCETO PRETO/CAMUFLADO/RAJADO/MULTICAM”,         ou qualquer outro tom que possa vir a se assemelhar com os uniformes (camisa e camiseta) adotados pela PF.                                                               Conforme tamanho do colaborador. </t>
  </si>
  <si>
    <t xml:space="preserve">Capa para chuva, com capuz fixo sem cordão, em material resistente, mangas longas; fechamento com botões de pressão plásticos ou em metal, material Laminado PVC 015 sarja, transparente/amarelo.                               Conforme tamanho do colaborador. </t>
  </si>
  <si>
    <r>
      <t xml:space="preserve">Bota, tipo galocha, cano longo, com solado antiderrapante; bota de segurança, tipo impermeável, de uso profissional, confeccionada em policloreto de vinila, injetado em uma só peça. Comprimento do cano 26cm.                           </t>
    </r>
    <r>
      <rPr>
        <sz val="9"/>
        <rFont val="Arial"/>
        <family val="2"/>
      </rPr>
      <t xml:space="preserve">Conforme tamanho do colaborador. </t>
    </r>
  </si>
  <si>
    <r>
      <t>Bota cano curto de segurança, em couro, na cor preta, tipo botina, fechamento em elástico, bico PVC crival, montada pelo sistema strobel.                                                     Conforme tamanho do colaborador.</t>
    </r>
    <r>
      <rPr>
        <sz val="9"/>
        <color rgb="FFFF0000"/>
        <rFont val="Arial"/>
        <family val="2"/>
      </rPr>
      <t xml:space="preserve">  </t>
    </r>
    <r>
      <rPr>
        <sz val="9"/>
        <color theme="1"/>
        <rFont val="Arial"/>
        <family val="2"/>
      </rPr>
      <t xml:space="preserve">        </t>
    </r>
  </si>
  <si>
    <t xml:space="preserve">Boné.                                                                                 Conforme tamanho do colaborador. </t>
  </si>
  <si>
    <t>Avental PVC com forro 120x70cm.</t>
  </si>
  <si>
    <t xml:space="preserve">Calça Tactel unissex, tipo cargo, com elástico, zíper ou botões, sem forro, confeccionada em tecido 
tactel (Poliéster 100%), com dois bolsos 
dianteiros embutidos, um bolso traseiro direito e um bolso sacolinha com lapela em cada 
lateral de cada perna. O logotipo deverá estar gravado na calça, porém, não pode ser 
semelhante ao utilizado pela PF em seus uniformes. 
COR: conforme padronagem adotada pela contratada, EXCETO PRETO/CAMUFLADO/RAJADO/MULTICAM”,         ou qualquer outro tom que possa vir a se assemelhar com os uniformes adotados pela PF.                                                               Conforme tamanho do colaborador. </t>
  </si>
  <si>
    <r>
      <t xml:space="preserve">Camiseta unissex, </t>
    </r>
    <r>
      <rPr>
        <b/>
        <sz val="10"/>
        <color rgb="FF000000"/>
        <rFont val="Arial"/>
        <family val="2"/>
      </rPr>
      <t>manga  curta</t>
    </r>
    <r>
      <rPr>
        <sz val="10"/>
        <color rgb="FF000000"/>
        <rFont val="Arial"/>
        <family val="2"/>
      </rPr>
      <t xml:space="preserve">;  em  malha  flamê  (100% algodão) ou malha fria PV (poliéster de 60 a 67% e Viscose 33 a 40%), modelagem levemente solta, barra reta e gola em V ou O, com logotipo da empresa contratada estampado no peito. O logotipo não pode ser semelhante ao utilizado nos uniformes da PF.        COR: conforme padronagem adotada pela contratada, EXCETO PRETO/CAMUFLADO/RAJADO/MULTICAM”,         ou qualquer outro tom que possa vir a se assemelhar com os uniformes (camisa e camiseta) adotados pela PF.                                                               Conforme tamanho do colaborador. </t>
    </r>
  </si>
  <si>
    <r>
      <t xml:space="preserve">Camiseta unissex, </t>
    </r>
    <r>
      <rPr>
        <b/>
        <sz val="10"/>
        <color rgb="FF000000"/>
        <rFont val="Arial"/>
        <family val="2"/>
      </rPr>
      <t>manga longa</t>
    </r>
    <r>
      <rPr>
        <sz val="10"/>
        <color rgb="FF000000"/>
        <rFont val="Arial"/>
        <family val="2"/>
      </rPr>
      <t xml:space="preserve">, em  malha  flamê  (100% algodão) ou malha fria PV (poliéster de 60 a 67% e Viscose 33 a 40%), modelagem levemente solta, barra reta e gola em V ou O, com logotipo da empresa contratada estampado no peito.  O logotipo não pode ser semelhante ao utilizado nos uniformes da PF.   COR: conforme padronagem adotada pela contratada, EXCETO PRETO/CAMUFLADO/RAJADO/MULTICAM”,         ou qualquer outro tom que possa vir a se assemelhar com os uniformes (camisa e camiseta) adotados pela PF.                                                               Conforme tamanho do colaborador. </t>
    </r>
  </si>
  <si>
    <t>VALOR TOTAL POR FUNCIONÁRIO TERCEIRIZADO</t>
  </si>
  <si>
    <t>MATERIAIS E EQUIPAMENTOS NECESSÁRIOS À EXECUÇÃO DOS SERVIÇOS. * Promovendo as substituições, quando necessárias.</t>
  </si>
  <si>
    <t>Luvas de látex para procedimento não estéreis levemente talcada, hipoalergênica, ambidestra, branca Tamanho G. Caixa com 50 pares.</t>
  </si>
  <si>
    <t xml:space="preserve">                         CX</t>
  </si>
  <si>
    <t xml:space="preserve">Óculos de proteção de acrílico, confeccionados em policarbonato óptico, lente curva, leve e resistente, haste de material plástico, tipo espátula maleável, com cordão de segurança.                                                                        Conforme tamanho do colaborador.   </t>
  </si>
  <si>
    <t>Gorro/touca cirúrgico descartável, material antialérgico com fixação de elástico, modelo redonda na cor branca.      Caixa com 100 unidades.</t>
  </si>
  <si>
    <t>CX</t>
  </si>
  <si>
    <t>Balde de Alumínio Reforçado, pegador de madeira,              capacidade 8 litros.</t>
  </si>
  <si>
    <t>Balde plástico – 20 L, em Polipropileno com alça de metal, de uso geral, dimensões: 350x345mm.</t>
  </si>
  <si>
    <t>Pá p/coleta de dejetos dos cães, de metal, com cabo longo (aprox. 80cm) de madeira.</t>
  </si>
  <si>
    <t>Rodo plástico, 60 cm, com borracha dupla e cabo de 150cm.</t>
  </si>
  <si>
    <t>Vassoura de aço (ancinho/rastelo), própria para terrenos com gramas e folhas.   Características das hastes e ponta: aço; cabo: 110 cm; largura: 61,00 cm; altura: 11,00 cm;  comprimento: 156,00 cm.</t>
  </si>
  <si>
    <t xml:space="preserve">                         UN</t>
  </si>
  <si>
    <t>Vassoura de pêlo, 60 cm, cabo de madeira.</t>
  </si>
  <si>
    <t>Vassourão Piaçava, natural, GARI, com cabo de madeira, rosca reforçada.</t>
  </si>
  <si>
    <t>Copo dosador para ração 100 ml</t>
  </si>
  <si>
    <t>Copo dosador para ração 1000 ml</t>
  </si>
  <si>
    <t>Vassoura Piaçava, natural, com cabo de madeira,              de 1,20m, nº4.</t>
  </si>
  <si>
    <t>Protetor solar FPS 30. Embalagem de 200ml</t>
  </si>
  <si>
    <t>Repelente de inseto, contendo ICARIDINA 20% a 25%, frasco com 200ml.</t>
  </si>
  <si>
    <t>UN</t>
  </si>
  <si>
    <t xml:space="preserve">Máscara cirúrgica Tripla consolidada.                             Pacote com 50 unidades.              </t>
  </si>
  <si>
    <t xml:space="preserve">Luvas de PVC; 36 cm, forrada com malha de algodão, impermeável com palma, dedos e dorso áspera, espessura média: 1.23mm ± 0,5 mm, resistentes à ação de agressivos ácidos e básicos, detergentes, sabões, amoníaco e similares e solventes orgânicos.             Conforme tamanho do colaborador. </t>
  </si>
  <si>
    <t>PAR</t>
  </si>
  <si>
    <t>VALOR TOTAL 1</t>
  </si>
  <si>
    <t>TIPO</t>
  </si>
  <si>
    <t>MATERIAIS DE LIMPEZA E HIGIENIZAÇÃO DE RECINTOS</t>
  </si>
  <si>
    <t>Álcool etílico hidratado, mínimo de 70%, com selo de registro no MS. Embalagem 1 litro.</t>
  </si>
  <si>
    <t>Desinfetante, óleo de Pinho, emulsificante, bactericida, alcalinidade: produto neutro - PH 6,5 a 7,5, aspecto: líquido cor Mel Translúcido. Embalagem 5 litros.</t>
  </si>
  <si>
    <t>Desinfetante à base de Citronela. Embalagem 2 litros</t>
  </si>
  <si>
    <t xml:space="preserve">Detergente neutro. Embalagem 5 litros. </t>
  </si>
  <si>
    <t>Esponja/Lã de aço para remoção de resíduos,            pacote com 8 unidades, 60 gramas.</t>
  </si>
  <si>
    <t>Esponja dupla face, sendo uma em fibra sintética com material abrasivo, para limpeza mais difícil e a outra em espuma de poliuretano, ou similar, para limpeza de superfícies delicadas devidamente sobrepostas e firmemente unidas. Quando embebida em detergente não deverá murchar, esfiapar-se ou soltar pedaços durante o processo de esfregadura. Comprimento (108 a 114) mm, Largura (69 a 77) mm, Espessura (20 a 25) mm.                                                                  Pacote com 4 unidades.</t>
  </si>
  <si>
    <t>Flanela, branca 100% algodão, alta capacidade de absorção, para limpeza, formato mínimo de 30 cm x 40 cm.</t>
  </si>
  <si>
    <t>Escova de esfregar panos com cerdas plásticas e cabeça de madeira</t>
  </si>
  <si>
    <t>Limpador multiuso. Embalagem 500 ml.</t>
  </si>
  <si>
    <t>Pano de Chão, de algodão alvejado; medida aproximada 44 x 65 cm</t>
  </si>
  <si>
    <t>Saco Lixo (grosso) 100 litros, produto em conformidade com a norma ABNT NBR 9191 (05/2008) – sacos plásticos para o acondicionamento de lixo – requisitos e métodos de ensaio, confeccionados com resinas termoplásticas virgens ou recicladas, os pigmentos utilizados devem ser compatíveis com a resina empregada de modo que, não interfiram nas características de resistência mecânica e proporcionem a opacidade necessária à aplicação, outros aditivos devem ser também compatíveis com a resina e empregados em quantidades tais que, não alterem as condições estabelecidas, deverão apresentar solda contínua homogênea e uniforme, proporcionando uma perfeita vedação, e não permitindo a perda de conteúdo durante o manuseio. Deverá ainda apresentar características tais que possibilitem fácil separação e abertura das unidades sem provocar danos ao saco, medidas planas mínimas: 75 x 105 cm.                          Pacote com 100 unidades.</t>
  </si>
  <si>
    <t>Saco Lixo (grosso) 60 litros, produto em conformidade com a norma ABNT NBR 9191 (05/2008) – sacos plásticos para o acondicionamento de lixo – requisitos e métodos de ensaio, confeccionados com resinas termoplásticas virgens ou recicladas, os pigmentos utilizados devem ser compatíveis com a resina empregada de modo que, não interfiram nas características de resistência mecânica e proporcionem a opacidade necessária à aplicação, outros aditivos devem ser também compatíveis com a resina e empregados em quantidades tais que, não alterem as condições estabelecidas, deverão apresentar solda contínua homogênea e uniforme, proporcionando uma perfeita vedação, e não permitindo a perda de conteúdo durante o manuseio. Deverá ainda apresentar características tais que possibilitem fácil separação e abertura das unidades sem provocar danos ao saco, medidas planas mínimas: 59 x 62 cm.                           Pacote com 100 unidades.</t>
  </si>
  <si>
    <t>Sapólio. Embalagem 300g.</t>
  </si>
  <si>
    <t>Papel-toalha em bobina,                                                    pacote com 6 rolos de 20cm x 100 metros.</t>
  </si>
  <si>
    <t>Papel Higiênico, 30m x 10cm, de primeira qualidade, na cor branca. Folha dupla. Pacote com 04 rolos.</t>
  </si>
  <si>
    <t>Sabão em pó. Pacote de 4 kg.</t>
  </si>
  <si>
    <t>Sabão em barra, glicerinado barras de 200g cada.</t>
  </si>
  <si>
    <t xml:space="preserve">Limpa pedra. Limpador multiuso a base de ácido muriático. Embalagem 5 litros. </t>
  </si>
  <si>
    <t>VALOR TOTAL 2</t>
  </si>
  <si>
    <t>Shampoo anti-pulgas. PH neutro. Produto deverá ser registrado no ministério da agricultura. Embalagem 1 litro.</t>
  </si>
  <si>
    <t>Shampoo para cães Dermatite Seborreica 250ml</t>
  </si>
  <si>
    <t>Shampoo anti-dermatite com Clorexidina.            Embalagem 500 ml.</t>
  </si>
  <si>
    <t>Toalha de Banho para cães, microfibra.</t>
  </si>
  <si>
    <t>Colônia canina, fragrância hipoalergênica, sem álcool, alta fixação, Frasco 100 ml.</t>
  </si>
  <si>
    <t>Cortador de unha Wahl Clipper, 2 em 1.</t>
  </si>
  <si>
    <t>Algodão hidrófilo em bola. Fibras 100% algodão, purificadas e alvejadas. Pacote 100g.</t>
  </si>
  <si>
    <t>Pasta dental específica para cachorro.                 Embalagem de 60g.</t>
  </si>
  <si>
    <t>Escova de dentes própria para cachorro de                  grande porte – haste longa.</t>
  </si>
  <si>
    <t>Cloreto benzalcônio 15,0g, veículo q.s.p. , líquido, desinfetante, bactericida, fungicida, viricida, desodorizante, frasco 1 litro, (tipo Herbalvet ou similar).</t>
  </si>
  <si>
    <t xml:space="preserve">MATERIAL DE LIMPEZA, HIGIENIZAÇÃO E CUIDADO DOS CÃES  </t>
  </si>
  <si>
    <t>VALOR TOTAL 3</t>
  </si>
  <si>
    <t>Container de lixo com rodas, 240 litros,                         tamanho mínimo de 105x56x54 cm.</t>
  </si>
  <si>
    <t>Carrinho Carga Armazém - carga de mão (300 kg).</t>
  </si>
  <si>
    <t>Botijão de gás GLP, 13 Kg, com gás, para "vassoura de fogo".</t>
  </si>
  <si>
    <t>Maçarico lança chamas, cabo 65 cm,                                  com conectores para GLP.</t>
  </si>
  <si>
    <t>Extensão Carretel Profissional 2x2,5mm, com 50 metros, compatível com plugs 10A e 20A.</t>
  </si>
  <si>
    <t>Soprador/Secador 2 motores, 220 volts, potência de 1400 W a 2800 W, portátil, mangueira flexível de 1 1/2" com 2 metros de extensão e bico direcionador, certificação INMETRO, filtro abafador e acústico.</t>
  </si>
  <si>
    <t xml:space="preserve">                             UN</t>
  </si>
  <si>
    <t>Mangueira de água flex em PVC 3 camadas, 25 metros, com esguicho e suporte de parede.</t>
  </si>
  <si>
    <t>Comedouro maciço em Alumínio, pesado e polido,         com capacidade mínima de 1900 ml.</t>
  </si>
  <si>
    <t>Coleira tática feita de material de alta qualidade (nailon) e durável com costura e forro acolchoado macio para impedir o atrito entre a pele e o pêlo do cão, com ajuste confortável. Fechamento com fivela dupla de metal e liberação rápida. Uma alça de controle. Tamanho G.</t>
  </si>
  <si>
    <t>Guia de coleira, largura 25mm, mosquetão em latão niquelado. Resistência à tração  200 kgf. Mínimo de 1,5 metros.</t>
  </si>
  <si>
    <t>Carrinho de mão de metal com pneu sem câmara.</t>
  </si>
  <si>
    <t>Roçadeira a gasolina, fio de nylon, tanque 600 ml</t>
  </si>
  <si>
    <t xml:space="preserve">Pulverizador de alta pressão, de jato contínuo, com capacidade para 20 litros, ponta de pulverização de
cone regulável com sistema anti-gotejamento, alça para carregamento no padrão “mochila”. </t>
  </si>
  <si>
    <t>Lavadora de alta pressão, de vazão mínima de                 500 litros/hora, pressão (mín de 2176 PSI), potência 2,2 KW, 220 volts, com autostop, uso intensivo,                           diferentes tipos de jatos, válvula de segurança.</t>
  </si>
  <si>
    <t>MATERIAL PERMANENTE PARA CUIDADOS COM O CANIL * Promovendo as substituições, quando necessárias.</t>
  </si>
  <si>
    <t>VALOR TOTAL 4</t>
  </si>
  <si>
    <t xml:space="preserve"> UN</t>
  </si>
  <si>
    <t>Tratador de animais</t>
  </si>
  <si>
    <t>6230-20</t>
  </si>
  <si>
    <t>Tipo de Serviço (A)</t>
  </si>
  <si>
    <t>Valor Proposto por Empregado (B)</t>
  </si>
  <si>
    <t>Qtde. de Empregados por Posto (C)</t>
  </si>
  <si>
    <t>Valor Proposto por Posto
(D) = (B x C)</t>
  </si>
  <si>
    <t>Qtde. de Postos (E)</t>
  </si>
  <si>
    <t>Valor Total do Serviço
(F) = (D x E)</t>
  </si>
  <si>
    <t xml:space="preserve">Valor Mensal dos Serviços </t>
  </si>
  <si>
    <t>Contratação de pessoa jurídica para fornecimento dos Serviços de Tratador de Animais (cães)</t>
  </si>
  <si>
    <t>Valor Anual dos Serviços</t>
  </si>
  <si>
    <t>Valor para 30 meses</t>
  </si>
  <si>
    <t>Cesta Básica</t>
  </si>
  <si>
    <t>Benefício Social Sindical</t>
  </si>
  <si>
    <t>Módulo 4 - Reposição de Profissional Ausente</t>
  </si>
  <si>
    <t xml:space="preserve">Modulo 2.1 - Férias+ Adicional de Férias </t>
  </si>
  <si>
    <t>fórmula - tributação "por dentro"</t>
  </si>
  <si>
    <t>Correção de fórmula simples - inclusão do "se não tiver passagem"</t>
  </si>
  <si>
    <t>6% do salário base é o desconto</t>
  </si>
  <si>
    <t>Desconto conforme convenção coletiva: convenção coletiva informa que o valor a ser descontado é de 1,32 por dia</t>
  </si>
  <si>
    <t>QUADRO-RESUMO DO VALOR MENSAL DOS SERVIÇOS</t>
  </si>
  <si>
    <t>Valor Unitário</t>
  </si>
  <si>
    <t>PERÍODO (EM MESES)</t>
  </si>
  <si>
    <t>CUSTO ANUAL</t>
  </si>
  <si>
    <t>CUSTO 30 MESES</t>
  </si>
  <si>
    <t>COTAÇÃO DE UNIFORME</t>
  </si>
  <si>
    <t>Valor unitário</t>
  </si>
  <si>
    <t>CUSTO POR POSTO</t>
  </si>
  <si>
    <t xml:space="preserve">MENSAL </t>
  </si>
  <si>
    <t xml:space="preserve">ANUAL </t>
  </si>
  <si>
    <t>PARA 30 MESES</t>
  </si>
  <si>
    <t>Memória de Cálculo</t>
  </si>
  <si>
    <t>Observações</t>
  </si>
  <si>
    <t>Piso Salarial da Categoria Profissional ou, na ausência deste, Salário Mínimo</t>
  </si>
  <si>
    <t>Artigos 457 e 458 do Decreto Lei 5452/1943 (CLT).
Incisos IV e V da Constituição Federal de 1988.</t>
  </si>
  <si>
    <t>Salário Base x 30%</t>
  </si>
  <si>
    <t>Art. 193, § 1º , Decreto Lei 5452/1943 (CLT)</t>
  </si>
  <si>
    <t>Salário Mínimo x Enquadramento (10%; 20% ou 40%)</t>
  </si>
  <si>
    <t>Art. 7°, Inciso XXIII da Constituição Federal de 1988.</t>
  </si>
  <si>
    <t>Remuneração x 20%</t>
  </si>
  <si>
    <t>Art. 7°, Inciso IX da Constituição Federal de 1988.</t>
  </si>
  <si>
    <t>Art. 7°, Inciso XVI da Constituição Federal de 1988.</t>
  </si>
  <si>
    <t>1/12 ≅ 8,33% x Total da Remuneração</t>
  </si>
  <si>
    <t>Art. 7°, Inciso VIII da Constituição Federal de 1988.</t>
  </si>
  <si>
    <t>1/12+[(1/12) x (1/3)] ≅ 11,11% x Total da Remuneração</t>
  </si>
  <si>
    <t>Art. 7°, Inciso XVII da Constituição Federal de 1988.</t>
  </si>
  <si>
    <t>20% x (Remuneração + 13° + Férias)</t>
  </si>
  <si>
    <t>Art. 22, Inciso I, Lei 8.212/1991</t>
  </si>
  <si>
    <t>2,5% x (Remuneração + 13° + Férias)</t>
  </si>
  <si>
    <t>Art. 95. IN RFB 2110/2022
§ 1º do Art. 96 IN RFB 2110/2022</t>
  </si>
  <si>
    <t>3% x (Remuneração + 13° + Férias)</t>
  </si>
  <si>
    <t>Art. 22, Inciso II, Lei 8.212/1991
Art. 43, Inciso II da IN RFB 2110/2022</t>
  </si>
  <si>
    <t>1,5% x (Remuneração + 13° + Férias)</t>
  </si>
  <si>
    <t>Anexo III da IN RFB 2110/2022</t>
  </si>
  <si>
    <t>1% x (Remuneração + 13° + Férias)</t>
  </si>
  <si>
    <t>0,6% x (Remuneração + 13° + Férias)</t>
  </si>
  <si>
    <t>0,2% x (Remuneração + 13° + Férias)</t>
  </si>
  <si>
    <t>8% x (Remuneração + 13° + Férias)</t>
  </si>
  <si>
    <t>Art. 15, Lei nº 8.036/1990
Art. 214, Decreto 3.048/1999</t>
  </si>
  <si>
    <t xml:space="preserve">Submódulo 2.3 - Benefícios Mensais e Diários </t>
  </si>
  <si>
    <t>(22 x 2 x Tarifa Municipal de Transporte) - (6% x Salário Básico)</t>
  </si>
  <si>
    <t>Art. 4º, Parágrafo Único, Lei 7.418/1985
Para fins de estimativa, considera-se a média de 22 dias úteis por mês e 2 passagens por dia</t>
  </si>
  <si>
    <t>Benefício Social Familiar</t>
  </si>
  <si>
    <t>Conforme disposições da Convenção Coletiva de Trabalho da categoria profissional</t>
  </si>
  <si>
    <t>Módulo 3 - Provisão para Rescisão</t>
  </si>
  <si>
    <t>0,05 x (1+(1/12+1/12+1/36))/12) x Remuneração</t>
  </si>
  <si>
    <t>Estimativa de que 5% dos empregados serão substituídos durante um ano.
Provisão de férias, adicional de férias e 13°</t>
  </si>
  <si>
    <t>Incidência do FGTS (8%) sobre o aviso prévio indenizado</t>
  </si>
  <si>
    <t>§ 1º do Art. 18 da Lei nº 8.036/1990
 &lt;https://antigo.comprasgovernamentais.gov.br/index.php/noticias/1238-extincao-contribuicao-social-sobre-o-fgts&gt;</t>
  </si>
  <si>
    <t>Redução de 7 dias ou de 2h por dia para 100 % dos empregados. Percentual relativo a contrato de 12 (doze) meses.</t>
  </si>
  <si>
    <t>Substituto na Cobertura de Férias (13º salário, Férias e 1/3 adicional de Férias)</t>
  </si>
  <si>
    <t>{[(1/12)+(1/12)+(1/12 x 1/3)]/12} x Remuneração</t>
  </si>
  <si>
    <t>Férias, adicional de férias e 13° da cobertura de férias</t>
  </si>
  <si>
    <t>1,62% x 50% x (5/30/12) x Remuneração</t>
  </si>
  <si>
    <t>Considerou-se a taxa de natalidade de 1,62% (IBGE 2023) a força de trabalho masculina de 50% e 5 dias de licença por ano.
§ 1º Art.10, Constituição Federal/1988</t>
  </si>
  <si>
    <t>[(1 /12) + (1 / 12 x 1/ 3)] x (4 / 12) x 1,62% x 50% x Remuneração</t>
  </si>
  <si>
    <t>Cabe à contratada a provisão relativa às férias (1/12) e adicional de férias (1/12/3). Para o cálculo foi considerada a taxa de natalidade de 1,62% ao ano (IBGE 2023), a força de trabalho feminina de 50% e 120 dias de licença por ano.</t>
  </si>
  <si>
    <t>(15/30/12) x 1,22% x Remuneração</t>
  </si>
  <si>
    <t>Incidência do Submódulo 2.2 sobre o custo de reposição (A,B,C e D)</t>
  </si>
  <si>
    <t>Soma da Incidência do Submódulo 2.2 x Valor provisionado para cobertura de férias, ausências legais, licença paternidade e licença maternidade</t>
  </si>
  <si>
    <t>Encargos previdenciários (GPS), Fundo de Garantia por Tempo de Serviço (FGTS) e outras contribuições para cobertura de ausências legais</t>
  </si>
  <si>
    <t>Módulo 5 - Insumos Diversos</t>
  </si>
  <si>
    <t>Equipamentos</t>
  </si>
  <si>
    <t>(15 dias x R$ 19,77 de benefício ) -(15 dias x R$ 1,32de desconto)</t>
  </si>
  <si>
    <t>(5/30/12) x Remuneração</t>
  </si>
  <si>
    <t>Estima-se que cada empregado poderá usufruir de 5 dias de licença por ano para ausências legais.</t>
  </si>
  <si>
    <t>7/30/12 x Remuneração</t>
  </si>
  <si>
    <t>Estima-se que o empregado poderá se ausentar por essa razão durante 7 dias no ano.</t>
  </si>
  <si>
    <t>EQUIPAMENTO</t>
  </si>
  <si>
    <t>QUANTIDADE</t>
  </si>
  <si>
    <t>UNIDADE</t>
  </si>
  <si>
    <t>VALOR TOTAL ANUAL</t>
  </si>
  <si>
    <t>VALOR MÉDIO UNITÁRIO</t>
  </si>
  <si>
    <t>H</t>
  </si>
  <si>
    <t>J</t>
  </si>
  <si>
    <t>K</t>
  </si>
  <si>
    <t>Meses de Depreciação</t>
  </si>
  <si>
    <t>VALOR TOTAL PARA 30 meses</t>
  </si>
  <si>
    <t>EQUIPAMENTOS</t>
  </si>
  <si>
    <t>ANUAL</t>
  </si>
  <si>
    <t>Encargos x % Aviso Prévio Trabalhado = neste caso da planilha modelos é de 36,80% x 1,94%</t>
  </si>
  <si>
    <t>asseio - siemaco/SP</t>
  </si>
  <si>
    <t xml:space="preserve">pode ser alterado conforme convenção coletiva </t>
  </si>
  <si>
    <t>pode ser alterado conforme convenção coletiva  adotada pela empresa</t>
  </si>
  <si>
    <t>pode ser alterado conforme RAT da empresa</t>
  </si>
  <si>
    <t>pode  ser alterado pele empresa</t>
  </si>
  <si>
    <t>8% x aviso prévio indenizado x Remuneração</t>
  </si>
  <si>
    <t>(1/30 X 7) / 12  x Remuneração</t>
  </si>
  <si>
    <t>Encargos x Aviso Prévio Trabalhado x Remuneração</t>
  </si>
  <si>
    <t>40% x 8% x5% (indenizado) x Remuneração</t>
  </si>
  <si>
    <t>40% x 8% x 100% (trabalhado) x Remuneração</t>
  </si>
  <si>
    <t>§ 1º do Art. 18 da Lei nº 8.036/1990  e 100%  dos trabalhadores cumprirão aviso prévio trabalhado ao final do contrato.
Art. 12, Lei 13.932/2019
&lt;https://antigo.comprasgovernamentais.gov.br/index.php/noticias/1238-extincao-contribuicao-social-sobre-o-fgts&gt;</t>
  </si>
  <si>
    <t xml:space="preserve">BEM DEPRECIADO: valor pago pelo tempo de uso pela Administração (contratual) </t>
  </si>
  <si>
    <t>pode  ser alterado pele empresa (lucro presumido/real/etc)</t>
  </si>
  <si>
    <t>DEPRECIAÇÃO dos EQUIPAMENTOS</t>
  </si>
  <si>
    <t>19,77 diário e 1,32 de desconto diário</t>
  </si>
  <si>
    <t>1 posto 12x36 ocupado por 02 profissionais</t>
  </si>
  <si>
    <t>Ele deve ser feito com base na seguinte fórmula: Da = (VN – VR) ÷ N:</t>
  </si>
  <si>
    <r>
      <t>1. Da: </t>
    </r>
    <r>
      <rPr>
        <b/>
        <sz val="10"/>
        <color rgb="FF202124"/>
        <rFont val="Arial"/>
        <family val="2"/>
      </rPr>
      <t>depreciação</t>
    </r>
    <r>
      <rPr>
        <sz val="10"/>
        <color rgb="FF202124"/>
        <rFont val="Arial"/>
        <family val="2"/>
      </rPr>
      <t> anual;</t>
    </r>
  </si>
  <si>
    <t>2. VN: valor novo;</t>
  </si>
  <si>
    <t>3. VR: valor residual ou de sucata;</t>
  </si>
  <si>
    <t>4. N: vida útil em número de anos.</t>
  </si>
  <si>
    <t>Cálculo de Depreciação</t>
  </si>
  <si>
    <r>
      <t>De acordo com as tabelas da Receita Federal, </t>
    </r>
    <r>
      <rPr>
        <sz val="10"/>
        <color rgb="FF040C28"/>
        <rFont val="Arial"/>
        <family val="2"/>
      </rPr>
      <t>a estimativa de vida útil é de 25 anos no caso dos imóveis, de 5 anos no caso dos veículos e dos computadores e de 10 anos para a maioria das máquinas, equipamentos, móveis e utensílios</t>
    </r>
    <r>
      <rPr>
        <sz val="10"/>
        <color rgb="FF4D5156"/>
        <rFont val="Arial"/>
        <family val="2"/>
      </rPr>
      <t>.</t>
    </r>
  </si>
  <si>
    <t>Taxa de depreciação para  10 anos (120 meses) de vida útil  e valor residual de  10%</t>
  </si>
  <si>
    <t>VALOR TOTAL MENSAL Custo Total Mensal  =((B x (G-(Gx20%)))/(12 mesesx10anos))</t>
  </si>
  <si>
    <t>Pela Receita Federal  - Anexo III da Instrução Normativa RFB nº 1700 de 14 de março de 2017</t>
  </si>
  <si>
    <t>Pelo Manual de Contabilidade- SIAFI - CAPITULO: 020000 - SISTEMA INTEGRADO DE ADMINISTRAÇÃO FINANCEIRA DO GOVERNO FEDERAL - SIAFI
SECAO: 020300 - MACROFUNÇÕES
ASSUNTO: 020330 - DEPRECIAÇÃO, AMORTIZAÇÃO E EXAUSTÃO NA ADMINISTRAÇÃO DIRETA DA UNIÃO, AUTARQUIAS E FUNDAÇÕES</t>
  </si>
  <si>
    <r>
      <rPr>
        <b/>
        <sz val="11"/>
        <color rgb="FF0070C0"/>
        <rFont val="Calibri"/>
        <family val="2"/>
        <scheme val="minor"/>
      </rPr>
      <t>12311.01.24.... - MAQUINAS E EQUIPAMENTOS ELETRO-ELETRONICOS</t>
    </r>
    <r>
      <rPr>
        <sz val="11"/>
        <color theme="1"/>
        <rFont val="Calibri"/>
        <family val="2"/>
        <scheme val="minor"/>
      </rPr>
      <t xml:space="preserve">... ... Vida Útil (anos): 10 Valor Residual: 10%     </t>
    </r>
    <r>
      <rPr>
        <b/>
        <sz val="11"/>
        <color rgb="FF0070C0"/>
        <rFont val="Calibri"/>
        <family val="2"/>
        <scheme val="minor"/>
      </rPr>
      <t xml:space="preserve"> 12311.01.25.... - MAQUINAS, UTENSILIOS E EQUIPAMENTOS DIVERSOS</t>
    </r>
    <r>
      <rPr>
        <sz val="11"/>
        <color theme="1"/>
        <rFont val="Calibri"/>
        <family val="2"/>
        <scheme val="minor"/>
      </rPr>
      <t xml:space="preserve"> .... Vida Útil (anos): 10 Valor Residual: 10%     </t>
    </r>
    <r>
      <rPr>
        <b/>
        <sz val="11"/>
        <color rgb="FF0070C0"/>
        <rFont val="Calibri"/>
        <family val="2"/>
        <scheme val="minor"/>
      </rPr>
      <t xml:space="preserve"> 12311.01.99.... - OUTRAS MAQUINAS, EQUIPAMENTOS E FERRAMENTAS</t>
    </r>
    <r>
      <rPr>
        <sz val="11"/>
        <color theme="1"/>
        <rFont val="Calibri"/>
        <family val="2"/>
        <scheme val="minor"/>
      </rPr>
      <t>.. ... Vida Útil (anos): 10 Valor Residual: 10%</t>
    </r>
  </si>
  <si>
    <t>Equipamentos em geral e de oficina se enquadram no valor residual de 10% e 120 meses:</t>
  </si>
  <si>
    <t>equipamentos com depreciação</t>
  </si>
  <si>
    <t xml:space="preserve">total materiais e equipamentos </t>
  </si>
  <si>
    <t>(-)</t>
  </si>
  <si>
    <t>anual</t>
  </si>
  <si>
    <t>mensal</t>
  </si>
  <si>
    <t>30 meses</t>
  </si>
  <si>
    <t>CONFORME ESPECIFICAÇÕES E QUANTIDADES DAS PLANILHAS DE UNIFORMES E DE INSUMOS E EQUIMANENTOS</t>
  </si>
  <si>
    <t>pode  ser alterado pela empresa (valor de cotação/preço menor ou outro motivo dedes que devidamente justificado e comprovado)</t>
  </si>
  <si>
    <t>(valor anual médio por posto ) divido por 12 meses e pela quantidade de empregados por posto</t>
  </si>
  <si>
    <t>=(valor anual médio/12)/n. de empregados</t>
  </si>
  <si>
    <t>MATERIAIS/INSUMOS  TOTAIS</t>
  </si>
  <si>
    <t>Água Sanitária (pura), Solução aquosa à base de hipoclorito de sódio ou cálcio, com teor de cloro ativo entre 2,0 a 2,5% p/p. Embalagem 5 litros.</t>
  </si>
  <si>
    <t>Shampoo para cães à base de citronela. Não arde os olhos. Embalagem 1 litro.</t>
  </si>
  <si>
    <t>Rasqueadeira tira pelos Furminator. Cães pelo curto - Tamanho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</si>
</sst>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R$ &quot;* #,##0.00_-;&quot;-R$ &quot;* #,##0.00_-;_-&quot;R$ &quot;* \-??_-;_-@_-"/>
    <numFmt numFmtId="166" formatCode="&quot;R$ &quot;#,##0.00"/>
    <numFmt numFmtId="167" formatCode="&quot;R$&quot;\ #,##0.00"/>
    <numFmt numFmtId="168" formatCode="0.0%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charset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2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3366CC"/>
      <name val="Calibri"/>
      <family val="2"/>
      <scheme val="minor"/>
    </font>
    <font>
      <b/>
      <sz val="12"/>
      <color rgb="FF3366CC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4"/>
      <color rgb="FFFF0000"/>
      <name val="Calibri"/>
      <family val="2"/>
      <scheme val="minor"/>
    </font>
    <font>
      <b/>
      <sz val="9"/>
      <color rgb="FF0070C0"/>
      <name val="Arial"/>
      <family val="2"/>
    </font>
    <font>
      <sz val="10"/>
      <color rgb="FF202124"/>
      <name val="Arial"/>
      <family val="2"/>
    </font>
    <font>
      <b/>
      <sz val="10"/>
      <color rgb="FF202124"/>
      <name val="Arial"/>
      <family val="2"/>
    </font>
    <font>
      <sz val="10"/>
      <color rgb="FF4D5156"/>
      <name val="Arial"/>
      <family val="2"/>
    </font>
    <font>
      <sz val="10"/>
      <color rgb="FF040C28"/>
      <name val="Arial"/>
      <family val="2"/>
    </font>
    <font>
      <sz val="10"/>
      <color rgb="FFFF0000"/>
      <name val="Arial"/>
      <family val="2"/>
    </font>
    <font>
      <b/>
      <sz val="14"/>
      <color rgb="FF0070C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92CDDC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E2E2E2"/>
        <bgColor rgb="FFCCCCFF"/>
      </patternFill>
    </fill>
    <fill>
      <patternFill patternType="solid">
        <fgColor theme="8" tint="0.79998168889431442"/>
        <bgColor rgb="FFCC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7C8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FFF00"/>
        <bgColor rgb="FFFFFFCC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4" fillId="0" borderId="0"/>
    <xf numFmtId="165" fontId="4" fillId="0" borderId="0" applyBorder="0" applyProtection="0"/>
    <xf numFmtId="9" fontId="4" fillId="0" borderId="0" applyBorder="0" applyProtection="0"/>
    <xf numFmtId="0" fontId="4" fillId="0" borderId="0"/>
    <xf numFmtId="165" fontId="4" fillId="0" borderId="0" applyBorder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09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2"/>
    <xf numFmtId="0" fontId="8" fillId="0" borderId="0" xfId="2" applyFont="1" applyProtection="1">
      <protection locked="0"/>
    </xf>
    <xf numFmtId="0" fontId="8" fillId="0" borderId="0" xfId="2" applyFont="1" applyAlignment="1" applyProtection="1">
      <alignment horizontal="center"/>
      <protection locked="0"/>
    </xf>
    <xf numFmtId="165" fontId="4" fillId="0" borderId="0" xfId="3" applyProtection="1">
      <protection locked="0"/>
    </xf>
    <xf numFmtId="10" fontId="4" fillId="0" borderId="0" xfId="2" applyNumberFormat="1" applyAlignment="1">
      <alignment horizontal="center" vertical="center"/>
    </xf>
    <xf numFmtId="0" fontId="4" fillId="0" borderId="0" xfId="2" applyAlignment="1">
      <alignment horizontal="center" vertical="center"/>
    </xf>
    <xf numFmtId="10" fontId="9" fillId="0" borderId="1" xfId="2" applyNumberFormat="1" applyFont="1" applyBorder="1" applyAlignment="1">
      <alignment horizontal="center" vertical="center"/>
    </xf>
    <xf numFmtId="0" fontId="4" fillId="0" borderId="1" xfId="2" applyBorder="1" applyAlignment="1">
      <alignment horizontal="center" vertical="center"/>
    </xf>
    <xf numFmtId="0" fontId="4" fillId="5" borderId="0" xfId="2" applyFill="1"/>
    <xf numFmtId="0" fontId="4" fillId="5" borderId="0" xfId="5" applyFill="1"/>
    <xf numFmtId="0" fontId="10" fillId="0" borderId="0" xfId="2" applyFont="1"/>
    <xf numFmtId="13" fontId="1" fillId="5" borderId="0" xfId="3" applyNumberFormat="1" applyFont="1" applyFill="1"/>
    <xf numFmtId="13" fontId="10" fillId="5" borderId="0" xfId="6" applyNumberFormat="1" applyFont="1" applyFill="1"/>
    <xf numFmtId="0" fontId="10" fillId="4" borderId="0" xfId="2" applyFont="1" applyFill="1" applyAlignment="1">
      <alignment horizontal="center"/>
    </xf>
    <xf numFmtId="0" fontId="12" fillId="4" borderId="0" xfId="2" applyFont="1" applyFill="1" applyAlignment="1">
      <alignment horizontal="left"/>
    </xf>
    <xf numFmtId="0" fontId="12" fillId="4" borderId="0" xfId="2" applyFont="1" applyFill="1"/>
    <xf numFmtId="14" fontId="12" fillId="4" borderId="0" xfId="2" applyNumberFormat="1" applyFont="1" applyFill="1"/>
    <xf numFmtId="0" fontId="10" fillId="4" borderId="1" xfId="2" applyFont="1" applyFill="1" applyBorder="1" applyAlignment="1">
      <alignment horizontal="center"/>
    </xf>
    <xf numFmtId="0" fontId="10" fillId="4" borderId="2" xfId="2" applyFont="1" applyFill="1" applyBorder="1" applyAlignment="1">
      <alignment horizontal="center"/>
    </xf>
    <xf numFmtId="0" fontId="10" fillId="4" borderId="2" xfId="2" applyFont="1" applyFill="1" applyBorder="1"/>
    <xf numFmtId="0" fontId="10" fillId="4" borderId="3" xfId="2" applyFont="1" applyFill="1" applyBorder="1"/>
    <xf numFmtId="0" fontId="10" fillId="0" borderId="1" xfId="2" applyFont="1" applyBorder="1" applyAlignment="1">
      <alignment horizontal="center"/>
    </xf>
    <xf numFmtId="0" fontId="12" fillId="0" borderId="1" xfId="2" applyFont="1" applyBorder="1" applyAlignment="1">
      <alignment horizontal="center"/>
    </xf>
    <xf numFmtId="0" fontId="12" fillId="4" borderId="2" xfId="2" applyFont="1" applyFill="1" applyBorder="1"/>
    <xf numFmtId="0" fontId="12" fillId="4" borderId="3" xfId="2" applyFont="1" applyFill="1" applyBorder="1"/>
    <xf numFmtId="0" fontId="12" fillId="4" borderId="1" xfId="2" applyFont="1" applyFill="1" applyBorder="1" applyAlignment="1">
      <alignment horizontal="center"/>
    </xf>
    <xf numFmtId="0" fontId="12" fillId="4" borderId="4" xfId="2" applyFont="1" applyFill="1" applyBorder="1"/>
    <xf numFmtId="165" fontId="10" fillId="0" borderId="1" xfId="3" applyFont="1" applyBorder="1" applyProtection="1"/>
    <xf numFmtId="165" fontId="10" fillId="0" borderId="1" xfId="2" applyNumberFormat="1" applyFont="1" applyBorder="1" applyAlignment="1">
      <alignment horizontal="center"/>
    </xf>
    <xf numFmtId="10" fontId="10" fillId="0" borderId="1" xfId="2" applyNumberFormat="1" applyFont="1" applyBorder="1" applyAlignment="1">
      <alignment horizontal="center"/>
    </xf>
    <xf numFmtId="165" fontId="10" fillId="0" borderId="1" xfId="3" applyFont="1" applyBorder="1" applyAlignment="1" applyProtection="1">
      <alignment horizontal="left"/>
    </xf>
    <xf numFmtId="0" fontId="10" fillId="0" borderId="1" xfId="2" applyFont="1" applyBorder="1" applyAlignment="1" applyProtection="1">
      <alignment horizontal="center"/>
      <protection locked="0"/>
    </xf>
    <xf numFmtId="10" fontId="12" fillId="0" borderId="1" xfId="2" applyNumberFormat="1" applyFont="1" applyBorder="1" applyAlignment="1">
      <alignment horizontal="center"/>
    </xf>
    <xf numFmtId="0" fontId="12" fillId="4" borderId="2" xfId="2" applyFont="1" applyFill="1" applyBorder="1" applyAlignment="1">
      <alignment horizontal="left" vertical="center"/>
    </xf>
    <xf numFmtId="0" fontId="13" fillId="7" borderId="1" xfId="2" applyFont="1" applyFill="1" applyBorder="1" applyAlignment="1">
      <alignment horizontal="center"/>
    </xf>
    <xf numFmtId="0" fontId="11" fillId="7" borderId="1" xfId="2" applyFont="1" applyFill="1" applyBorder="1" applyAlignment="1">
      <alignment horizontal="center"/>
    </xf>
    <xf numFmtId="165" fontId="11" fillId="7" borderId="1" xfId="2" applyNumberFormat="1" applyFont="1" applyFill="1" applyBorder="1" applyAlignment="1">
      <alignment horizontal="center"/>
    </xf>
    <xf numFmtId="10" fontId="13" fillId="7" borderId="1" xfId="4" applyNumberFormat="1" applyFont="1" applyFill="1" applyBorder="1" applyAlignment="1" applyProtection="1">
      <alignment horizontal="center"/>
    </xf>
    <xf numFmtId="0" fontId="11" fillId="7" borderId="1" xfId="2" applyFont="1" applyFill="1" applyBorder="1"/>
    <xf numFmtId="165" fontId="11" fillId="7" borderId="1" xfId="3" applyFont="1" applyFill="1" applyBorder="1" applyAlignment="1" applyProtection="1">
      <alignment horizontal="left"/>
    </xf>
    <xf numFmtId="10" fontId="11" fillId="7" borderId="1" xfId="2" applyNumberFormat="1" applyFont="1" applyFill="1" applyBorder="1" applyAlignment="1">
      <alignment horizontal="center"/>
    </xf>
    <xf numFmtId="0" fontId="4" fillId="0" borderId="0" xfId="0" applyFont="1"/>
    <xf numFmtId="10" fontId="10" fillId="0" borderId="0" xfId="4" applyNumberFormat="1" applyFont="1" applyBorder="1" applyAlignment="1" applyProtection="1">
      <alignment horizontal="center"/>
      <protection locked="0"/>
    </xf>
    <xf numFmtId="0" fontId="10" fillId="0" borderId="5" xfId="2" applyFont="1" applyBorder="1" applyAlignment="1">
      <alignment horizontal="center" vertical="center"/>
    </xf>
    <xf numFmtId="43" fontId="4" fillId="0" borderId="0" xfId="2" applyNumberFormat="1"/>
    <xf numFmtId="165" fontId="4" fillId="0" borderId="0" xfId="2" applyNumberFormat="1"/>
    <xf numFmtId="10" fontId="4" fillId="0" borderId="0" xfId="2" applyNumberFormat="1"/>
    <xf numFmtId="165" fontId="10" fillId="0" borderId="0" xfId="2" applyNumberFormat="1" applyFont="1" applyAlignment="1">
      <alignment horizontal="center"/>
    </xf>
    <xf numFmtId="43" fontId="4" fillId="5" borderId="0" xfId="2" applyNumberFormat="1" applyFill="1"/>
    <xf numFmtId="43" fontId="4" fillId="0" borderId="0" xfId="0" applyNumberFormat="1" applyFont="1"/>
    <xf numFmtId="0" fontId="11" fillId="7" borderId="3" xfId="2" applyFont="1" applyFill="1" applyBorder="1"/>
    <xf numFmtId="0" fontId="11" fillId="7" borderId="2" xfId="2" applyFont="1" applyFill="1" applyBorder="1"/>
    <xf numFmtId="0" fontId="10" fillId="0" borderId="2" xfId="2" applyFont="1" applyBorder="1"/>
    <xf numFmtId="0" fontId="10" fillId="0" borderId="3" xfId="2" applyFont="1" applyBorder="1"/>
    <xf numFmtId="16" fontId="4" fillId="0" borderId="0" xfId="2" applyNumberFormat="1"/>
    <xf numFmtId="165" fontId="11" fillId="7" borderId="1" xfId="3" applyFont="1" applyFill="1" applyBorder="1" applyProtection="1"/>
    <xf numFmtId="10" fontId="11" fillId="7" borderId="1" xfId="3" applyNumberFormat="1" applyFont="1" applyFill="1" applyBorder="1" applyAlignment="1" applyProtection="1">
      <alignment horizontal="center"/>
    </xf>
    <xf numFmtId="10" fontId="4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4" fontId="1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4" fillId="10" borderId="7" xfId="0" applyFont="1" applyFill="1" applyBorder="1" applyAlignment="1">
      <alignment horizontal="center" vertical="center"/>
    </xf>
    <xf numFmtId="0" fontId="14" fillId="10" borderId="7" xfId="0" applyFont="1" applyFill="1" applyBorder="1" applyAlignment="1">
      <alignment horizontal="center" vertical="center" wrapText="1"/>
    </xf>
    <xf numFmtId="44" fontId="14" fillId="0" borderId="1" xfId="0" applyNumberFormat="1" applyFont="1" applyBorder="1" applyAlignment="1">
      <alignment horizontal="center" vertical="center"/>
    </xf>
    <xf numFmtId="44" fontId="0" fillId="0" borderId="0" xfId="0" applyNumberFormat="1"/>
    <xf numFmtId="44" fontId="15" fillId="14" borderId="1" xfId="1" applyFont="1" applyFill="1" applyBorder="1" applyAlignment="1">
      <alignment horizontal="center" vertical="center"/>
    </xf>
    <xf numFmtId="0" fontId="14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1" xfId="0" applyNumberFormat="1" applyBorder="1" applyAlignment="1">
      <alignment vertical="center"/>
    </xf>
    <xf numFmtId="0" fontId="10" fillId="0" borderId="2" xfId="2" applyFont="1" applyBorder="1" applyAlignment="1">
      <alignment horizontal="left"/>
    </xf>
    <xf numFmtId="0" fontId="10" fillId="0" borderId="3" xfId="2" applyFont="1" applyBorder="1" applyAlignment="1">
      <alignment horizontal="left"/>
    </xf>
    <xf numFmtId="0" fontId="11" fillId="7" borderId="2" xfId="2" applyFont="1" applyFill="1" applyBorder="1" applyAlignment="1">
      <alignment horizontal="center"/>
    </xf>
    <xf numFmtId="0" fontId="11" fillId="7" borderId="3" xfId="2" applyFont="1" applyFill="1" applyBorder="1" applyAlignment="1">
      <alignment horizontal="center"/>
    </xf>
    <xf numFmtId="0" fontId="12" fillId="0" borderId="2" xfId="2" applyFont="1" applyBorder="1"/>
    <xf numFmtId="0" fontId="12" fillId="0" borderId="3" xfId="2" applyFont="1" applyBorder="1"/>
    <xf numFmtId="0" fontId="13" fillId="7" borderId="2" xfId="2" applyFont="1" applyFill="1" applyBorder="1"/>
    <xf numFmtId="0" fontId="13" fillId="7" borderId="3" xfId="2" applyFont="1" applyFill="1" applyBorder="1"/>
    <xf numFmtId="164" fontId="3" fillId="0" borderId="0" xfId="0" applyNumberFormat="1" applyFont="1" applyAlignment="1">
      <alignment horizontal="center" vertical="center"/>
    </xf>
    <xf numFmtId="44" fontId="0" fillId="0" borderId="1" xfId="0" applyNumberFormat="1" applyBorder="1" applyAlignment="1">
      <alignment vertical="center" wrapText="1"/>
    </xf>
    <xf numFmtId="0" fontId="14" fillId="1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wrapText="1"/>
    </xf>
    <xf numFmtId="44" fontId="14" fillId="15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67" fontId="0" fillId="0" borderId="1" xfId="0" applyNumberFormat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44" fontId="0" fillId="0" borderId="1" xfId="0" applyNumberFormat="1" applyBorder="1"/>
    <xf numFmtId="44" fontId="0" fillId="16" borderId="1" xfId="0" applyNumberFormat="1" applyFill="1" applyBorder="1"/>
    <xf numFmtId="0" fontId="21" fillId="5" borderId="1" xfId="0" applyFont="1" applyFill="1" applyBorder="1" applyAlignment="1">
      <alignment horizontal="center" vertical="center" wrapText="1"/>
    </xf>
    <xf numFmtId="44" fontId="22" fillId="0" borderId="1" xfId="0" applyNumberFormat="1" applyFont="1" applyBorder="1" applyAlignment="1">
      <alignment vertical="center" wrapText="1"/>
    </xf>
    <xf numFmtId="44" fontId="23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/>
    <xf numFmtId="0" fontId="28" fillId="5" borderId="17" xfId="9" applyFont="1" applyFill="1" applyBorder="1" applyAlignment="1">
      <alignment horizontal="center" vertical="center" wrapText="1"/>
    </xf>
    <xf numFmtId="44" fontId="28" fillId="5" borderId="15" xfId="1" applyFont="1" applyFill="1" applyBorder="1" applyAlignment="1">
      <alignment horizontal="left" vertical="center" wrapText="1"/>
    </xf>
    <xf numFmtId="0" fontId="26" fillId="5" borderId="15" xfId="9" applyFont="1" applyFill="1" applyBorder="1" applyAlignment="1">
      <alignment horizontal="center" vertical="center" wrapText="1"/>
    </xf>
    <xf numFmtId="167" fontId="26" fillId="5" borderId="16" xfId="1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25" fillId="18" borderId="15" xfId="9" applyFont="1" applyFill="1" applyBorder="1" applyAlignment="1">
      <alignment horizontal="center" vertical="center" wrapText="1"/>
    </xf>
    <xf numFmtId="0" fontId="27" fillId="18" borderId="16" xfId="9" applyFont="1" applyFill="1" applyBorder="1" applyAlignment="1">
      <alignment horizontal="center" vertical="center" wrapText="1"/>
    </xf>
    <xf numFmtId="167" fontId="27" fillId="15" borderId="2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67" fontId="24" fillId="19" borderId="1" xfId="0" applyNumberFormat="1" applyFont="1" applyFill="1" applyBorder="1"/>
    <xf numFmtId="167" fontId="24" fillId="20" borderId="1" xfId="0" applyNumberFormat="1" applyFont="1" applyFill="1" applyBorder="1"/>
    <xf numFmtId="43" fontId="10" fillId="0" borderId="0" xfId="2" applyNumberFormat="1" applyFont="1"/>
    <xf numFmtId="0" fontId="10" fillId="0" borderId="0" xfId="2" applyFont="1" applyFill="1"/>
    <xf numFmtId="4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 readingOrder="1"/>
    </xf>
    <xf numFmtId="0" fontId="14" fillId="10" borderId="25" xfId="0" applyFont="1" applyFill="1" applyBorder="1" applyAlignment="1">
      <alignment horizontal="center" vertical="center"/>
    </xf>
    <xf numFmtId="167" fontId="0" fillId="12" borderId="1" xfId="0" applyNumberFormat="1" applyFill="1" applyBorder="1" applyAlignment="1">
      <alignment vertical="center" wrapText="1"/>
    </xf>
    <xf numFmtId="44" fontId="0" fillId="0" borderId="1" xfId="0" applyNumberFormat="1" applyBorder="1" applyAlignment="1">
      <alignment horizontal="center" vertical="center" wrapText="1"/>
    </xf>
    <xf numFmtId="165" fontId="12" fillId="0" borderId="1" xfId="3" applyFont="1" applyBorder="1" applyAlignment="1" applyProtection="1">
      <alignment horizontal="left"/>
    </xf>
    <xf numFmtId="0" fontId="11" fillId="7" borderId="1" xfId="2" applyFont="1" applyFill="1" applyBorder="1" applyAlignment="1">
      <alignment horizontal="center" vertical="center"/>
    </xf>
    <xf numFmtId="166" fontId="11" fillId="7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165" fontId="12" fillId="0" borderId="1" xfId="3" applyFont="1" applyBorder="1" applyAlignment="1" applyProtection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165" fontId="12" fillId="0" borderId="1" xfId="3" applyFont="1" applyBorder="1" applyAlignment="1" applyProtection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/>
    </xf>
    <xf numFmtId="165" fontId="12" fillId="4" borderId="1" xfId="3" applyFont="1" applyFill="1" applyBorder="1" applyAlignment="1" applyProtection="1">
      <alignment horizontal="center" vertical="center"/>
    </xf>
    <xf numFmtId="165" fontId="10" fillId="0" borderId="1" xfId="3" applyFont="1" applyBorder="1" applyAlignment="1" applyProtection="1">
      <alignment horizontal="center" vertical="center"/>
    </xf>
    <xf numFmtId="0" fontId="11" fillId="7" borderId="1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vertical="center" wrapText="1"/>
    </xf>
    <xf numFmtId="10" fontId="10" fillId="4" borderId="1" xfId="1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12" fillId="4" borderId="1" xfId="2" applyFont="1" applyFill="1" applyBorder="1" applyAlignment="1">
      <alignment vertical="center" wrapText="1"/>
    </xf>
    <xf numFmtId="10" fontId="12" fillId="4" borderId="1" xfId="10" applyNumberFormat="1" applyFont="1" applyFill="1" applyBorder="1" applyAlignment="1">
      <alignment horizontal="center" vertical="center"/>
    </xf>
    <xf numFmtId="9" fontId="10" fillId="4" borderId="1" xfId="10" applyNumberFormat="1" applyFont="1" applyFill="1" applyBorder="1" applyAlignment="1">
      <alignment horizontal="center" vertical="center"/>
    </xf>
    <xf numFmtId="168" fontId="12" fillId="4" borderId="1" xfId="10" applyNumberFormat="1" applyFont="1" applyFill="1" applyBorder="1" applyAlignment="1">
      <alignment horizontal="center" vertical="center"/>
    </xf>
    <xf numFmtId="168" fontId="10" fillId="4" borderId="1" xfId="10" applyNumberFormat="1" applyFont="1" applyFill="1" applyBorder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0" fontId="12" fillId="4" borderId="0" xfId="2" applyFont="1" applyFill="1" applyBorder="1" applyAlignment="1">
      <alignment vertical="center" wrapText="1"/>
    </xf>
    <xf numFmtId="168" fontId="12" fillId="4" borderId="0" xfId="10" applyNumberFormat="1" applyFont="1" applyFill="1" applyBorder="1" applyAlignment="1">
      <alignment horizontal="center" vertical="center"/>
    </xf>
    <xf numFmtId="10" fontId="4" fillId="0" borderId="0" xfId="0" applyNumberFormat="1" applyFont="1" applyBorder="1" applyAlignment="1">
      <alignment horizontal="center" vertical="center"/>
    </xf>
    <xf numFmtId="165" fontId="12" fillId="0" borderId="0" xfId="3" applyFont="1" applyBorder="1" applyAlignment="1" applyProtection="1">
      <alignment horizontal="left" vertical="center"/>
    </xf>
    <xf numFmtId="0" fontId="30" fillId="0" borderId="1" xfId="0" applyFont="1" applyBorder="1" applyAlignment="1">
      <alignment vertical="center"/>
    </xf>
    <xf numFmtId="0" fontId="11" fillId="7" borderId="2" xfId="2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65" fontId="10" fillId="0" borderId="1" xfId="3" applyFont="1" applyFill="1" applyBorder="1" applyAlignment="1" applyProtection="1">
      <alignment horizontal="left"/>
    </xf>
    <xf numFmtId="10" fontId="4" fillId="0" borderId="1" xfId="0" applyNumberFormat="1" applyFont="1" applyFill="1" applyBorder="1" applyAlignment="1">
      <alignment horizont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wrapText="1"/>
    </xf>
    <xf numFmtId="44" fontId="32" fillId="0" borderId="1" xfId="0" applyNumberFormat="1" applyFont="1" applyBorder="1"/>
    <xf numFmtId="44" fontId="32" fillId="16" borderId="1" xfId="0" applyNumberFormat="1" applyFont="1" applyFill="1" applyBorder="1"/>
    <xf numFmtId="44" fontId="32" fillId="0" borderId="1" xfId="0" applyNumberFormat="1" applyFont="1" applyBorder="1" applyAlignment="1">
      <alignment horizontal="center" vertical="center"/>
    </xf>
    <xf numFmtId="44" fontId="32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44" fontId="13" fillId="0" borderId="1" xfId="0" applyNumberFormat="1" applyFont="1" applyBorder="1" applyAlignment="1">
      <alignment horizontal="center" vertical="center" wrapText="1"/>
    </xf>
    <xf numFmtId="44" fontId="13" fillId="0" borderId="5" xfId="0" applyNumberFormat="1" applyFont="1" applyBorder="1" applyAlignment="1">
      <alignment horizontal="center" vertical="center"/>
    </xf>
    <xf numFmtId="0" fontId="34" fillId="0" borderId="0" xfId="0" applyFont="1"/>
    <xf numFmtId="2" fontId="0" fillId="0" borderId="0" xfId="0" applyNumberFormat="1"/>
    <xf numFmtId="10" fontId="0" fillId="0" borderId="0" xfId="10" applyNumberFormat="1" applyFont="1"/>
    <xf numFmtId="0" fontId="13" fillId="0" borderId="5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44" fontId="12" fillId="0" borderId="0" xfId="0" applyNumberFormat="1" applyFont="1" applyFill="1" applyBorder="1" applyAlignment="1">
      <alignment horizontal="center" vertical="center" wrapText="1"/>
    </xf>
    <xf numFmtId="44" fontId="33" fillId="0" borderId="0" xfId="0" applyNumberFormat="1" applyFont="1" applyFill="1" applyBorder="1" applyAlignment="1">
      <alignment vertical="center"/>
    </xf>
    <xf numFmtId="10" fontId="11" fillId="21" borderId="1" xfId="4" applyNumberFormat="1" applyFont="1" applyFill="1" applyBorder="1" applyAlignment="1" applyProtection="1">
      <alignment horizontal="center"/>
    </xf>
    <xf numFmtId="165" fontId="13" fillId="22" borderId="1" xfId="3" applyFont="1" applyFill="1" applyBorder="1" applyAlignment="1" applyProtection="1">
      <alignment horizontal="left"/>
    </xf>
    <xf numFmtId="165" fontId="12" fillId="0" borderId="1" xfId="3" applyFont="1" applyFill="1" applyBorder="1" applyAlignment="1" applyProtection="1">
      <alignment horizontal="left"/>
    </xf>
    <xf numFmtId="10" fontId="5" fillId="13" borderId="1" xfId="0" applyNumberFormat="1" applyFont="1" applyFill="1" applyBorder="1" applyAlignment="1">
      <alignment horizontal="center"/>
    </xf>
    <xf numFmtId="0" fontId="10" fillId="16" borderId="2" xfId="2" applyFont="1" applyFill="1" applyBorder="1" applyAlignment="1">
      <alignment horizontal="left" vertical="center"/>
    </xf>
    <xf numFmtId="0" fontId="10" fillId="16" borderId="3" xfId="2" applyFont="1" applyFill="1" applyBorder="1" applyAlignment="1">
      <alignment horizontal="left" vertical="center"/>
    </xf>
    <xf numFmtId="0" fontId="10" fillId="16" borderId="4" xfId="2" applyFont="1" applyFill="1" applyBorder="1" applyAlignment="1">
      <alignment horizontal="left" vertical="center"/>
    </xf>
    <xf numFmtId="0" fontId="10" fillId="16" borderId="1" xfId="2" applyFont="1" applyFill="1" applyBorder="1" applyAlignment="1">
      <alignment horizontal="center"/>
    </xf>
    <xf numFmtId="10" fontId="10" fillId="16" borderId="4" xfId="4" applyNumberFormat="1" applyFont="1" applyFill="1" applyBorder="1" applyAlignment="1" applyProtection="1">
      <alignment horizontal="center"/>
    </xf>
    <xf numFmtId="165" fontId="10" fillId="16" borderId="1" xfId="3" applyFont="1" applyFill="1" applyBorder="1" applyAlignment="1" applyProtection="1">
      <alignment horizontal="left"/>
    </xf>
    <xf numFmtId="0" fontId="10" fillId="16" borderId="2" xfId="2" applyFont="1" applyFill="1" applyBorder="1"/>
    <xf numFmtId="0" fontId="10" fillId="16" borderId="3" xfId="2" applyFont="1" applyFill="1" applyBorder="1"/>
    <xf numFmtId="10" fontId="4" fillId="16" borderId="1" xfId="0" applyNumberFormat="1" applyFont="1" applyFill="1" applyBorder="1" applyAlignment="1">
      <alignment horizontal="center"/>
    </xf>
    <xf numFmtId="10" fontId="4" fillId="16" borderId="1" xfId="10" applyNumberFormat="1" applyFont="1" applyFill="1" applyBorder="1" applyAlignment="1">
      <alignment horizontal="center"/>
    </xf>
    <xf numFmtId="0" fontId="36" fillId="0" borderId="0" xfId="0" applyFont="1"/>
    <xf numFmtId="165" fontId="10" fillId="16" borderId="1" xfId="2" applyNumberFormat="1" applyFont="1" applyFill="1" applyBorder="1" applyAlignment="1">
      <alignment horizontal="center"/>
    </xf>
    <xf numFmtId="0" fontId="12" fillId="23" borderId="2" xfId="2" applyFont="1" applyFill="1" applyBorder="1"/>
    <xf numFmtId="0" fontId="12" fillId="23" borderId="3" xfId="2" applyFont="1" applyFill="1" applyBorder="1"/>
    <xf numFmtId="0" fontId="12" fillId="23" borderId="4" xfId="2" applyFont="1" applyFill="1" applyBorder="1"/>
    <xf numFmtId="10" fontId="12" fillId="16" borderId="1" xfId="2" applyNumberFormat="1" applyFont="1" applyFill="1" applyBorder="1" applyAlignment="1">
      <alignment horizontal="center"/>
    </xf>
    <xf numFmtId="0" fontId="4" fillId="24" borderId="0" xfId="2" applyFill="1"/>
    <xf numFmtId="0" fontId="11" fillId="24" borderId="0" xfId="2" applyFont="1" applyFill="1"/>
    <xf numFmtId="0" fontId="0" fillId="16" borderId="2" xfId="2" applyFont="1" applyFill="1" applyBorder="1" applyAlignment="1">
      <alignment horizontal="left" vertical="center"/>
    </xf>
    <xf numFmtId="0" fontId="1" fillId="16" borderId="3" xfId="2" applyFont="1" applyFill="1" applyBorder="1" applyAlignment="1">
      <alignment horizontal="left" vertical="center"/>
    </xf>
    <xf numFmtId="0" fontId="1" fillId="16" borderId="4" xfId="2" applyFont="1" applyFill="1" applyBorder="1" applyAlignment="1">
      <alignment horizontal="left" vertical="center"/>
    </xf>
    <xf numFmtId="0" fontId="35" fillId="0" borderId="0" xfId="0" applyFont="1" applyFill="1" applyBorder="1"/>
    <xf numFmtId="44" fontId="35" fillId="0" borderId="0" xfId="0" applyNumberFormat="1" applyFont="1" applyFill="1" applyBorder="1"/>
    <xf numFmtId="0" fontId="24" fillId="0" borderId="0" xfId="0" applyFont="1"/>
    <xf numFmtId="165" fontId="10" fillId="16" borderId="1" xfId="3" applyFont="1" applyFill="1" applyBorder="1" applyProtection="1">
      <protection locked="0"/>
    </xf>
    <xf numFmtId="165" fontId="12" fillId="16" borderId="1" xfId="3" applyFont="1" applyFill="1" applyBorder="1" applyAlignment="1" applyProtection="1">
      <alignment horizontal="left"/>
      <protection locked="0"/>
    </xf>
    <xf numFmtId="0" fontId="0" fillId="16" borderId="0" xfId="0" applyFill="1"/>
    <xf numFmtId="0" fontId="0" fillId="0" borderId="0" xfId="0" applyFill="1"/>
    <xf numFmtId="0" fontId="32" fillId="0" borderId="0" xfId="0" applyFont="1" applyFill="1"/>
    <xf numFmtId="168" fontId="0" fillId="0" borderId="0" xfId="10" applyNumberFormat="1" applyFont="1" applyFill="1"/>
    <xf numFmtId="0" fontId="24" fillId="16" borderId="0" xfId="0" applyFont="1" applyFill="1"/>
    <xf numFmtId="0" fontId="0" fillId="16" borderId="0" xfId="0" applyFill="1" applyAlignment="1">
      <alignment horizontal="center" vertical="center"/>
    </xf>
    <xf numFmtId="0" fontId="35" fillId="16" borderId="1" xfId="0" applyFont="1" applyFill="1" applyBorder="1"/>
    <xf numFmtId="44" fontId="35" fillId="16" borderId="1" xfId="0" applyNumberFormat="1" applyFont="1" applyFill="1" applyBorder="1"/>
    <xf numFmtId="44" fontId="13" fillId="0" borderId="0" xfId="0" applyNumberFormat="1" applyFont="1" applyFill="1" applyBorder="1" applyAlignment="1">
      <alignment horizontal="center" vertical="center" wrapText="1"/>
    </xf>
    <xf numFmtId="0" fontId="17" fillId="16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4" fontId="0" fillId="10" borderId="1" xfId="0" applyNumberFormat="1" applyFill="1" applyBorder="1" applyAlignment="1">
      <alignment vertical="center"/>
    </xf>
    <xf numFmtId="44" fontId="0" fillId="10" borderId="1" xfId="0" applyNumberFormat="1" applyFill="1" applyBorder="1"/>
    <xf numFmtId="0" fontId="39" fillId="0" borderId="0" xfId="0" quotePrefix="1" applyFont="1" applyAlignment="1">
      <alignment horizontal="right"/>
    </xf>
    <xf numFmtId="0" fontId="40" fillId="5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wrapText="1"/>
    </xf>
    <xf numFmtId="0" fontId="13" fillId="25" borderId="1" xfId="0" applyFont="1" applyFill="1" applyBorder="1" applyAlignment="1">
      <alignment horizontal="center" vertical="center" wrapText="1"/>
    </xf>
    <xf numFmtId="0" fontId="13" fillId="25" borderId="5" xfId="0" applyNumberFormat="1" applyFont="1" applyFill="1" applyBorder="1" applyAlignment="1">
      <alignment horizontal="center" vertical="center"/>
    </xf>
    <xf numFmtId="0" fontId="13" fillId="16" borderId="1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 vertical="center" wrapText="1" indent="2"/>
    </xf>
    <xf numFmtId="0" fontId="45" fillId="0" borderId="1" xfId="0" applyFont="1" applyBorder="1" applyAlignment="1">
      <alignment horizontal="left" vertical="center" wrapText="1" indent="2"/>
    </xf>
    <xf numFmtId="0" fontId="43" fillId="0" borderId="1" xfId="0" applyFont="1" applyBorder="1" applyAlignment="1">
      <alignment horizontal="center" vertical="justify"/>
    </xf>
    <xf numFmtId="0" fontId="7" fillId="0" borderId="1" xfId="0" applyFont="1" applyBorder="1"/>
    <xf numFmtId="0" fontId="42" fillId="0" borderId="7" xfId="0" applyFont="1" applyBorder="1" applyAlignment="1">
      <alignment vertical="center" wrapText="1"/>
    </xf>
    <xf numFmtId="0" fontId="41" fillId="0" borderId="25" xfId="0" applyFont="1" applyBorder="1" applyAlignment="1">
      <alignment horizontal="left" vertical="center" wrapText="1" indent="2"/>
    </xf>
    <xf numFmtId="0" fontId="41" fillId="0" borderId="5" xfId="0" applyFont="1" applyBorder="1" applyAlignment="1">
      <alignment horizontal="left" vertical="center" wrapText="1" indent="2"/>
    </xf>
    <xf numFmtId="0" fontId="7" fillId="0" borderId="1" xfId="0" applyFont="1" applyBorder="1" applyAlignment="1">
      <alignment wrapText="1"/>
    </xf>
    <xf numFmtId="0" fontId="0" fillId="0" borderId="5" xfId="0" applyBorder="1" applyAlignment="1">
      <alignment horizontal="left" vertical="justify"/>
    </xf>
    <xf numFmtId="0" fontId="0" fillId="0" borderId="25" xfId="0" applyBorder="1"/>
    <xf numFmtId="0" fontId="43" fillId="0" borderId="7" xfId="0" applyFont="1" applyBorder="1" applyAlignment="1">
      <alignment horizontal="center" vertical="justify"/>
    </xf>
    <xf numFmtId="44" fontId="34" fillId="0" borderId="1" xfId="0" applyNumberFormat="1" applyFont="1" applyBorder="1"/>
    <xf numFmtId="44" fontId="36" fillId="0" borderId="1" xfId="0" applyNumberFormat="1" applyFont="1" applyBorder="1"/>
    <xf numFmtId="0" fontId="46" fillId="16" borderId="1" xfId="0" applyFont="1" applyFill="1" applyBorder="1" applyAlignment="1">
      <alignment horizontal="center"/>
    </xf>
    <xf numFmtId="44" fontId="36" fillId="0" borderId="5" xfId="0" applyNumberFormat="1" applyFont="1" applyBorder="1" applyAlignment="1">
      <alignment horizontal="center" vertical="center"/>
    </xf>
    <xf numFmtId="44" fontId="35" fillId="16" borderId="4" xfId="0" applyNumberFormat="1" applyFont="1" applyFill="1" applyBorder="1"/>
    <xf numFmtId="0" fontId="35" fillId="16" borderId="2" xfId="0" applyFont="1" applyFill="1" applyBorder="1"/>
    <xf numFmtId="0" fontId="35" fillId="16" borderId="4" xfId="0" applyFont="1" applyFill="1" applyBorder="1"/>
    <xf numFmtId="0" fontId="47" fillId="16" borderId="0" xfId="2" applyFont="1" applyFill="1"/>
    <xf numFmtId="0" fontId="4" fillId="16" borderId="0" xfId="2" applyFill="1"/>
    <xf numFmtId="44" fontId="0" fillId="0" borderId="1" xfId="0" quotePrefix="1" applyNumberFormat="1" applyBorder="1" applyAlignment="1">
      <alignment horizontal="center" vertical="center" wrapText="1"/>
    </xf>
    <xf numFmtId="0" fontId="25" fillId="18" borderId="13" xfId="9" applyFont="1" applyFill="1" applyBorder="1" applyAlignment="1">
      <alignment horizontal="center" vertical="center" wrapText="1"/>
    </xf>
    <xf numFmtId="0" fontId="25" fillId="18" borderId="14" xfId="9" applyFont="1" applyFill="1" applyBorder="1" applyAlignment="1">
      <alignment horizontal="center" vertical="center" wrapText="1"/>
    </xf>
    <xf numFmtId="0" fontId="25" fillId="15" borderId="19" xfId="9" applyFont="1" applyFill="1" applyBorder="1" applyAlignment="1">
      <alignment horizontal="center" vertical="center" wrapText="1"/>
    </xf>
    <xf numFmtId="0" fontId="25" fillId="15" borderId="18" xfId="9" applyFont="1" applyFill="1" applyBorder="1" applyAlignment="1">
      <alignment horizontal="center" vertical="center" wrapText="1"/>
    </xf>
    <xf numFmtId="0" fontId="25" fillId="15" borderId="20" xfId="9" applyFont="1" applyFill="1" applyBorder="1" applyAlignment="1">
      <alignment horizontal="center" vertical="center" wrapText="1"/>
    </xf>
    <xf numFmtId="0" fontId="24" fillId="19" borderId="1" xfId="0" applyFont="1" applyFill="1" applyBorder="1" applyAlignment="1">
      <alignment horizontal="center"/>
    </xf>
    <xf numFmtId="0" fontId="24" fillId="20" borderId="1" xfId="0" applyFont="1" applyFill="1" applyBorder="1" applyAlignment="1">
      <alignment horizontal="center"/>
    </xf>
    <xf numFmtId="0" fontId="25" fillId="17" borderId="22" xfId="9" applyFont="1" applyFill="1" applyBorder="1" applyAlignment="1">
      <alignment horizontal="center" vertical="center"/>
    </xf>
    <xf numFmtId="0" fontId="25" fillId="17" borderId="23" xfId="9" applyFont="1" applyFill="1" applyBorder="1" applyAlignment="1">
      <alignment horizontal="center" vertical="center"/>
    </xf>
    <xf numFmtId="0" fontId="25" fillId="17" borderId="24" xfId="9" applyFont="1" applyFill="1" applyBorder="1" applyAlignment="1">
      <alignment horizontal="center" vertical="center"/>
    </xf>
    <xf numFmtId="0" fontId="10" fillId="16" borderId="26" xfId="2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10" fillId="4" borderId="0" xfId="2" applyFont="1" applyFill="1" applyAlignment="1">
      <alignment horizontal="center"/>
    </xf>
    <xf numFmtId="0" fontId="12" fillId="4" borderId="0" xfId="2" applyFont="1" applyFill="1" applyAlignment="1">
      <alignment horizontal="left"/>
    </xf>
    <xf numFmtId="0" fontId="10" fillId="0" borderId="0" xfId="2" applyFont="1" applyAlignment="1" applyProtection="1">
      <alignment horizontal="left"/>
      <protection locked="0"/>
    </xf>
    <xf numFmtId="0" fontId="11" fillId="4" borderId="0" xfId="2" applyFont="1" applyFill="1" applyAlignment="1">
      <alignment horizontal="center"/>
    </xf>
    <xf numFmtId="0" fontId="10" fillId="4" borderId="1" xfId="2" applyFont="1" applyFill="1" applyBorder="1" applyAlignment="1">
      <alignment horizontal="center"/>
    </xf>
    <xf numFmtId="0" fontId="10" fillId="4" borderId="1" xfId="2" applyFont="1" applyFill="1" applyBorder="1" applyAlignment="1">
      <alignment horizontal="left"/>
    </xf>
    <xf numFmtId="0" fontId="10" fillId="9" borderId="1" xfId="2" applyFont="1" applyFill="1" applyBorder="1" applyAlignment="1">
      <alignment horizontal="center"/>
    </xf>
    <xf numFmtId="14" fontId="10" fillId="4" borderId="1" xfId="2" applyNumberFormat="1" applyFont="1" applyFill="1" applyBorder="1" applyAlignment="1">
      <alignment horizontal="center"/>
    </xf>
    <xf numFmtId="0" fontId="12" fillId="4" borderId="2" xfId="2" applyFont="1" applyFill="1" applyBorder="1" applyAlignment="1">
      <alignment horizontal="center"/>
    </xf>
    <xf numFmtId="0" fontId="12" fillId="4" borderId="3" xfId="2" applyFont="1" applyFill="1" applyBorder="1" applyAlignment="1">
      <alignment horizontal="center"/>
    </xf>
    <xf numFmtId="0" fontId="12" fillId="4" borderId="4" xfId="2" applyFont="1" applyFill="1" applyBorder="1" applyAlignment="1">
      <alignment horizontal="center"/>
    </xf>
    <xf numFmtId="0" fontId="10" fillId="23" borderId="2" xfId="2" applyFont="1" applyFill="1" applyBorder="1" applyAlignment="1">
      <alignment horizontal="left"/>
    </xf>
    <xf numFmtId="0" fontId="10" fillId="23" borderId="3" xfId="2" applyFont="1" applyFill="1" applyBorder="1" applyAlignment="1">
      <alignment horizontal="left"/>
    </xf>
    <xf numFmtId="0" fontId="10" fillId="23" borderId="1" xfId="2" applyFont="1" applyFill="1" applyBorder="1" applyAlignment="1">
      <alignment horizontal="center"/>
    </xf>
    <xf numFmtId="0" fontId="10" fillId="0" borderId="1" xfId="2" applyFont="1" applyBorder="1" applyAlignment="1">
      <alignment horizontal="left"/>
    </xf>
    <xf numFmtId="0" fontId="10" fillId="0" borderId="2" xfId="2" applyFont="1" applyBorder="1" applyAlignment="1">
      <alignment horizontal="center"/>
    </xf>
    <xf numFmtId="0" fontId="10" fillId="0" borderId="4" xfId="2" applyFont="1" applyBorder="1" applyAlignment="1">
      <alignment horizontal="center"/>
    </xf>
    <xf numFmtId="0" fontId="10" fillId="16" borderId="1" xfId="2" applyFont="1" applyFill="1" applyBorder="1" applyAlignment="1">
      <alignment horizontal="left"/>
    </xf>
    <xf numFmtId="166" fontId="10" fillId="16" borderId="2" xfId="2" applyNumberFormat="1" applyFont="1" applyFill="1" applyBorder="1" applyAlignment="1" applyProtection="1">
      <alignment horizontal="center"/>
      <protection locked="0"/>
    </xf>
    <xf numFmtId="166" fontId="10" fillId="16" borderId="4" xfId="2" applyNumberFormat="1" applyFont="1" applyFill="1" applyBorder="1" applyAlignment="1" applyProtection="1">
      <alignment horizontal="center"/>
      <protection locked="0"/>
    </xf>
    <xf numFmtId="0" fontId="10" fillId="0" borderId="2" xfId="2" applyFont="1" applyBorder="1" applyAlignment="1">
      <alignment horizontal="center" wrapText="1"/>
    </xf>
    <xf numFmtId="0" fontId="10" fillId="0" borderId="4" xfId="2" applyFont="1" applyBorder="1" applyAlignment="1">
      <alignment horizontal="center" wrapText="1"/>
    </xf>
    <xf numFmtId="0" fontId="11" fillId="4" borderId="1" xfId="2" applyFont="1" applyFill="1" applyBorder="1" applyAlignment="1">
      <alignment horizontal="center"/>
    </xf>
    <xf numFmtId="0" fontId="11" fillId="7" borderId="1" xfId="2" applyFont="1" applyFill="1" applyBorder="1" applyAlignment="1">
      <alignment horizontal="center"/>
    </xf>
    <xf numFmtId="0" fontId="12" fillId="4" borderId="2" xfId="2" applyFont="1" applyFill="1" applyBorder="1" applyAlignment="1">
      <alignment horizontal="left"/>
    </xf>
    <xf numFmtId="0" fontId="12" fillId="4" borderId="3" xfId="2" applyFont="1" applyFill="1" applyBorder="1" applyAlignment="1">
      <alignment horizontal="left"/>
    </xf>
    <xf numFmtId="0" fontId="12" fillId="4" borderId="4" xfId="2" applyFont="1" applyFill="1" applyBorder="1" applyAlignment="1">
      <alignment horizontal="left"/>
    </xf>
    <xf numFmtId="165" fontId="12" fillId="0" borderId="1" xfId="3" applyFont="1" applyBorder="1" applyAlignment="1" applyProtection="1">
      <alignment horizontal="left"/>
    </xf>
    <xf numFmtId="165" fontId="13" fillId="0" borderId="1" xfId="3" applyFont="1" applyBorder="1" applyAlignment="1" applyProtection="1">
      <alignment horizontal="left"/>
    </xf>
    <xf numFmtId="165" fontId="12" fillId="0" borderId="4" xfId="3" applyFont="1" applyBorder="1" applyAlignment="1" applyProtection="1">
      <alignment horizontal="left"/>
    </xf>
    <xf numFmtId="14" fontId="10" fillId="0" borderId="2" xfId="2" quotePrefix="1" applyNumberFormat="1" applyFont="1" applyBorder="1" applyAlignment="1">
      <alignment horizontal="center"/>
    </xf>
    <xf numFmtId="14" fontId="10" fillId="0" borderId="4" xfId="2" applyNumberFormat="1" applyFont="1" applyBorder="1" applyAlignment="1">
      <alignment horizontal="center"/>
    </xf>
    <xf numFmtId="0" fontId="10" fillId="0" borderId="6" xfId="2" applyFont="1" applyBorder="1" applyAlignment="1">
      <alignment horizontal="center"/>
    </xf>
    <xf numFmtId="0" fontId="11" fillId="8" borderId="2" xfId="2" applyFont="1" applyFill="1" applyBorder="1" applyAlignment="1">
      <alignment horizontal="center"/>
    </xf>
    <xf numFmtId="0" fontId="11" fillId="8" borderId="3" xfId="2" applyFont="1" applyFill="1" applyBorder="1" applyAlignment="1">
      <alignment horizontal="center"/>
    </xf>
    <xf numFmtId="0" fontId="11" fillId="8" borderId="4" xfId="2" applyFont="1" applyFill="1" applyBorder="1" applyAlignment="1">
      <alignment horizontal="center"/>
    </xf>
    <xf numFmtId="0" fontId="11" fillId="7" borderId="1" xfId="2" applyFont="1" applyFill="1" applyBorder="1" applyAlignment="1">
      <alignment horizontal="left"/>
    </xf>
    <xf numFmtId="166" fontId="11" fillId="7" borderId="1" xfId="2" applyNumberFormat="1" applyFont="1" applyFill="1" applyBorder="1" applyAlignment="1">
      <alignment horizontal="center"/>
    </xf>
    <xf numFmtId="165" fontId="10" fillId="0" borderId="2" xfId="3" applyFont="1" applyBorder="1" applyAlignment="1" applyProtection="1">
      <alignment horizontal="center"/>
    </xf>
    <xf numFmtId="165" fontId="10" fillId="0" borderId="4" xfId="3" applyFont="1" applyBorder="1" applyAlignment="1" applyProtection="1">
      <alignment horizontal="center"/>
    </xf>
    <xf numFmtId="165" fontId="11" fillId="7" borderId="1" xfId="3" applyFont="1" applyFill="1" applyBorder="1" applyAlignment="1" applyProtection="1">
      <alignment horizontal="left"/>
    </xf>
    <xf numFmtId="0" fontId="12" fillId="4" borderId="1" xfId="2" applyFont="1" applyFill="1" applyBorder="1" applyAlignment="1">
      <alignment horizontal="left"/>
    </xf>
    <xf numFmtId="165" fontId="12" fillId="4" borderId="1" xfId="3" applyFont="1" applyFill="1" applyBorder="1" applyAlignment="1" applyProtection="1">
      <alignment horizontal="left"/>
    </xf>
    <xf numFmtId="165" fontId="10" fillId="0" borderId="5" xfId="3" applyFont="1" applyBorder="1" applyAlignment="1" applyProtection="1">
      <alignment horizontal="left"/>
    </xf>
    <xf numFmtId="0" fontId="11" fillId="7" borderId="2" xfId="2" applyFont="1" applyFill="1" applyBorder="1" applyAlignment="1">
      <alignment horizontal="left"/>
    </xf>
    <xf numFmtId="0" fontId="11" fillId="7" borderId="3" xfId="2" applyFont="1" applyFill="1" applyBorder="1" applyAlignment="1">
      <alignment horizontal="left"/>
    </xf>
    <xf numFmtId="0" fontId="11" fillId="7" borderId="4" xfId="2" applyFont="1" applyFill="1" applyBorder="1" applyAlignment="1">
      <alignment horizontal="left"/>
    </xf>
    <xf numFmtId="0" fontId="10" fillId="0" borderId="2" xfId="2" applyFont="1" applyBorder="1" applyAlignment="1">
      <alignment horizontal="left"/>
    </xf>
    <xf numFmtId="0" fontId="10" fillId="0" borderId="3" xfId="2" applyFont="1" applyBorder="1" applyAlignment="1">
      <alignment horizontal="left"/>
    </xf>
    <xf numFmtId="0" fontId="10" fillId="0" borderId="4" xfId="2" applyFont="1" applyBorder="1" applyAlignment="1">
      <alignment horizontal="left"/>
    </xf>
    <xf numFmtId="0" fontId="10" fillId="0" borderId="3" xfId="2" applyFont="1" applyBorder="1" applyAlignment="1">
      <alignment horizontal="center"/>
    </xf>
    <xf numFmtId="0" fontId="10" fillId="0" borderId="7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165" fontId="6" fillId="5" borderId="12" xfId="3" applyFont="1" applyFill="1" applyBorder="1" applyAlignment="1" applyProtection="1">
      <alignment horizontal="center" vertical="center"/>
    </xf>
    <xf numFmtId="165" fontId="6" fillId="5" borderId="11" xfId="3" applyFont="1" applyFill="1" applyBorder="1" applyAlignment="1" applyProtection="1">
      <alignment horizontal="center" vertical="center"/>
    </xf>
    <xf numFmtId="165" fontId="13" fillId="5" borderId="10" xfId="3" applyFont="1" applyFill="1" applyBorder="1" applyAlignment="1" applyProtection="1">
      <alignment horizontal="center" vertical="center"/>
    </xf>
    <xf numFmtId="165" fontId="13" fillId="5" borderId="9" xfId="3" applyFont="1" applyFill="1" applyBorder="1" applyAlignment="1" applyProtection="1">
      <alignment horizontal="center" vertical="center"/>
    </xf>
    <xf numFmtId="0" fontId="11" fillId="7" borderId="2" xfId="2" applyFont="1" applyFill="1" applyBorder="1" applyAlignment="1">
      <alignment horizontal="center"/>
    </xf>
    <xf numFmtId="0" fontId="11" fillId="7" borderId="3" xfId="2" applyFont="1" applyFill="1" applyBorder="1" applyAlignment="1">
      <alignment horizontal="center"/>
    </xf>
    <xf numFmtId="0" fontId="11" fillId="7" borderId="4" xfId="2" applyFont="1" applyFill="1" applyBorder="1" applyAlignment="1">
      <alignment horizontal="center"/>
    </xf>
    <xf numFmtId="0" fontId="10" fillId="16" borderId="2" xfId="2" applyFont="1" applyFill="1" applyBorder="1" applyAlignment="1">
      <alignment horizontal="left" vertical="center"/>
    </xf>
    <xf numFmtId="0" fontId="10" fillId="16" borderId="3" xfId="2" applyFont="1" applyFill="1" applyBorder="1" applyAlignment="1">
      <alignment horizontal="left" vertical="center"/>
    </xf>
    <xf numFmtId="0" fontId="10" fillId="16" borderId="4" xfId="2" applyFont="1" applyFill="1" applyBorder="1" applyAlignment="1">
      <alignment horizontal="left" vertical="center"/>
    </xf>
    <xf numFmtId="165" fontId="13" fillId="16" borderId="2" xfId="3" applyFont="1" applyFill="1" applyBorder="1" applyAlignment="1" applyProtection="1">
      <alignment horizontal="center" vertical="center"/>
      <protection locked="0"/>
    </xf>
    <xf numFmtId="165" fontId="13" fillId="16" borderId="4" xfId="3" applyFont="1" applyFill="1" applyBorder="1" applyAlignment="1" applyProtection="1">
      <alignment horizontal="center" vertical="center"/>
      <protection locked="0"/>
    </xf>
    <xf numFmtId="0" fontId="12" fillId="0" borderId="1" xfId="2" applyFont="1" applyBorder="1" applyAlignment="1">
      <alignment horizontal="left"/>
    </xf>
    <xf numFmtId="44" fontId="4" fillId="0" borderId="2" xfId="0" applyNumberFormat="1" applyFont="1" applyBorder="1" applyAlignment="1">
      <alignment horizontal="center"/>
    </xf>
    <xf numFmtId="44" fontId="4" fillId="0" borderId="4" xfId="0" applyNumberFormat="1" applyFont="1" applyBorder="1" applyAlignment="1">
      <alignment horizontal="center"/>
    </xf>
    <xf numFmtId="0" fontId="10" fillId="16" borderId="12" xfId="2" applyFont="1" applyFill="1" applyBorder="1" applyAlignment="1">
      <alignment horizontal="left" vertical="center"/>
    </xf>
    <xf numFmtId="0" fontId="10" fillId="16" borderId="11" xfId="2" applyFont="1" applyFill="1" applyBorder="1" applyAlignment="1">
      <alignment horizontal="left" vertical="center"/>
    </xf>
    <xf numFmtId="0" fontId="10" fillId="16" borderId="10" xfId="2" applyFont="1" applyFill="1" applyBorder="1" applyAlignment="1">
      <alignment horizontal="left" vertical="center"/>
    </xf>
    <xf numFmtId="0" fontId="10" fillId="16" borderId="9" xfId="2" applyFont="1" applyFill="1" applyBorder="1" applyAlignment="1">
      <alignment horizontal="left" vertical="center"/>
    </xf>
    <xf numFmtId="165" fontId="13" fillId="16" borderId="12" xfId="3" applyFont="1" applyFill="1" applyBorder="1" applyAlignment="1" applyProtection="1">
      <alignment horizontal="center" vertical="center"/>
    </xf>
    <xf numFmtId="165" fontId="13" fillId="16" borderId="11" xfId="3" applyFont="1" applyFill="1" applyBorder="1" applyAlignment="1" applyProtection="1">
      <alignment horizontal="center" vertical="center"/>
    </xf>
    <xf numFmtId="165" fontId="13" fillId="16" borderId="10" xfId="3" applyFont="1" applyFill="1" applyBorder="1" applyAlignment="1" applyProtection="1">
      <alignment horizontal="center" vertical="center"/>
    </xf>
    <xf numFmtId="165" fontId="13" fillId="16" borderId="9" xfId="3" applyFont="1" applyFill="1" applyBorder="1" applyAlignment="1" applyProtection="1">
      <alignment horizontal="center" vertical="center"/>
    </xf>
    <xf numFmtId="0" fontId="13" fillId="4" borderId="0" xfId="2" applyFont="1" applyFill="1" applyAlignment="1">
      <alignment horizontal="center"/>
    </xf>
    <xf numFmtId="0" fontId="12" fillId="4" borderId="8" xfId="2" applyFont="1" applyFill="1" applyBorder="1" applyAlignment="1">
      <alignment horizontal="center"/>
    </xf>
    <xf numFmtId="0" fontId="13" fillId="7" borderId="1" xfId="2" applyFont="1" applyFill="1" applyBorder="1" applyAlignment="1">
      <alignment horizontal="left"/>
    </xf>
    <xf numFmtId="0" fontId="13" fillId="7" borderId="1" xfId="2" applyFont="1" applyFill="1" applyBorder="1" applyAlignment="1">
      <alignment horizontal="center"/>
    </xf>
    <xf numFmtId="0" fontId="10" fillId="0" borderId="0" xfId="2" applyFont="1" applyAlignment="1">
      <alignment horizontal="center"/>
    </xf>
    <xf numFmtId="0" fontId="13" fillId="7" borderId="2" xfId="2" applyFont="1" applyFill="1" applyBorder="1" applyAlignment="1">
      <alignment horizontal="center"/>
    </xf>
    <xf numFmtId="0" fontId="13" fillId="7" borderId="3" xfId="2" applyFont="1" applyFill="1" applyBorder="1" applyAlignment="1">
      <alignment horizontal="center"/>
    </xf>
    <xf numFmtId="0" fontId="13" fillId="7" borderId="4" xfId="2" applyFont="1" applyFill="1" applyBorder="1" applyAlignment="1">
      <alignment horizontal="center"/>
    </xf>
    <xf numFmtId="165" fontId="13" fillId="7" borderId="2" xfId="3" applyFont="1" applyFill="1" applyBorder="1" applyAlignment="1" applyProtection="1">
      <alignment horizontal="left"/>
    </xf>
    <xf numFmtId="165" fontId="13" fillId="7" borderId="4" xfId="3" applyFont="1" applyFill="1" applyBorder="1" applyAlignment="1" applyProtection="1">
      <alignment horizontal="left"/>
    </xf>
    <xf numFmtId="0" fontId="7" fillId="4" borderId="0" xfId="2" applyFont="1" applyFill="1" applyAlignment="1">
      <alignment horizontal="left"/>
    </xf>
    <xf numFmtId="0" fontId="12" fillId="16" borderId="2" xfId="2" applyFont="1" applyFill="1" applyBorder="1" applyAlignment="1">
      <alignment horizontal="left" vertical="center"/>
    </xf>
    <xf numFmtId="0" fontId="12" fillId="16" borderId="3" xfId="2" applyFont="1" applyFill="1" applyBorder="1" applyAlignment="1">
      <alignment horizontal="left" vertical="center"/>
    </xf>
    <xf numFmtId="0" fontId="12" fillId="16" borderId="4" xfId="2" applyFont="1" applyFill="1" applyBorder="1" applyAlignment="1">
      <alignment horizontal="left" vertical="center"/>
    </xf>
    <xf numFmtId="165" fontId="12" fillId="23" borderId="2" xfId="3" applyFont="1" applyFill="1" applyBorder="1" applyAlignment="1" applyProtection="1">
      <alignment horizontal="left"/>
    </xf>
    <xf numFmtId="165" fontId="12" fillId="23" borderId="4" xfId="3" applyFont="1" applyFill="1" applyBorder="1" applyAlignment="1" applyProtection="1">
      <alignment horizontal="left"/>
    </xf>
    <xf numFmtId="0" fontId="1" fillId="16" borderId="2" xfId="2" applyFont="1" applyFill="1" applyBorder="1" applyAlignment="1">
      <alignment horizontal="left" vertical="center"/>
    </xf>
    <xf numFmtId="0" fontId="1" fillId="16" borderId="3" xfId="2" applyFont="1" applyFill="1" applyBorder="1" applyAlignment="1">
      <alignment horizontal="left" vertical="center"/>
    </xf>
    <xf numFmtId="0" fontId="1" fillId="16" borderId="4" xfId="2" applyFont="1" applyFill="1" applyBorder="1" applyAlignment="1">
      <alignment horizontal="left" vertical="center"/>
    </xf>
    <xf numFmtId="165" fontId="12" fillId="23" borderId="2" xfId="3" applyFont="1" applyFill="1" applyBorder="1" applyAlignment="1" applyProtection="1">
      <alignment horizontal="center"/>
    </xf>
    <xf numFmtId="165" fontId="12" fillId="23" borderId="4" xfId="3" applyFont="1" applyFill="1" applyBorder="1" applyAlignment="1" applyProtection="1">
      <alignment horizontal="center"/>
    </xf>
    <xf numFmtId="0" fontId="12" fillId="0" borderId="1" xfId="2" applyFont="1" applyBorder="1" applyAlignment="1">
      <alignment horizontal="right"/>
    </xf>
    <xf numFmtId="0" fontId="7" fillId="0" borderId="6" xfId="2" applyFont="1" applyBorder="1" applyAlignment="1">
      <alignment horizontal="center"/>
    </xf>
    <xf numFmtId="164" fontId="3" fillId="3" borderId="0" xfId="0" applyNumberFormat="1" applyFont="1" applyFill="1" applyAlignment="1">
      <alignment horizontal="center" vertical="center"/>
    </xf>
    <xf numFmtId="0" fontId="7" fillId="0" borderId="0" xfId="2" applyFont="1" applyAlignment="1">
      <alignment horizontal="center"/>
    </xf>
    <xf numFmtId="0" fontId="12" fillId="16" borderId="1" xfId="2" applyFont="1" applyFill="1" applyBorder="1" applyAlignment="1">
      <alignment horizontal="left"/>
    </xf>
    <xf numFmtId="0" fontId="12" fillId="4" borderId="7" xfId="2" applyFont="1" applyFill="1" applyBorder="1" applyAlignment="1">
      <alignment horizontal="left" vertical="center"/>
    </xf>
    <xf numFmtId="0" fontId="12" fillId="4" borderId="5" xfId="2" applyFont="1" applyFill="1" applyBorder="1" applyAlignment="1">
      <alignment horizontal="left" vertical="center"/>
    </xf>
    <xf numFmtId="165" fontId="12" fillId="0" borderId="2" xfId="3" applyFont="1" applyFill="1" applyBorder="1" applyAlignment="1" applyProtection="1">
      <alignment horizontal="left"/>
    </xf>
    <xf numFmtId="165" fontId="12" fillId="0" borderId="4" xfId="3" applyFont="1" applyFill="1" applyBorder="1" applyAlignment="1" applyProtection="1">
      <alignment horizontal="left"/>
    </xf>
    <xf numFmtId="44" fontId="5" fillId="6" borderId="1" xfId="0" applyNumberFormat="1" applyFont="1" applyFill="1" applyBorder="1" applyAlignment="1">
      <alignment horizontal="center"/>
    </xf>
    <xf numFmtId="44" fontId="5" fillId="21" borderId="1" xfId="0" applyNumberFormat="1" applyFont="1" applyFill="1" applyBorder="1" applyAlignment="1">
      <alignment horizontal="center"/>
    </xf>
    <xf numFmtId="165" fontId="12" fillId="0" borderId="1" xfId="3" applyFont="1" applyFill="1" applyBorder="1" applyAlignment="1" applyProtection="1">
      <alignment horizontal="left"/>
    </xf>
    <xf numFmtId="0" fontId="13" fillId="11" borderId="10" xfId="0" applyFont="1" applyFill="1" applyBorder="1" applyAlignment="1">
      <alignment horizontal="center" vertical="center"/>
    </xf>
    <xf numFmtId="0" fontId="13" fillId="11" borderId="8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/>
    </xf>
    <xf numFmtId="0" fontId="13" fillId="11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32" fillId="0" borderId="8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12" fillId="4" borderId="2" xfId="2" applyFont="1" applyFill="1" applyBorder="1" applyAlignment="1">
      <alignment horizontal="left" vertical="center" wrapText="1"/>
    </xf>
    <xf numFmtId="0" fontId="12" fillId="4" borderId="4" xfId="2" applyFont="1" applyFill="1" applyBorder="1" applyAlignment="1">
      <alignment horizontal="left" vertical="center" wrapText="1"/>
    </xf>
    <xf numFmtId="0" fontId="11" fillId="8" borderId="10" xfId="2" applyFont="1" applyFill="1" applyBorder="1" applyAlignment="1">
      <alignment horizontal="center" vertical="center"/>
    </xf>
    <xf numFmtId="0" fontId="11" fillId="8" borderId="8" xfId="2" applyFont="1" applyFill="1" applyBorder="1" applyAlignment="1">
      <alignment horizontal="center" vertical="center"/>
    </xf>
    <xf numFmtId="0" fontId="11" fillId="7" borderId="2" xfId="2" applyFont="1" applyFill="1" applyBorder="1" applyAlignment="1">
      <alignment horizontal="center" vertical="center"/>
    </xf>
    <xf numFmtId="0" fontId="11" fillId="7" borderId="4" xfId="2" applyFont="1" applyFill="1" applyBorder="1" applyAlignment="1">
      <alignment horizontal="center" vertical="center"/>
    </xf>
    <xf numFmtId="0" fontId="10" fillId="4" borderId="2" xfId="2" applyFont="1" applyFill="1" applyBorder="1" applyAlignment="1">
      <alignment horizontal="left" vertical="center" wrapText="1"/>
    </xf>
    <xf numFmtId="0" fontId="10" fillId="4" borderId="4" xfId="2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1" fillId="7" borderId="2" xfId="2" applyFont="1" applyFill="1" applyBorder="1" applyAlignment="1">
      <alignment horizontal="center" vertical="center" wrapText="1"/>
    </xf>
    <xf numFmtId="0" fontId="11" fillId="7" borderId="4" xfId="2" applyFont="1" applyFill="1" applyBorder="1" applyAlignment="1">
      <alignment horizontal="center" vertical="center" wrapText="1"/>
    </xf>
    <xf numFmtId="0" fontId="48" fillId="0" borderId="27" xfId="0" applyFont="1" applyBorder="1" applyAlignment="1">
      <alignment horizontal="center" vertical="center" wrapText="1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center" wrapText="1"/>
    </xf>
    <xf numFmtId="0" fontId="48" fillId="0" borderId="14" xfId="0" applyFont="1" applyBorder="1" applyAlignment="1">
      <alignment horizontal="center" wrapText="1"/>
    </xf>
    <xf numFmtId="0" fontId="48" fillId="0" borderId="29" xfId="0" applyFont="1" applyBorder="1" applyAlignment="1">
      <alignment horizontal="center" wrapText="1"/>
    </xf>
    <xf numFmtId="44" fontId="12" fillId="0" borderId="1" xfId="0" applyNumberFormat="1" applyFont="1" applyBorder="1" applyAlignment="1">
      <alignment horizontal="center"/>
    </xf>
    <xf numFmtId="44" fontId="12" fillId="0" borderId="1" xfId="0" applyNumberFormat="1" applyFont="1" applyBorder="1" applyAlignment="1">
      <alignment horizontal="center" wrapText="1"/>
    </xf>
    <xf numFmtId="0" fontId="17" fillId="0" borderId="28" xfId="0" applyFont="1" applyBorder="1" applyAlignment="1">
      <alignment horizontal="center" wrapText="1"/>
    </xf>
  </cellXfs>
  <cellStyles count="11">
    <cellStyle name="Moeda" xfId="1" builtinId="4"/>
    <cellStyle name="Moeda 2" xfId="3" xr:uid="{8B70E7F1-8909-4CD1-8381-81DD6E926B92}"/>
    <cellStyle name="Moeda 3" xfId="6" xr:uid="{0DD2BB19-170A-4D28-8AA4-15AF515D2404}"/>
    <cellStyle name="Moeda 4" xfId="7" xr:uid="{38D4F02A-77C4-4568-BA5F-3148FA0D885B}"/>
    <cellStyle name="Normal" xfId="0" builtinId="0"/>
    <cellStyle name="Normal 2" xfId="2" xr:uid="{6072DE06-92C2-4B44-AE99-4FFB5839D3EF}"/>
    <cellStyle name="Normal 3" xfId="5" xr:uid="{FC591FE3-6FF9-4447-8AFB-C77B51039840}"/>
    <cellStyle name="Normal 5" xfId="9" xr:uid="{087B0848-A7A3-4D12-9A5E-1AB73072DBC6}"/>
    <cellStyle name="Porcentagem" xfId="10" builtinId="5"/>
    <cellStyle name="Porcentagem 2" xfId="4" xr:uid="{6E5C758D-49D8-428E-B18A-E5EE6FFA3E32}"/>
    <cellStyle name="Vírgula 2" xfId="8" xr:uid="{9E3E0987-8AAD-4563-8C71-D5A6AF5D42F0}"/>
  </cellStyles>
  <dxfs count="0"/>
  <tableStyles count="0" defaultTableStyle="TableStyleMedium2" defaultPivotStyle="PivotStyleLight16"/>
  <colors>
    <mruColors>
      <color rgb="FFCCCCFF"/>
      <color rgb="FF3366CC"/>
      <color rgb="FFFF5050"/>
      <color rgb="FFFF6699"/>
      <color rgb="FFFF7C80"/>
      <color rgb="FFFF9900"/>
      <color rgb="FFD60093"/>
      <color rgb="FF0099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B0C0-6419-4388-9FC7-5FF170C1C58B}">
  <dimension ref="A1:G6"/>
  <sheetViews>
    <sheetView tabSelected="1" workbookViewId="0">
      <selection activeCell="J11" sqref="J11"/>
    </sheetView>
  </sheetViews>
  <sheetFormatPr defaultRowHeight="15" x14ac:dyDescent="0.25"/>
  <cols>
    <col min="1" max="1" width="9.5703125" customWidth="1"/>
    <col min="2" max="2" width="18.85546875" customWidth="1"/>
    <col min="3" max="3" width="12.28515625" bestFit="1" customWidth="1"/>
    <col min="5" max="5" width="14.5703125" customWidth="1"/>
    <col min="6" max="6" width="15.140625" customWidth="1"/>
    <col min="7" max="7" width="13.7109375" customWidth="1"/>
    <col min="8" max="8" width="15.5703125" customWidth="1"/>
    <col min="9" max="9" width="15.42578125" customWidth="1"/>
    <col min="10" max="10" width="16" customWidth="1"/>
    <col min="11" max="11" width="15.28515625" customWidth="1"/>
    <col min="12" max="12" width="13.5703125" customWidth="1"/>
    <col min="13" max="13" width="15.42578125" customWidth="1"/>
    <col min="14" max="14" width="13.7109375" customWidth="1"/>
    <col min="15" max="15" width="13.140625" customWidth="1"/>
    <col min="16" max="16" width="14.85546875" customWidth="1"/>
    <col min="17" max="17" width="15.7109375" customWidth="1"/>
  </cols>
  <sheetData>
    <row r="1" spans="1:7" x14ac:dyDescent="0.25">
      <c r="A1" s="250" t="s">
        <v>254</v>
      </c>
      <c r="B1" s="251"/>
      <c r="C1" s="251"/>
      <c r="D1" s="251"/>
      <c r="E1" s="251"/>
      <c r="F1" s="251"/>
      <c r="G1" s="252"/>
    </row>
    <row r="2" spans="1:7" ht="63.75" x14ac:dyDescent="0.25">
      <c r="A2" s="243" t="s">
        <v>236</v>
      </c>
      <c r="B2" s="244"/>
      <c r="C2" s="104" t="s">
        <v>237</v>
      </c>
      <c r="D2" s="104" t="s">
        <v>238</v>
      </c>
      <c r="E2" s="104" t="s">
        <v>239</v>
      </c>
      <c r="F2" s="104" t="s">
        <v>240</v>
      </c>
      <c r="G2" s="105" t="s">
        <v>241</v>
      </c>
    </row>
    <row r="3" spans="1:7" ht="94.5" x14ac:dyDescent="0.25">
      <c r="A3" s="99" t="s">
        <v>63</v>
      </c>
      <c r="B3" s="103" t="s">
        <v>243</v>
      </c>
      <c r="C3" s="100">
        <f>Custos!H135</f>
        <v>7362.5467815372012</v>
      </c>
      <c r="D3" s="101">
        <v>2</v>
      </c>
      <c r="E3" s="100">
        <f>ROUNDUP(C3*D3,2)</f>
        <v>14725.1</v>
      </c>
      <c r="F3" s="101">
        <v>1</v>
      </c>
      <c r="G3" s="102">
        <f>ROUND(E3*F3,2)</f>
        <v>14725.1</v>
      </c>
    </row>
    <row r="4" spans="1:7" ht="15" customHeight="1" x14ac:dyDescent="0.25">
      <c r="A4" s="245" t="s">
        <v>242</v>
      </c>
      <c r="B4" s="246"/>
      <c r="C4" s="246"/>
      <c r="D4" s="246"/>
      <c r="E4" s="246"/>
      <c r="F4" s="247"/>
      <c r="G4" s="106">
        <f>G3</f>
        <v>14725.1</v>
      </c>
    </row>
    <row r="5" spans="1:7" x14ac:dyDescent="0.25">
      <c r="A5" s="248" t="s">
        <v>244</v>
      </c>
      <c r="B5" s="248"/>
      <c r="C5" s="248"/>
      <c r="D5" s="248"/>
      <c r="E5" s="248"/>
      <c r="F5" s="248"/>
      <c r="G5" s="108">
        <f>G4*12</f>
        <v>176701.2</v>
      </c>
    </row>
    <row r="6" spans="1:7" x14ac:dyDescent="0.25">
      <c r="A6" s="249" t="s">
        <v>245</v>
      </c>
      <c r="B6" s="249"/>
      <c r="C6" s="249"/>
      <c r="D6" s="249"/>
      <c r="E6" s="249"/>
      <c r="F6" s="249"/>
      <c r="G6" s="109">
        <f>G4*30</f>
        <v>441753</v>
      </c>
    </row>
  </sheetData>
  <mergeCells count="5">
    <mergeCell ref="A2:B2"/>
    <mergeCell ref="A4:F4"/>
    <mergeCell ref="A5:F5"/>
    <mergeCell ref="A6:F6"/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49EAB-3E7B-4BC6-9DE6-4B4E11B144C5}">
  <sheetPr>
    <tabColor theme="8" tint="0.39997558519241921"/>
  </sheetPr>
  <dimension ref="A1:S152"/>
  <sheetViews>
    <sheetView showGridLines="0" topLeftCell="B109" zoomScaleNormal="100" zoomScaleSheetLayoutView="100" workbookViewId="0">
      <selection activeCell="L112" sqref="L112"/>
    </sheetView>
  </sheetViews>
  <sheetFormatPr defaultColWidth="9.140625" defaultRowHeight="15" customHeight="1" x14ac:dyDescent="0.25"/>
  <cols>
    <col min="1" max="1" width="3.140625" style="4" customWidth="1"/>
    <col min="2" max="2" width="16.5703125" style="3" customWidth="1"/>
    <col min="3" max="3" width="17.85546875" style="3" customWidth="1"/>
    <col min="4" max="4" width="11.85546875" style="3" customWidth="1"/>
    <col min="5" max="5" width="12.85546875" style="3" bestFit="1" customWidth="1"/>
    <col min="6" max="6" width="12.140625" style="3" bestFit="1" customWidth="1"/>
    <col min="7" max="7" width="14.42578125" style="3" bestFit="1" customWidth="1"/>
    <col min="8" max="8" width="10.28515625" style="3" customWidth="1"/>
    <col min="9" max="9" width="13.28515625" style="3" customWidth="1"/>
    <col min="10" max="10" width="1.42578125" style="2" customWidth="1"/>
    <col min="11" max="11" width="10.28515625" style="2" customWidth="1"/>
    <col min="12" max="12" width="12.7109375" style="2" bestFit="1" customWidth="1"/>
    <col min="13" max="13" width="10" style="2" bestFit="1" customWidth="1"/>
    <col min="14" max="14" width="10.5703125" style="2" bestFit="1" customWidth="1"/>
    <col min="15" max="16" width="9.140625" style="2"/>
    <col min="17" max="17" width="10" style="2" bestFit="1" customWidth="1"/>
    <col min="18" max="16384" width="9.140625" style="2"/>
  </cols>
  <sheetData>
    <row r="1" spans="1:11" ht="15" customHeight="1" x14ac:dyDescent="0.25">
      <c r="A1" s="254" t="s">
        <v>2</v>
      </c>
      <c r="B1" s="254"/>
      <c r="C1" s="254"/>
      <c r="D1" s="254"/>
      <c r="E1" s="254"/>
      <c r="F1" s="254"/>
      <c r="G1" s="254"/>
      <c r="H1" s="254"/>
      <c r="I1" s="254"/>
      <c r="J1" s="12"/>
      <c r="K1" s="12"/>
    </row>
    <row r="2" spans="1:11" ht="15" customHeight="1" x14ac:dyDescent="0.25">
      <c r="A2" s="255"/>
      <c r="B2" s="255"/>
      <c r="C2" s="255"/>
      <c r="D2" s="255"/>
      <c r="E2" s="255"/>
      <c r="F2" s="255"/>
      <c r="G2" s="255"/>
      <c r="H2" s="255"/>
      <c r="I2" s="255"/>
      <c r="J2" s="12"/>
      <c r="K2" s="12"/>
    </row>
    <row r="3" spans="1:11" ht="15" customHeight="1" x14ac:dyDescent="0.25">
      <c r="A3" s="15"/>
      <c r="B3" s="16" t="s">
        <v>3</v>
      </c>
      <c r="C3" s="256"/>
      <c r="D3" s="256"/>
      <c r="E3" s="256"/>
      <c r="F3" s="256"/>
      <c r="G3" s="256"/>
      <c r="H3" s="256"/>
      <c r="I3" s="256"/>
      <c r="J3" s="12"/>
      <c r="K3" s="12"/>
    </row>
    <row r="4" spans="1:11" ht="15" customHeight="1" x14ac:dyDescent="0.25">
      <c r="A4" s="15"/>
      <c r="B4" s="17" t="s">
        <v>4</v>
      </c>
      <c r="C4" s="257"/>
      <c r="D4" s="257"/>
      <c r="E4" s="17"/>
      <c r="F4" s="17"/>
      <c r="G4" s="17"/>
      <c r="H4" s="17"/>
      <c r="I4" s="17"/>
      <c r="J4" s="12"/>
      <c r="K4" s="12"/>
    </row>
    <row r="5" spans="1:11" ht="15" customHeight="1" x14ac:dyDescent="0.25">
      <c r="A5" s="15"/>
      <c r="B5" s="16" t="s">
        <v>5</v>
      </c>
      <c r="C5" s="18"/>
      <c r="D5" s="17"/>
      <c r="E5" s="17"/>
      <c r="F5" s="17"/>
      <c r="G5" s="17"/>
      <c r="H5" s="17"/>
      <c r="I5" s="17"/>
      <c r="J5" s="12"/>
      <c r="K5" s="12"/>
    </row>
    <row r="6" spans="1:11" ht="4.5" customHeight="1" x14ac:dyDescent="0.25">
      <c r="A6" s="255"/>
      <c r="B6" s="255"/>
      <c r="C6" s="255"/>
      <c r="D6" s="255"/>
      <c r="E6" s="255"/>
      <c r="F6" s="255"/>
      <c r="G6" s="255"/>
      <c r="H6" s="255"/>
      <c r="I6" s="255"/>
      <c r="J6" s="12"/>
      <c r="K6" s="12"/>
    </row>
    <row r="7" spans="1:11" ht="15" customHeight="1" x14ac:dyDescent="0.25">
      <c r="A7" s="258" t="s">
        <v>6</v>
      </c>
      <c r="B7" s="258"/>
      <c r="C7" s="258"/>
      <c r="D7" s="258"/>
      <c r="E7" s="258"/>
      <c r="F7" s="258"/>
      <c r="G7" s="258"/>
      <c r="H7" s="258"/>
      <c r="I7" s="258"/>
      <c r="J7" s="12"/>
      <c r="K7" s="12"/>
    </row>
    <row r="8" spans="1:11" ht="15" customHeight="1" x14ac:dyDescent="0.25">
      <c r="A8" s="19" t="s">
        <v>7</v>
      </c>
      <c r="B8" s="260" t="s">
        <v>8</v>
      </c>
      <c r="C8" s="260"/>
      <c r="D8" s="260"/>
      <c r="E8" s="260"/>
      <c r="F8" s="260"/>
      <c r="G8" s="262"/>
      <c r="H8" s="259"/>
      <c r="I8" s="259"/>
      <c r="J8" s="12"/>
      <c r="K8" s="12"/>
    </row>
    <row r="9" spans="1:11" ht="15" customHeight="1" x14ac:dyDescent="0.25">
      <c r="A9" s="19" t="s">
        <v>9</v>
      </c>
      <c r="B9" s="260" t="s">
        <v>10</v>
      </c>
      <c r="C9" s="260"/>
      <c r="D9" s="260"/>
      <c r="E9" s="260"/>
      <c r="F9" s="260"/>
      <c r="G9" s="263" t="s">
        <v>11</v>
      </c>
      <c r="H9" s="264"/>
      <c r="I9" s="265"/>
      <c r="J9" s="12"/>
      <c r="K9" s="12"/>
    </row>
    <row r="10" spans="1:11" ht="15" customHeight="1" x14ac:dyDescent="0.25">
      <c r="A10" s="20" t="s">
        <v>12</v>
      </c>
      <c r="B10" s="266" t="s">
        <v>13</v>
      </c>
      <c r="C10" s="267"/>
      <c r="D10" s="267"/>
      <c r="E10" s="267"/>
      <c r="F10" s="267"/>
      <c r="G10" s="268" t="s">
        <v>335</v>
      </c>
      <c r="H10" s="268"/>
      <c r="I10" s="268"/>
      <c r="J10" s="12"/>
      <c r="K10" s="12" t="s">
        <v>337</v>
      </c>
    </row>
    <row r="11" spans="1:11" ht="15" customHeight="1" x14ac:dyDescent="0.25">
      <c r="A11" s="19" t="s">
        <v>14</v>
      </c>
      <c r="B11" s="21" t="s">
        <v>15</v>
      </c>
      <c r="C11" s="22"/>
      <c r="D11" s="22"/>
      <c r="E11" s="22"/>
      <c r="F11" s="22"/>
      <c r="G11" s="259">
        <v>30</v>
      </c>
      <c r="H11" s="259"/>
      <c r="I11" s="259"/>
      <c r="J11" s="12"/>
      <c r="K11" s="12"/>
    </row>
    <row r="12" spans="1:11" ht="15" customHeight="1" x14ac:dyDescent="0.25">
      <c r="A12" s="258" t="s">
        <v>16</v>
      </c>
      <c r="B12" s="258"/>
      <c r="C12" s="258"/>
      <c r="D12" s="258"/>
      <c r="E12" s="258"/>
      <c r="F12" s="258"/>
      <c r="G12" s="258"/>
      <c r="H12" s="258"/>
      <c r="I12" s="258"/>
      <c r="J12" s="12"/>
      <c r="K12" s="12"/>
    </row>
    <row r="13" spans="1:11" ht="15" customHeight="1" x14ac:dyDescent="0.25">
      <c r="A13" s="19">
        <v>1</v>
      </c>
      <c r="B13" s="260" t="s">
        <v>17</v>
      </c>
      <c r="C13" s="260"/>
      <c r="D13" s="260"/>
      <c r="E13" s="260"/>
      <c r="F13" s="260"/>
      <c r="G13" s="260"/>
      <c r="H13" s="259" t="s">
        <v>0</v>
      </c>
      <c r="I13" s="259"/>
      <c r="J13" s="12"/>
      <c r="K13" s="12"/>
    </row>
    <row r="14" spans="1:11" ht="15" customHeight="1" x14ac:dyDescent="0.25">
      <c r="A14" s="19">
        <v>2</v>
      </c>
      <c r="B14" s="260" t="s">
        <v>18</v>
      </c>
      <c r="C14" s="260"/>
      <c r="D14" s="260"/>
      <c r="E14" s="260"/>
      <c r="F14" s="260"/>
      <c r="G14" s="260"/>
      <c r="H14" s="261">
        <v>1</v>
      </c>
      <c r="I14" s="261"/>
      <c r="J14" s="12"/>
      <c r="K14" s="12"/>
    </row>
    <row r="15" spans="1:11" ht="15" customHeight="1" x14ac:dyDescent="0.25">
      <c r="A15" s="19">
        <v>3</v>
      </c>
      <c r="B15" s="21" t="s">
        <v>19</v>
      </c>
      <c r="C15" s="277" t="s">
        <v>234</v>
      </c>
      <c r="D15" s="277"/>
      <c r="E15" s="277"/>
      <c r="F15" s="277"/>
      <c r="G15" s="277"/>
      <c r="H15" s="277"/>
      <c r="I15" s="277"/>
      <c r="J15" s="12"/>
      <c r="K15" s="12"/>
    </row>
    <row r="16" spans="1:11" ht="15" customHeight="1" x14ac:dyDescent="0.25">
      <c r="A16" s="255"/>
      <c r="B16" s="255"/>
      <c r="C16" s="255"/>
      <c r="D16" s="255"/>
      <c r="E16" s="255"/>
      <c r="F16" s="255"/>
      <c r="G16" s="255"/>
      <c r="H16" s="255"/>
      <c r="I16" s="255"/>
      <c r="J16" s="12"/>
      <c r="K16" s="12"/>
    </row>
    <row r="17" spans="1:14" ht="15" customHeight="1" x14ac:dyDescent="0.25">
      <c r="A17" s="258" t="s">
        <v>20</v>
      </c>
      <c r="B17" s="258"/>
      <c r="C17" s="258"/>
      <c r="D17" s="258"/>
      <c r="E17" s="258"/>
      <c r="F17" s="258"/>
      <c r="G17" s="258"/>
      <c r="H17" s="258"/>
      <c r="I17" s="258"/>
      <c r="J17" s="12"/>
      <c r="K17" s="12"/>
    </row>
    <row r="18" spans="1:14" ht="15" customHeight="1" x14ac:dyDescent="0.25">
      <c r="A18" s="278" t="s">
        <v>21</v>
      </c>
      <c r="B18" s="278"/>
      <c r="C18" s="278"/>
      <c r="D18" s="278"/>
      <c r="E18" s="278"/>
      <c r="F18" s="278"/>
      <c r="G18" s="278"/>
      <c r="H18" s="278"/>
      <c r="I18" s="278"/>
      <c r="J18" s="12"/>
      <c r="K18" s="12"/>
    </row>
    <row r="19" spans="1:14" x14ac:dyDescent="0.25">
      <c r="A19" s="23">
        <v>1</v>
      </c>
      <c r="B19" s="269" t="s">
        <v>22</v>
      </c>
      <c r="C19" s="269"/>
      <c r="D19" s="269"/>
      <c r="E19" s="269"/>
      <c r="F19" s="269"/>
      <c r="G19" s="269"/>
      <c r="H19" s="275"/>
      <c r="I19" s="276"/>
      <c r="J19" s="12"/>
      <c r="K19" s="12"/>
    </row>
    <row r="20" spans="1:14" ht="15" customHeight="1" x14ac:dyDescent="0.25">
      <c r="A20" s="23">
        <v>2</v>
      </c>
      <c r="B20" s="269" t="s">
        <v>23</v>
      </c>
      <c r="C20" s="269"/>
      <c r="D20" s="269"/>
      <c r="E20" s="269"/>
      <c r="F20" s="269"/>
      <c r="G20" s="269"/>
      <c r="H20" s="270" t="s">
        <v>235</v>
      </c>
      <c r="I20" s="271"/>
      <c r="J20" s="12"/>
      <c r="K20" s="12"/>
    </row>
    <row r="21" spans="1:14" ht="15" customHeight="1" x14ac:dyDescent="0.25">
      <c r="A21" s="23">
        <v>3</v>
      </c>
      <c r="B21" s="272" t="s">
        <v>24</v>
      </c>
      <c r="C21" s="272"/>
      <c r="D21" s="272"/>
      <c r="E21" s="272"/>
      <c r="F21" s="272"/>
      <c r="G21" s="272"/>
      <c r="H21" s="273">
        <v>2354.5</v>
      </c>
      <c r="I21" s="274"/>
      <c r="J21" s="12"/>
      <c r="K21" s="12" t="s">
        <v>336</v>
      </c>
    </row>
    <row r="22" spans="1:14" x14ac:dyDescent="0.25">
      <c r="A22" s="23">
        <v>4</v>
      </c>
      <c r="B22" s="269" t="s">
        <v>25</v>
      </c>
      <c r="C22" s="269"/>
      <c r="D22" s="269"/>
      <c r="E22" s="269"/>
      <c r="F22" s="269"/>
      <c r="G22" s="269"/>
      <c r="H22" s="275"/>
      <c r="I22" s="276"/>
      <c r="J22" s="12"/>
      <c r="K22" s="12"/>
    </row>
    <row r="23" spans="1:14" ht="15" customHeight="1" x14ac:dyDescent="0.25">
      <c r="A23" s="23">
        <v>5</v>
      </c>
      <c r="B23" s="269" t="s">
        <v>26</v>
      </c>
      <c r="C23" s="269"/>
      <c r="D23" s="269"/>
      <c r="E23" s="269"/>
      <c r="F23" s="269"/>
      <c r="G23" s="269"/>
      <c r="H23" s="285" t="s">
        <v>148</v>
      </c>
      <c r="I23" s="286"/>
      <c r="J23" s="12"/>
      <c r="K23" s="12"/>
    </row>
    <row r="24" spans="1:14" ht="15" customHeight="1" x14ac:dyDescent="0.25">
      <c r="A24" s="287"/>
      <c r="B24" s="287"/>
      <c r="C24" s="287"/>
      <c r="D24" s="287"/>
      <c r="E24" s="287"/>
      <c r="F24" s="287"/>
      <c r="G24" s="287"/>
      <c r="H24" s="287"/>
      <c r="I24" s="287"/>
      <c r="J24" s="12"/>
      <c r="K24" s="12"/>
    </row>
    <row r="25" spans="1:14" ht="15" customHeight="1" x14ac:dyDescent="0.25">
      <c r="A25" s="288" t="s">
        <v>27</v>
      </c>
      <c r="B25" s="289"/>
      <c r="C25" s="289"/>
      <c r="D25" s="289"/>
      <c r="E25" s="289"/>
      <c r="F25" s="289"/>
      <c r="G25" s="289"/>
      <c r="H25" s="289"/>
      <c r="I25" s="290"/>
      <c r="J25" s="12"/>
      <c r="K25" s="12"/>
      <c r="M25" s="43"/>
    </row>
    <row r="26" spans="1:14" ht="15" customHeight="1" x14ac:dyDescent="0.25">
      <c r="A26" s="37">
        <v>1</v>
      </c>
      <c r="B26" s="291" t="s">
        <v>28</v>
      </c>
      <c r="C26" s="291"/>
      <c r="D26" s="291"/>
      <c r="E26" s="291"/>
      <c r="F26" s="291"/>
      <c r="G26" s="291"/>
      <c r="H26" s="292" t="s">
        <v>29</v>
      </c>
      <c r="I26" s="292"/>
      <c r="J26" s="12"/>
      <c r="K26" s="12"/>
      <c r="M26" s="43"/>
    </row>
    <row r="27" spans="1:14" ht="15" customHeight="1" x14ac:dyDescent="0.25">
      <c r="A27" s="23" t="s">
        <v>7</v>
      </c>
      <c r="B27" s="260" t="s">
        <v>30</v>
      </c>
      <c r="C27" s="260"/>
      <c r="D27" s="260"/>
      <c r="E27" s="260"/>
      <c r="F27" s="260"/>
      <c r="G27" s="260"/>
      <c r="H27" s="283">
        <f>H21</f>
        <v>2354.5</v>
      </c>
      <c r="I27" s="283"/>
      <c r="J27" s="12"/>
      <c r="K27" s="12"/>
    </row>
    <row r="28" spans="1:14" ht="15" customHeight="1" x14ac:dyDescent="0.25">
      <c r="A28" s="24" t="s">
        <v>9</v>
      </c>
      <c r="B28" s="25" t="s">
        <v>31</v>
      </c>
      <c r="C28" s="26"/>
      <c r="D28" s="27" t="s">
        <v>32</v>
      </c>
      <c r="E28" s="27" t="s">
        <v>35</v>
      </c>
      <c r="F28" s="26"/>
      <c r="G28" s="28"/>
      <c r="H28" s="283">
        <f>IF(E28="N",0,H27*0.3)</f>
        <v>0</v>
      </c>
      <c r="I28" s="283"/>
      <c r="J28" s="12"/>
      <c r="K28" s="12"/>
    </row>
    <row r="29" spans="1:14" ht="15" customHeight="1" x14ac:dyDescent="0.25">
      <c r="A29" s="24" t="s">
        <v>12</v>
      </c>
      <c r="B29" s="25" t="s">
        <v>34</v>
      </c>
      <c r="C29" s="26"/>
      <c r="D29" s="27" t="s">
        <v>32</v>
      </c>
      <c r="E29" s="27" t="s">
        <v>35</v>
      </c>
      <c r="F29" s="293"/>
      <c r="G29" s="294"/>
      <c r="H29" s="284"/>
      <c r="I29" s="282"/>
      <c r="J29" s="12"/>
      <c r="K29" s="12"/>
      <c r="N29" s="48"/>
    </row>
    <row r="30" spans="1:14" ht="15" customHeight="1" x14ac:dyDescent="0.25">
      <c r="A30" s="23" t="s">
        <v>14</v>
      </c>
      <c r="B30" s="279" t="s">
        <v>36</v>
      </c>
      <c r="C30" s="280"/>
      <c r="D30" s="280"/>
      <c r="E30" s="280"/>
      <c r="F30" s="280"/>
      <c r="G30" s="281"/>
      <c r="H30" s="282"/>
      <c r="I30" s="282"/>
      <c r="J30" s="12"/>
      <c r="K30" s="12"/>
    </row>
    <row r="31" spans="1:14" ht="15" customHeight="1" x14ac:dyDescent="0.25">
      <c r="A31" s="23" t="s">
        <v>37</v>
      </c>
      <c r="B31" s="279" t="s">
        <v>38</v>
      </c>
      <c r="C31" s="280"/>
      <c r="D31" s="280"/>
      <c r="E31" s="280"/>
      <c r="F31" s="280"/>
      <c r="G31" s="281"/>
      <c r="H31" s="282"/>
      <c r="I31" s="282"/>
      <c r="J31" s="12"/>
      <c r="K31" s="12"/>
    </row>
    <row r="32" spans="1:14" ht="15" customHeight="1" x14ac:dyDescent="0.25">
      <c r="A32" s="19" t="s">
        <v>39</v>
      </c>
      <c r="B32" s="296" t="s">
        <v>40</v>
      </c>
      <c r="C32" s="296"/>
      <c r="D32" s="296"/>
      <c r="E32" s="296"/>
      <c r="F32" s="296"/>
      <c r="G32" s="296"/>
      <c r="H32" s="297"/>
      <c r="I32" s="297"/>
      <c r="J32" s="12"/>
      <c r="K32" s="12"/>
    </row>
    <row r="33" spans="1:17" ht="15" customHeight="1" x14ac:dyDescent="0.25">
      <c r="A33" s="23" t="s">
        <v>41</v>
      </c>
      <c r="B33" s="269" t="s">
        <v>42</v>
      </c>
      <c r="C33" s="269"/>
      <c r="D33" s="269"/>
      <c r="E33" s="269"/>
      <c r="F33" s="269"/>
      <c r="G33" s="269"/>
      <c r="H33" s="298"/>
      <c r="I33" s="298"/>
      <c r="J33" s="12"/>
      <c r="K33" s="12"/>
    </row>
    <row r="34" spans="1:17" ht="15" customHeight="1" x14ac:dyDescent="0.25">
      <c r="A34" s="278" t="s">
        <v>43</v>
      </c>
      <c r="B34" s="278"/>
      <c r="C34" s="278"/>
      <c r="D34" s="278"/>
      <c r="E34" s="278"/>
      <c r="F34" s="278"/>
      <c r="G34" s="278"/>
      <c r="H34" s="295">
        <f>SUM(H27:I33)</f>
        <v>2354.5</v>
      </c>
      <c r="I34" s="295"/>
      <c r="J34" s="12"/>
      <c r="K34" s="12"/>
    </row>
    <row r="35" spans="1:17" ht="15" customHeight="1" x14ac:dyDescent="0.25">
      <c r="A35" s="287"/>
      <c r="B35" s="287"/>
      <c r="C35" s="287"/>
      <c r="D35" s="287"/>
      <c r="E35" s="287"/>
      <c r="F35" s="287"/>
      <c r="G35" s="287"/>
      <c r="H35" s="287"/>
      <c r="I35" s="287"/>
      <c r="J35" s="12"/>
      <c r="K35" s="12"/>
      <c r="L35" s="46"/>
      <c r="N35" s="46"/>
    </row>
    <row r="36" spans="1:17" ht="15" customHeight="1" x14ac:dyDescent="0.25">
      <c r="A36" s="288" t="s">
        <v>44</v>
      </c>
      <c r="B36" s="289"/>
      <c r="C36" s="289"/>
      <c r="D36" s="289"/>
      <c r="E36" s="289"/>
      <c r="F36" s="289"/>
      <c r="G36" s="289"/>
      <c r="H36" s="289"/>
      <c r="I36" s="290"/>
      <c r="J36" s="12"/>
      <c r="K36" s="12"/>
      <c r="Q36" s="46"/>
    </row>
    <row r="37" spans="1:17" ht="15" customHeight="1" x14ac:dyDescent="0.25">
      <c r="A37" s="291" t="s">
        <v>45</v>
      </c>
      <c r="B37" s="291"/>
      <c r="C37" s="291"/>
      <c r="D37" s="291"/>
      <c r="E37" s="291"/>
      <c r="F37" s="291"/>
      <c r="G37" s="291"/>
      <c r="H37" s="291"/>
      <c r="I37" s="291"/>
      <c r="J37" s="12"/>
      <c r="K37" s="12"/>
      <c r="L37" s="51"/>
    </row>
    <row r="38" spans="1:17" ht="15" customHeight="1" x14ac:dyDescent="0.25">
      <c r="A38" s="37" t="s">
        <v>46</v>
      </c>
      <c r="B38" s="299" t="s">
        <v>47</v>
      </c>
      <c r="C38" s="300"/>
      <c r="D38" s="300"/>
      <c r="E38" s="300"/>
      <c r="F38" s="300"/>
      <c r="G38" s="301"/>
      <c r="H38" s="37" t="s">
        <v>48</v>
      </c>
      <c r="I38" s="40" t="s">
        <v>29</v>
      </c>
      <c r="J38" s="12"/>
      <c r="K38" s="12"/>
      <c r="N38" s="49"/>
    </row>
    <row r="39" spans="1:17" ht="15" customHeight="1" x14ac:dyDescent="0.25">
      <c r="A39" s="23" t="s">
        <v>7</v>
      </c>
      <c r="B39" s="302" t="s">
        <v>49</v>
      </c>
      <c r="C39" s="303"/>
      <c r="D39" s="303"/>
      <c r="E39" s="303"/>
      <c r="F39" s="303"/>
      <c r="G39" s="304"/>
      <c r="H39" s="152">
        <f>1/12</f>
        <v>8.3333333333333329E-2</v>
      </c>
      <c r="I39" s="30">
        <f>H34*H39</f>
        <v>196.20833333333331</v>
      </c>
      <c r="J39" s="12"/>
      <c r="K39" s="13"/>
      <c r="L39" s="50"/>
      <c r="M39" s="50"/>
      <c r="N39" s="49"/>
      <c r="O39" s="10"/>
    </row>
    <row r="40" spans="1:17" ht="15" customHeight="1" x14ac:dyDescent="0.25">
      <c r="A40" s="23" t="s">
        <v>9</v>
      </c>
      <c r="B40" s="302" t="s">
        <v>50</v>
      </c>
      <c r="C40" s="303"/>
      <c r="D40" s="303"/>
      <c r="E40" s="303"/>
      <c r="F40" s="303"/>
      <c r="G40" s="304"/>
      <c r="H40" s="152">
        <f>1/12+1/36</f>
        <v>0.1111111111111111</v>
      </c>
      <c r="I40" s="30">
        <f>H34*H40</f>
        <v>261.61111111111109</v>
      </c>
      <c r="J40" s="12"/>
      <c r="K40" s="13"/>
      <c r="L40" s="50"/>
      <c r="M40" s="50"/>
      <c r="N40" s="49"/>
      <c r="O40" s="10"/>
    </row>
    <row r="41" spans="1:17" ht="15" customHeight="1" x14ac:dyDescent="0.25">
      <c r="A41" s="53" t="s">
        <v>51</v>
      </c>
      <c r="B41" s="52"/>
      <c r="C41" s="52"/>
      <c r="D41" s="52"/>
      <c r="E41" s="52"/>
      <c r="F41" s="52"/>
      <c r="G41" s="52"/>
      <c r="H41" s="58">
        <f>SUM(H39:H40)</f>
        <v>0.19444444444444442</v>
      </c>
      <c r="I41" s="57">
        <f>SUM(I39:I40)</f>
        <v>457.8194444444444</v>
      </c>
      <c r="J41" s="12"/>
      <c r="K41" s="12"/>
      <c r="L41" s="46"/>
      <c r="N41" s="46"/>
    </row>
    <row r="42" spans="1:17" ht="15" customHeight="1" x14ac:dyDescent="0.25">
      <c r="A42" s="305" t="s">
        <v>52</v>
      </c>
      <c r="B42" s="305"/>
      <c r="C42" s="305"/>
      <c r="D42" s="305"/>
      <c r="E42" s="305"/>
      <c r="F42" s="305"/>
      <c r="G42" s="305"/>
      <c r="H42" s="305"/>
      <c r="I42" s="305"/>
      <c r="J42" s="12"/>
      <c r="K42" s="12"/>
      <c r="L42" s="46"/>
    </row>
    <row r="43" spans="1:17" ht="15" customHeight="1" x14ac:dyDescent="0.25">
      <c r="A43" s="291" t="s">
        <v>53</v>
      </c>
      <c r="B43" s="291"/>
      <c r="C43" s="291"/>
      <c r="D43" s="291"/>
      <c r="E43" s="291"/>
      <c r="F43" s="291"/>
      <c r="G43" s="291"/>
      <c r="H43" s="291"/>
      <c r="I43" s="291"/>
      <c r="J43" s="12"/>
      <c r="K43" s="12"/>
    </row>
    <row r="44" spans="1:17" ht="15" customHeight="1" x14ac:dyDescent="0.25">
      <c r="A44" s="37" t="s">
        <v>54</v>
      </c>
      <c r="B44" s="291" t="s">
        <v>55</v>
      </c>
      <c r="C44" s="291"/>
      <c r="D44" s="291"/>
      <c r="E44" s="291"/>
      <c r="F44" s="291"/>
      <c r="G44" s="291"/>
      <c r="H44" s="37" t="s">
        <v>48</v>
      </c>
      <c r="I44" s="40" t="s">
        <v>29</v>
      </c>
      <c r="J44" s="12"/>
      <c r="K44" s="12"/>
      <c r="N44" s="46"/>
    </row>
    <row r="45" spans="1:17" ht="15" customHeight="1" x14ac:dyDescent="0.25">
      <c r="A45" s="23" t="s">
        <v>7</v>
      </c>
      <c r="B45" s="269" t="s">
        <v>56</v>
      </c>
      <c r="C45" s="269"/>
      <c r="D45" s="269"/>
      <c r="E45" s="269"/>
      <c r="F45" s="269"/>
      <c r="G45" s="269"/>
      <c r="H45" s="31">
        <v>0.2</v>
      </c>
      <c r="I45" s="32">
        <f>($H$34+$I$41)*H45</f>
        <v>562.46388888888885</v>
      </c>
      <c r="J45" s="12"/>
      <c r="K45" s="12"/>
      <c r="P45" s="48"/>
    </row>
    <row r="46" spans="1:17" ht="15" customHeight="1" x14ac:dyDescent="0.25">
      <c r="A46" s="23" t="s">
        <v>9</v>
      </c>
      <c r="B46" s="269" t="s">
        <v>57</v>
      </c>
      <c r="C46" s="269"/>
      <c r="D46" s="269"/>
      <c r="E46" s="269"/>
      <c r="F46" s="269"/>
      <c r="G46" s="269"/>
      <c r="H46" s="31">
        <v>2.5000000000000001E-2</v>
      </c>
      <c r="I46" s="32">
        <f t="shared" ref="I46:I52" si="0">($H$34+$I$41)*H46</f>
        <v>70.307986111111106</v>
      </c>
      <c r="J46" s="12"/>
      <c r="K46" s="12"/>
      <c r="O46" s="46"/>
    </row>
    <row r="47" spans="1:17" ht="15" customHeight="1" x14ac:dyDescent="0.25">
      <c r="A47" s="33" t="s">
        <v>12</v>
      </c>
      <c r="B47" s="272" t="s">
        <v>58</v>
      </c>
      <c r="C47" s="272"/>
      <c r="D47" s="272"/>
      <c r="E47" s="272"/>
      <c r="F47" s="272"/>
      <c r="G47" s="272"/>
      <c r="H47" s="180">
        <v>0.03</v>
      </c>
      <c r="I47" s="181">
        <f t="shared" si="0"/>
        <v>84.369583333333324</v>
      </c>
      <c r="J47" s="12"/>
      <c r="K47" s="12" t="s">
        <v>338</v>
      </c>
      <c r="L47" s="46"/>
    </row>
    <row r="48" spans="1:17" ht="15" customHeight="1" x14ac:dyDescent="0.25">
      <c r="A48" s="33" t="s">
        <v>14</v>
      </c>
      <c r="B48" s="269" t="s">
        <v>59</v>
      </c>
      <c r="C48" s="269"/>
      <c r="D48" s="269"/>
      <c r="E48" s="269"/>
      <c r="F48" s="269"/>
      <c r="G48" s="269"/>
      <c r="H48" s="31">
        <v>1.4999999999999999E-2</v>
      </c>
      <c r="I48" s="32">
        <f t="shared" si="0"/>
        <v>42.184791666666662</v>
      </c>
      <c r="J48" s="12"/>
      <c r="K48" s="12"/>
      <c r="L48" s="46"/>
    </row>
    <row r="49" spans="1:15" ht="15" customHeight="1" x14ac:dyDescent="0.25">
      <c r="A49" s="23" t="s">
        <v>37</v>
      </c>
      <c r="B49" s="269" t="s">
        <v>60</v>
      </c>
      <c r="C49" s="269"/>
      <c r="D49" s="269"/>
      <c r="E49" s="269"/>
      <c r="F49" s="269"/>
      <c r="G49" s="269"/>
      <c r="H49" s="44">
        <v>0.01</v>
      </c>
      <c r="I49" s="32">
        <f t="shared" si="0"/>
        <v>28.123194444444444</v>
      </c>
      <c r="J49" s="12"/>
      <c r="K49" s="12"/>
    </row>
    <row r="50" spans="1:15" ht="15" customHeight="1" x14ac:dyDescent="0.25">
      <c r="A50" s="23" t="s">
        <v>39</v>
      </c>
      <c r="B50" s="269" t="s">
        <v>61</v>
      </c>
      <c r="C50" s="269"/>
      <c r="D50" s="269"/>
      <c r="E50" s="269"/>
      <c r="F50" s="269"/>
      <c r="G50" s="269"/>
      <c r="H50" s="31">
        <v>6.0000000000000001E-3</v>
      </c>
      <c r="I50" s="32">
        <f t="shared" si="0"/>
        <v>16.873916666666666</v>
      </c>
      <c r="J50" s="12"/>
      <c r="K50" s="12"/>
    </row>
    <row r="51" spans="1:15" ht="15" customHeight="1" x14ac:dyDescent="0.25">
      <c r="A51" s="23" t="s">
        <v>41</v>
      </c>
      <c r="B51" s="269" t="s">
        <v>62</v>
      </c>
      <c r="C51" s="269"/>
      <c r="D51" s="269"/>
      <c r="E51" s="269"/>
      <c r="F51" s="269"/>
      <c r="G51" s="269"/>
      <c r="H51" s="31">
        <v>2E-3</v>
      </c>
      <c r="I51" s="151">
        <f t="shared" si="0"/>
        <v>5.6246388888888887</v>
      </c>
      <c r="J51" s="12"/>
      <c r="K51" s="12"/>
    </row>
    <row r="52" spans="1:15" ht="15" customHeight="1" x14ac:dyDescent="0.25">
      <c r="A52" s="23" t="s">
        <v>63</v>
      </c>
      <c r="B52" s="269" t="s">
        <v>64</v>
      </c>
      <c r="C52" s="269"/>
      <c r="D52" s="269"/>
      <c r="E52" s="269"/>
      <c r="F52" s="269"/>
      <c r="G52" s="269"/>
      <c r="H52" s="44">
        <v>0.08</v>
      </c>
      <c r="I52" s="32">
        <f t="shared" si="0"/>
        <v>224.98555555555555</v>
      </c>
      <c r="J52" s="12"/>
      <c r="K52" s="12"/>
    </row>
    <row r="53" spans="1:15" ht="15" customHeight="1" x14ac:dyDescent="0.25">
      <c r="A53" s="278" t="s">
        <v>1</v>
      </c>
      <c r="B53" s="278"/>
      <c r="C53" s="278"/>
      <c r="D53" s="278"/>
      <c r="E53" s="278"/>
      <c r="F53" s="278"/>
      <c r="G53" s="278"/>
      <c r="H53" s="42">
        <f>SUM(H45:H52)</f>
        <v>0.36800000000000005</v>
      </c>
      <c r="I53" s="41">
        <f>SUM(I45:I52)</f>
        <v>1034.9335555555556</v>
      </c>
      <c r="J53" s="12"/>
      <c r="K53" s="12"/>
    </row>
    <row r="54" spans="1:15" ht="15" customHeight="1" x14ac:dyDescent="0.25">
      <c r="A54" s="305"/>
      <c r="B54" s="305"/>
      <c r="C54" s="305"/>
      <c r="D54" s="305"/>
      <c r="E54" s="305"/>
      <c r="F54" s="305"/>
      <c r="G54" s="305"/>
      <c r="H54" s="305"/>
      <c r="I54" s="305"/>
      <c r="J54" s="12"/>
      <c r="K54" s="12"/>
    </row>
    <row r="55" spans="1:15" ht="15" customHeight="1" x14ac:dyDescent="0.25">
      <c r="A55" s="312" t="s">
        <v>65</v>
      </c>
      <c r="B55" s="313"/>
      <c r="C55" s="313"/>
      <c r="D55" s="313"/>
      <c r="E55" s="313"/>
      <c r="F55" s="313"/>
      <c r="G55" s="313"/>
      <c r="H55" s="313"/>
      <c r="I55" s="314"/>
      <c r="J55" s="12"/>
      <c r="K55" s="12"/>
    </row>
    <row r="56" spans="1:15" ht="15" customHeight="1" x14ac:dyDescent="0.25">
      <c r="A56" s="37" t="s">
        <v>66</v>
      </c>
      <c r="B56" s="291" t="s">
        <v>67</v>
      </c>
      <c r="C56" s="291"/>
      <c r="D56" s="291"/>
      <c r="E56" s="291"/>
      <c r="F56" s="291"/>
      <c r="G56" s="291"/>
      <c r="H56" s="278" t="s">
        <v>29</v>
      </c>
      <c r="I56" s="278"/>
      <c r="J56" s="12"/>
      <c r="K56" s="12"/>
    </row>
    <row r="57" spans="1:15" ht="15" customHeight="1" x14ac:dyDescent="0.25">
      <c r="A57" s="306" t="s">
        <v>7</v>
      </c>
      <c r="B57" s="306" t="s">
        <v>68</v>
      </c>
      <c r="C57" s="23" t="s">
        <v>69</v>
      </c>
      <c r="D57" s="23" t="s">
        <v>70</v>
      </c>
      <c r="E57" s="23" t="s">
        <v>71</v>
      </c>
      <c r="F57" s="23" t="s">
        <v>72</v>
      </c>
      <c r="G57" s="23" t="s">
        <v>73</v>
      </c>
      <c r="H57" s="308">
        <f>D58*E58*F58</f>
        <v>129</v>
      </c>
      <c r="I57" s="309"/>
      <c r="J57" s="12"/>
      <c r="K57" s="111" t="s">
        <v>251</v>
      </c>
    </row>
    <row r="58" spans="1:15" ht="15" customHeight="1" x14ac:dyDescent="0.25">
      <c r="A58" s="307"/>
      <c r="B58" s="307"/>
      <c r="C58" s="23" t="s">
        <v>33</v>
      </c>
      <c r="D58" s="29">
        <v>4.3</v>
      </c>
      <c r="E58" s="23">
        <v>2</v>
      </c>
      <c r="F58" s="23">
        <v>15</v>
      </c>
      <c r="G58" s="29">
        <f>H27*0.06</f>
        <v>141.26999999999998</v>
      </c>
      <c r="H58" s="310">
        <f>IF(D58*E58*F58-(H27*6%)&lt;0,0,D58*E58*F58-(H27*6%))</f>
        <v>0</v>
      </c>
      <c r="I58" s="311"/>
      <c r="J58" s="12"/>
      <c r="K58" s="12" t="s">
        <v>252</v>
      </c>
    </row>
    <row r="59" spans="1:15" ht="15" customHeight="1" x14ac:dyDescent="0.25">
      <c r="A59" s="306" t="s">
        <v>9</v>
      </c>
      <c r="B59" s="323" t="s">
        <v>74</v>
      </c>
      <c r="C59" s="324"/>
      <c r="D59" s="179" t="s">
        <v>69</v>
      </c>
      <c r="E59" s="179" t="s">
        <v>70</v>
      </c>
      <c r="F59" s="179" t="s">
        <v>72</v>
      </c>
      <c r="G59" s="179" t="s">
        <v>73</v>
      </c>
      <c r="H59" s="327">
        <f>IF(D60="N",0,(E60*F60)-G60)</f>
        <v>276.75</v>
      </c>
      <c r="I59" s="328"/>
      <c r="J59" s="12"/>
      <c r="K59" s="12"/>
      <c r="O59" s="46"/>
    </row>
    <row r="60" spans="1:15" ht="15" customHeight="1" x14ac:dyDescent="0.25">
      <c r="A60" s="307"/>
      <c r="B60" s="325"/>
      <c r="C60" s="326"/>
      <c r="D60" s="179" t="s">
        <v>33</v>
      </c>
      <c r="E60" s="200">
        <v>19.77</v>
      </c>
      <c r="F60" s="179">
        <v>15</v>
      </c>
      <c r="G60" s="200">
        <f>1.32*F60</f>
        <v>19.8</v>
      </c>
      <c r="H60" s="329"/>
      <c r="I60" s="330"/>
      <c r="J60" s="12"/>
      <c r="K60" s="12" t="s">
        <v>336</v>
      </c>
      <c r="O60" s="46" t="s">
        <v>349</v>
      </c>
    </row>
    <row r="61" spans="1:15" ht="15" customHeight="1" x14ac:dyDescent="0.25">
      <c r="A61" s="45" t="s">
        <v>12</v>
      </c>
      <c r="B61" s="315" t="s">
        <v>75</v>
      </c>
      <c r="C61" s="316"/>
      <c r="D61" s="316"/>
      <c r="E61" s="316"/>
      <c r="F61" s="316"/>
      <c r="G61" s="317"/>
      <c r="H61" s="318">
        <v>33.65</v>
      </c>
      <c r="I61" s="319"/>
      <c r="J61" s="12"/>
      <c r="K61" s="12" t="s">
        <v>336</v>
      </c>
      <c r="O61" s="46">
        <v>33.65</v>
      </c>
    </row>
    <row r="62" spans="1:15" ht="15" customHeight="1" x14ac:dyDescent="0.25">
      <c r="A62" s="45" t="s">
        <v>14</v>
      </c>
      <c r="B62" s="315" t="s">
        <v>246</v>
      </c>
      <c r="C62" s="316"/>
      <c r="D62" s="316"/>
      <c r="E62" s="316"/>
      <c r="F62" s="316"/>
      <c r="G62" s="317"/>
      <c r="H62" s="318">
        <v>137.79</v>
      </c>
      <c r="I62" s="319"/>
      <c r="J62" s="12"/>
      <c r="K62" s="12" t="s">
        <v>336</v>
      </c>
      <c r="O62" s="46">
        <v>137.79</v>
      </c>
    </row>
    <row r="63" spans="1:15" ht="15" customHeight="1" x14ac:dyDescent="0.25">
      <c r="A63" s="45" t="s">
        <v>37</v>
      </c>
      <c r="B63" s="176" t="s">
        <v>247</v>
      </c>
      <c r="C63" s="177"/>
      <c r="D63" s="177"/>
      <c r="E63" s="177"/>
      <c r="F63" s="177"/>
      <c r="G63" s="178"/>
      <c r="H63" s="318">
        <v>15.2</v>
      </c>
      <c r="I63" s="319"/>
      <c r="J63" s="12"/>
      <c r="K63" s="12" t="s">
        <v>336</v>
      </c>
      <c r="O63" s="46">
        <v>15.2</v>
      </c>
    </row>
    <row r="64" spans="1:15" ht="15" customHeight="1" x14ac:dyDescent="0.25">
      <c r="A64" s="278" t="s">
        <v>51</v>
      </c>
      <c r="B64" s="278"/>
      <c r="C64" s="278"/>
      <c r="D64" s="278"/>
      <c r="E64" s="278"/>
      <c r="F64" s="278"/>
      <c r="G64" s="278"/>
      <c r="H64" s="295">
        <f>SUM(H58:I63)</f>
        <v>463.38999999999993</v>
      </c>
      <c r="I64" s="295"/>
      <c r="J64" s="12"/>
      <c r="K64" s="12"/>
    </row>
    <row r="65" spans="1:15" ht="15" customHeight="1" x14ac:dyDescent="0.25">
      <c r="A65" s="255"/>
      <c r="B65" s="255"/>
      <c r="C65" s="255"/>
      <c r="D65" s="255"/>
      <c r="E65" s="255"/>
      <c r="F65" s="255"/>
      <c r="G65" s="255"/>
      <c r="H65" s="255"/>
      <c r="I65" s="255"/>
      <c r="J65" s="12"/>
      <c r="K65" s="12"/>
    </row>
    <row r="66" spans="1:15" ht="15" customHeight="1" x14ac:dyDescent="0.25">
      <c r="A66" s="331" t="s">
        <v>76</v>
      </c>
      <c r="B66" s="331"/>
      <c r="C66" s="331"/>
      <c r="D66" s="331"/>
      <c r="E66" s="331"/>
      <c r="F66" s="331"/>
      <c r="G66" s="331"/>
      <c r="H66" s="331"/>
      <c r="I66" s="331"/>
      <c r="J66" s="12"/>
      <c r="K66" s="12"/>
      <c r="N66" s="47"/>
    </row>
    <row r="67" spans="1:15" ht="15" customHeight="1" x14ac:dyDescent="0.25">
      <c r="A67" s="332"/>
      <c r="B67" s="332"/>
      <c r="C67" s="332"/>
      <c r="D67" s="332"/>
      <c r="E67" s="332"/>
      <c r="F67" s="332"/>
      <c r="G67" s="332"/>
      <c r="H67" s="332"/>
      <c r="I67" s="332"/>
      <c r="J67" s="12"/>
      <c r="K67" s="12"/>
      <c r="N67" s="46"/>
    </row>
    <row r="68" spans="1:15" ht="15" customHeight="1" x14ac:dyDescent="0.25">
      <c r="A68" s="36">
        <v>2</v>
      </c>
      <c r="B68" s="333" t="s">
        <v>77</v>
      </c>
      <c r="C68" s="333"/>
      <c r="D68" s="333"/>
      <c r="E68" s="333"/>
      <c r="F68" s="333"/>
      <c r="G68" s="333"/>
      <c r="H68" s="334" t="s">
        <v>29</v>
      </c>
      <c r="I68" s="334"/>
      <c r="J68" s="12"/>
      <c r="K68" s="12"/>
    </row>
    <row r="69" spans="1:15" ht="15" customHeight="1" x14ac:dyDescent="0.25">
      <c r="A69" s="24" t="s">
        <v>46</v>
      </c>
      <c r="B69" s="320" t="s">
        <v>78</v>
      </c>
      <c r="C69" s="320"/>
      <c r="D69" s="320"/>
      <c r="E69" s="320"/>
      <c r="F69" s="320"/>
      <c r="G69" s="320"/>
      <c r="H69" s="321">
        <f>I41</f>
        <v>457.8194444444444</v>
      </c>
      <c r="I69" s="322"/>
      <c r="J69" s="12"/>
      <c r="K69" s="14"/>
      <c r="L69" s="11"/>
      <c r="M69" s="11"/>
      <c r="N69" s="11"/>
      <c r="O69" s="11"/>
    </row>
    <row r="70" spans="1:15" ht="15" customHeight="1" x14ac:dyDescent="0.25">
      <c r="A70" s="24" t="s">
        <v>54</v>
      </c>
      <c r="B70" s="320" t="s">
        <v>55</v>
      </c>
      <c r="C70" s="320"/>
      <c r="D70" s="320"/>
      <c r="E70" s="320"/>
      <c r="F70" s="320"/>
      <c r="G70" s="320"/>
      <c r="H70" s="282">
        <f>I53</f>
        <v>1034.9335555555556</v>
      </c>
      <c r="I70" s="282"/>
      <c r="J70" s="12"/>
      <c r="K70" s="12"/>
    </row>
    <row r="71" spans="1:15" ht="15" customHeight="1" x14ac:dyDescent="0.25">
      <c r="A71" s="24" t="s">
        <v>66</v>
      </c>
      <c r="B71" s="320" t="s">
        <v>67</v>
      </c>
      <c r="C71" s="320"/>
      <c r="D71" s="320"/>
      <c r="E71" s="320"/>
      <c r="F71" s="320"/>
      <c r="G71" s="320"/>
      <c r="H71" s="282">
        <f>H64</f>
        <v>463.38999999999993</v>
      </c>
      <c r="I71" s="282"/>
      <c r="J71" s="12"/>
      <c r="K71" s="12"/>
    </row>
    <row r="72" spans="1:15" ht="15" customHeight="1" x14ac:dyDescent="0.25">
      <c r="A72" s="278" t="s">
        <v>51</v>
      </c>
      <c r="B72" s="278"/>
      <c r="C72" s="278"/>
      <c r="D72" s="278"/>
      <c r="E72" s="278"/>
      <c r="F72" s="278"/>
      <c r="G72" s="278"/>
      <c r="H72" s="295">
        <f>SUM(H69:I71)</f>
        <v>1956.1429999999998</v>
      </c>
      <c r="I72" s="295"/>
      <c r="J72" s="12"/>
      <c r="K72" s="12"/>
    </row>
    <row r="73" spans="1:15" ht="15" customHeight="1" x14ac:dyDescent="0.25">
      <c r="A73" s="335"/>
      <c r="B73" s="335"/>
      <c r="C73" s="335"/>
      <c r="D73" s="335"/>
      <c r="E73" s="335"/>
      <c r="F73" s="335"/>
      <c r="G73" s="335"/>
      <c r="H73" s="335"/>
      <c r="I73" s="335"/>
      <c r="J73" s="12"/>
      <c r="K73" s="12"/>
    </row>
    <row r="74" spans="1:15" ht="15" customHeight="1" x14ac:dyDescent="0.25">
      <c r="A74" s="288" t="s">
        <v>79</v>
      </c>
      <c r="B74" s="289"/>
      <c r="C74" s="289"/>
      <c r="D74" s="289"/>
      <c r="E74" s="289"/>
      <c r="F74" s="289"/>
      <c r="G74" s="289"/>
      <c r="H74" s="289"/>
      <c r="I74" s="290"/>
      <c r="J74" s="12"/>
      <c r="K74" s="12"/>
    </row>
    <row r="75" spans="1:15" ht="15" customHeight="1" x14ac:dyDescent="0.25">
      <c r="A75" s="37">
        <v>3</v>
      </c>
      <c r="B75" s="53" t="s">
        <v>80</v>
      </c>
      <c r="C75" s="52"/>
      <c r="D75" s="52"/>
      <c r="E75" s="52"/>
      <c r="F75" s="52"/>
      <c r="G75" s="52"/>
      <c r="H75" s="37" t="s">
        <v>48</v>
      </c>
      <c r="I75" s="40" t="s">
        <v>29</v>
      </c>
      <c r="J75" s="12"/>
      <c r="K75" s="12"/>
    </row>
    <row r="76" spans="1:15" ht="15" customHeight="1" x14ac:dyDescent="0.25">
      <c r="A76" s="23" t="s">
        <v>7</v>
      </c>
      <c r="B76" s="182" t="s">
        <v>81</v>
      </c>
      <c r="C76" s="183"/>
      <c r="D76" s="183"/>
      <c r="E76" s="183"/>
      <c r="F76" s="183"/>
      <c r="G76" s="183"/>
      <c r="H76" s="184">
        <f>0.05*(1+(1/12+1/12+1/36))/12</f>
        <v>4.9768518518518521E-3</v>
      </c>
      <c r="I76" s="181">
        <f>$H$76*H34</f>
        <v>11.717997685185185</v>
      </c>
      <c r="J76" s="253"/>
      <c r="K76" s="12" t="s">
        <v>339</v>
      </c>
    </row>
    <row r="77" spans="1:15" ht="15" customHeight="1" x14ac:dyDescent="0.25">
      <c r="A77" s="23" t="s">
        <v>9</v>
      </c>
      <c r="B77" s="182" t="s">
        <v>82</v>
      </c>
      <c r="C77" s="183"/>
      <c r="D77" s="183"/>
      <c r="E77" s="183"/>
      <c r="F77" s="183"/>
      <c r="G77" s="183"/>
      <c r="H77" s="184">
        <f>H76*H52</f>
        <v>3.9814814814814818E-4</v>
      </c>
      <c r="I77" s="181">
        <f>H77*H34</f>
        <v>0.93743981481481486</v>
      </c>
      <c r="J77" s="253"/>
      <c r="K77" s="12" t="s">
        <v>339</v>
      </c>
      <c r="L77" s="46"/>
    </row>
    <row r="78" spans="1:15" ht="15" customHeight="1" x14ac:dyDescent="0.25">
      <c r="A78" s="23" t="s">
        <v>12</v>
      </c>
      <c r="B78" s="182" t="s">
        <v>83</v>
      </c>
      <c r="C78" s="183"/>
      <c r="D78" s="183"/>
      <c r="E78" s="183"/>
      <c r="F78" s="183"/>
      <c r="G78" s="183"/>
      <c r="H78" s="185">
        <f>0.4*0.08*0.05</f>
        <v>1.6000000000000001E-3</v>
      </c>
      <c r="I78" s="181">
        <f>H78*H34</f>
        <v>3.7672000000000003</v>
      </c>
      <c r="J78" s="253"/>
      <c r="K78" s="12" t="s">
        <v>339</v>
      </c>
    </row>
    <row r="79" spans="1:15" ht="15" customHeight="1" x14ac:dyDescent="0.25">
      <c r="A79" s="23" t="s">
        <v>14</v>
      </c>
      <c r="B79" s="182" t="s">
        <v>84</v>
      </c>
      <c r="C79" s="183"/>
      <c r="D79" s="183"/>
      <c r="E79" s="183"/>
      <c r="F79" s="183"/>
      <c r="G79" s="183"/>
      <c r="H79" s="184">
        <f>((7/30)/12)</f>
        <v>1.9444444444444445E-2</v>
      </c>
      <c r="I79" s="181">
        <f>H79*H34</f>
        <v>45.781944444444449</v>
      </c>
      <c r="J79" s="253"/>
      <c r="K79" s="12" t="s">
        <v>339</v>
      </c>
    </row>
    <row r="80" spans="1:15" ht="15" customHeight="1" x14ac:dyDescent="0.25">
      <c r="A80" s="23" t="s">
        <v>37</v>
      </c>
      <c r="B80" s="182" t="s">
        <v>85</v>
      </c>
      <c r="C80" s="183"/>
      <c r="D80" s="183"/>
      <c r="E80" s="183"/>
      <c r="F80" s="183"/>
      <c r="G80" s="183"/>
      <c r="H80" s="184">
        <f>H79*H53</f>
        <v>7.1555555555555565E-3</v>
      </c>
      <c r="I80" s="181">
        <f>H80*H34</f>
        <v>16.847755555555558</v>
      </c>
      <c r="J80" s="253"/>
      <c r="K80" s="12" t="s">
        <v>339</v>
      </c>
    </row>
    <row r="81" spans="1:15" ht="15" customHeight="1" x14ac:dyDescent="0.25">
      <c r="A81" s="23" t="s">
        <v>39</v>
      </c>
      <c r="B81" s="182" t="s">
        <v>86</v>
      </c>
      <c r="C81" s="183"/>
      <c r="D81" s="183"/>
      <c r="E81" s="183"/>
      <c r="F81" s="183"/>
      <c r="G81" s="183"/>
      <c r="H81" s="184">
        <f>0.4*0.08</f>
        <v>3.2000000000000001E-2</v>
      </c>
      <c r="I81" s="181">
        <f>H81*H34</f>
        <v>75.344000000000008</v>
      </c>
      <c r="J81" s="253"/>
      <c r="K81" s="12" t="s">
        <v>339</v>
      </c>
    </row>
    <row r="82" spans="1:15" ht="15" customHeight="1" x14ac:dyDescent="0.25">
      <c r="A82" s="76" t="s">
        <v>51</v>
      </c>
      <c r="B82" s="77"/>
      <c r="C82" s="77"/>
      <c r="D82" s="77"/>
      <c r="E82" s="77"/>
      <c r="F82" s="77"/>
      <c r="G82" s="77"/>
      <c r="H82" s="295">
        <f>SUM(I76:I81)</f>
        <v>154.39633750000002</v>
      </c>
      <c r="I82" s="295"/>
      <c r="J82" s="12"/>
      <c r="K82" s="12"/>
    </row>
    <row r="83" spans="1:15" ht="15" customHeight="1" x14ac:dyDescent="0.25">
      <c r="A83" s="305"/>
      <c r="B83" s="305"/>
      <c r="C83" s="305"/>
      <c r="D83" s="305"/>
      <c r="E83" s="305"/>
      <c r="F83" s="305"/>
      <c r="G83" s="305"/>
      <c r="H83" s="305"/>
      <c r="I83" s="305"/>
      <c r="J83" s="12"/>
      <c r="K83" s="12"/>
    </row>
    <row r="84" spans="1:15" ht="15" customHeight="1" x14ac:dyDescent="0.25">
      <c r="A84" s="288" t="s">
        <v>87</v>
      </c>
      <c r="B84" s="289"/>
      <c r="C84" s="289"/>
      <c r="D84" s="289"/>
      <c r="E84" s="289"/>
      <c r="F84" s="289"/>
      <c r="G84" s="289"/>
      <c r="H84" s="289"/>
      <c r="I84" s="290"/>
      <c r="J84" s="12"/>
      <c r="K84" s="12"/>
    </row>
    <row r="85" spans="1:15" ht="15" customHeight="1" x14ac:dyDescent="0.25">
      <c r="A85" s="312" t="s">
        <v>88</v>
      </c>
      <c r="B85" s="313"/>
      <c r="C85" s="313"/>
      <c r="D85" s="313"/>
      <c r="E85" s="313"/>
      <c r="F85" s="313"/>
      <c r="G85" s="313"/>
      <c r="H85" s="313"/>
      <c r="I85" s="314"/>
      <c r="J85" s="12"/>
      <c r="K85" s="12"/>
    </row>
    <row r="86" spans="1:15" ht="15" customHeight="1" x14ac:dyDescent="0.25">
      <c r="A86" s="37" t="s">
        <v>89</v>
      </c>
      <c r="B86" s="53" t="s">
        <v>90</v>
      </c>
      <c r="C86" s="52"/>
      <c r="D86" s="52"/>
      <c r="E86" s="52"/>
      <c r="F86" s="52"/>
      <c r="G86" s="52"/>
      <c r="H86" s="37" t="s">
        <v>48</v>
      </c>
      <c r="I86" s="37" t="s">
        <v>29</v>
      </c>
      <c r="J86" s="12"/>
      <c r="K86" s="12"/>
    </row>
    <row r="87" spans="1:15" ht="15" customHeight="1" x14ac:dyDescent="0.25">
      <c r="A87" s="23" t="s">
        <v>7</v>
      </c>
      <c r="B87" s="54" t="s">
        <v>91</v>
      </c>
      <c r="C87" s="55"/>
      <c r="D87" s="55"/>
      <c r="E87" s="55"/>
      <c r="F87" s="55"/>
      <c r="G87" s="55"/>
      <c r="H87" s="152">
        <f>(1/12+1/12+1/36)/12</f>
        <v>1.6203703703703703E-2</v>
      </c>
      <c r="I87" s="30">
        <f>H87*H34</f>
        <v>38.151620370370367</v>
      </c>
      <c r="J87" s="12"/>
      <c r="K87" s="12"/>
    </row>
    <row r="88" spans="1:15" ht="15" customHeight="1" x14ac:dyDescent="0.25">
      <c r="A88" s="23" t="s">
        <v>9</v>
      </c>
      <c r="B88" s="182" t="s">
        <v>92</v>
      </c>
      <c r="C88" s="183"/>
      <c r="D88" s="183"/>
      <c r="E88" s="183"/>
      <c r="F88" s="183"/>
      <c r="G88" s="183"/>
      <c r="H88" s="184">
        <f>(5/30/12)</f>
        <v>1.3888888888888888E-2</v>
      </c>
      <c r="I88" s="187">
        <f>H88*H34</f>
        <v>32.701388888888886</v>
      </c>
      <c r="J88" s="253"/>
      <c r="K88" s="12" t="s">
        <v>339</v>
      </c>
      <c r="L88" s="10"/>
      <c r="M88" s="10"/>
      <c r="O88" s="56"/>
    </row>
    <row r="89" spans="1:15" ht="15" customHeight="1" x14ac:dyDescent="0.25">
      <c r="A89" s="23" t="s">
        <v>12</v>
      </c>
      <c r="B89" s="182" t="s">
        <v>93</v>
      </c>
      <c r="C89" s="183"/>
      <c r="D89" s="183"/>
      <c r="E89" s="183"/>
      <c r="F89" s="183"/>
      <c r="G89" s="183"/>
      <c r="H89" s="184">
        <f>((5/30)/12)*0.0162*0.5</f>
        <v>1.1249999999999998E-4</v>
      </c>
      <c r="I89" s="187">
        <f>H89*H34</f>
        <v>0.26488124999999996</v>
      </c>
      <c r="J89" s="253"/>
      <c r="K89" s="12" t="s">
        <v>339</v>
      </c>
      <c r="L89" s="10"/>
      <c r="M89" s="10"/>
      <c r="O89" s="56"/>
    </row>
    <row r="90" spans="1:15" ht="15" customHeight="1" x14ac:dyDescent="0.25">
      <c r="A90" s="23" t="s">
        <v>14</v>
      </c>
      <c r="B90" s="182" t="s">
        <v>94</v>
      </c>
      <c r="C90" s="183"/>
      <c r="D90" s="183"/>
      <c r="E90" s="183"/>
      <c r="F90" s="183"/>
      <c r="G90" s="183"/>
      <c r="H90" s="184">
        <f>((1/12+1/36)*(4/12)*0.5*0.0162)</f>
        <v>2.9999999999999997E-4</v>
      </c>
      <c r="I90" s="187">
        <f>H90*$H$34</f>
        <v>0.70634999999999992</v>
      </c>
      <c r="J90" s="253"/>
      <c r="K90" s="12" t="s">
        <v>339</v>
      </c>
      <c r="M90" s="59"/>
    </row>
    <row r="91" spans="1:15" ht="15" customHeight="1" x14ac:dyDescent="0.25">
      <c r="A91" s="23" t="s">
        <v>37</v>
      </c>
      <c r="B91" s="182" t="s">
        <v>95</v>
      </c>
      <c r="C91" s="183"/>
      <c r="D91" s="183"/>
      <c r="E91" s="183"/>
      <c r="F91" s="183"/>
      <c r="G91" s="183"/>
      <c r="H91" s="184">
        <f>(7/30)/12</f>
        <v>1.9444444444444445E-2</v>
      </c>
      <c r="I91" s="187">
        <f t="shared" ref="I91:I96" si="1">H91*$H$34</f>
        <v>45.781944444444449</v>
      </c>
      <c r="J91" s="253"/>
      <c r="K91" s="12" t="s">
        <v>339</v>
      </c>
    </row>
    <row r="92" spans="1:15" ht="15" customHeight="1" x14ac:dyDescent="0.25">
      <c r="A92" s="23" t="s">
        <v>39</v>
      </c>
      <c r="B92" s="182" t="s">
        <v>96</v>
      </c>
      <c r="C92" s="183"/>
      <c r="D92" s="183"/>
      <c r="E92" s="183"/>
      <c r="F92" s="183"/>
      <c r="G92" s="183"/>
      <c r="H92" s="184">
        <f>((15/30)/12)*0.0122</f>
        <v>5.0833333333333329E-4</v>
      </c>
      <c r="I92" s="187">
        <f t="shared" si="1"/>
        <v>1.1968708333333333</v>
      </c>
      <c r="J92" s="253"/>
      <c r="K92" s="12" t="s">
        <v>339</v>
      </c>
    </row>
    <row r="93" spans="1:15" ht="15" customHeight="1" x14ac:dyDescent="0.25">
      <c r="A93" s="23"/>
      <c r="B93" s="54"/>
      <c r="C93" s="55"/>
      <c r="D93" s="55"/>
      <c r="E93" s="55"/>
      <c r="F93" s="55"/>
      <c r="G93" s="55"/>
      <c r="H93" s="152"/>
      <c r="I93" s="30">
        <f t="shared" si="1"/>
        <v>0</v>
      </c>
      <c r="J93" s="12"/>
      <c r="K93" s="12"/>
    </row>
    <row r="94" spans="1:15" ht="15" customHeight="1" x14ac:dyDescent="0.25">
      <c r="A94" s="23"/>
      <c r="B94" s="54"/>
      <c r="C94" s="55"/>
      <c r="D94" s="55"/>
      <c r="E94" s="55"/>
      <c r="F94" s="55"/>
      <c r="G94" s="55"/>
      <c r="H94" s="152"/>
      <c r="I94" s="30">
        <f t="shared" si="1"/>
        <v>0</v>
      </c>
      <c r="J94" s="12"/>
      <c r="K94" s="12"/>
    </row>
    <row r="95" spans="1:15" ht="15" customHeight="1" x14ac:dyDescent="0.25">
      <c r="A95" s="23"/>
      <c r="B95" s="54"/>
      <c r="C95" s="55"/>
      <c r="D95" s="55"/>
      <c r="E95" s="55"/>
      <c r="F95" s="55"/>
      <c r="G95" s="55"/>
      <c r="H95" s="152"/>
      <c r="I95" s="30">
        <f t="shared" si="1"/>
        <v>0</v>
      </c>
      <c r="J95" s="12"/>
      <c r="K95" s="12"/>
    </row>
    <row r="96" spans="1:15" ht="15" customHeight="1" x14ac:dyDescent="0.25">
      <c r="A96" s="23"/>
      <c r="B96" s="54"/>
      <c r="C96" s="55"/>
      <c r="D96" s="55"/>
      <c r="E96" s="55"/>
      <c r="F96" s="55"/>
      <c r="G96" s="55"/>
      <c r="H96" s="152"/>
      <c r="I96" s="30">
        <f t="shared" si="1"/>
        <v>0</v>
      </c>
      <c r="J96" s="12"/>
      <c r="K96" s="12"/>
    </row>
    <row r="97" spans="1:19" ht="15" customHeight="1" x14ac:dyDescent="0.25">
      <c r="A97" s="336" t="s">
        <v>98</v>
      </c>
      <c r="B97" s="337"/>
      <c r="C97" s="337"/>
      <c r="D97" s="337"/>
      <c r="E97" s="337"/>
      <c r="F97" s="337"/>
      <c r="G97" s="338"/>
      <c r="H97" s="175">
        <f>SUM(H87:H96)</f>
        <v>5.0457870370370375E-2</v>
      </c>
      <c r="I97" s="38">
        <f>SUM(I87:I96)</f>
        <v>118.80305578703704</v>
      </c>
      <c r="J97" s="12"/>
      <c r="K97" s="12"/>
    </row>
    <row r="98" spans="1:19" ht="15" customHeight="1" x14ac:dyDescent="0.25">
      <c r="A98" s="23" t="s">
        <v>135</v>
      </c>
      <c r="B98" s="74" t="s">
        <v>136</v>
      </c>
      <c r="C98" s="75"/>
      <c r="D98" s="75"/>
      <c r="E98" s="75"/>
      <c r="F98" s="75"/>
      <c r="G98" s="75"/>
      <c r="H98" s="152">
        <v>0</v>
      </c>
      <c r="I98" s="30">
        <f>H98*$H$34</f>
        <v>0</v>
      </c>
      <c r="J98" s="12"/>
      <c r="K98" s="12"/>
    </row>
    <row r="99" spans="1:19" ht="15" customHeight="1" x14ac:dyDescent="0.25">
      <c r="A99" s="23" t="s">
        <v>99</v>
      </c>
      <c r="B99" s="74" t="s">
        <v>137</v>
      </c>
      <c r="C99" s="75"/>
      <c r="D99" s="75"/>
      <c r="E99" s="75"/>
      <c r="F99" s="75"/>
      <c r="G99" s="75"/>
      <c r="H99" s="152">
        <f>H53</f>
        <v>0.36800000000000005</v>
      </c>
      <c r="I99" s="30">
        <f>H99*SUM(I87:I90)</f>
        <v>26.43132050740741</v>
      </c>
      <c r="J99" s="12"/>
      <c r="K99" s="12"/>
    </row>
    <row r="100" spans="1:19" ht="15" customHeight="1" x14ac:dyDescent="0.25">
      <c r="A100" s="336" t="s">
        <v>51</v>
      </c>
      <c r="B100" s="337"/>
      <c r="C100" s="337"/>
      <c r="D100" s="337"/>
      <c r="E100" s="337"/>
      <c r="F100" s="337"/>
      <c r="G100" s="338"/>
      <c r="H100" s="39">
        <f>SUM(H97:H99)</f>
        <v>0.41845787037037041</v>
      </c>
      <c r="I100" s="38">
        <f>I99+I98+I97</f>
        <v>145.23437629444444</v>
      </c>
      <c r="J100" s="12"/>
      <c r="K100" s="12"/>
    </row>
    <row r="101" spans="1:19" ht="15" customHeight="1" x14ac:dyDescent="0.25">
      <c r="A101" s="255"/>
      <c r="B101" s="255"/>
      <c r="C101" s="255"/>
      <c r="D101" s="255"/>
      <c r="E101" s="255"/>
      <c r="F101" s="255"/>
      <c r="G101" s="255"/>
      <c r="H101" s="255"/>
      <c r="I101" s="255"/>
      <c r="J101" s="12"/>
      <c r="K101" s="12"/>
    </row>
    <row r="102" spans="1:19" ht="15" customHeight="1" x14ac:dyDescent="0.25">
      <c r="A102" s="331" t="s">
        <v>100</v>
      </c>
      <c r="B102" s="331"/>
      <c r="C102" s="331"/>
      <c r="D102" s="331"/>
      <c r="E102" s="331"/>
      <c r="F102" s="331"/>
      <c r="G102" s="331"/>
      <c r="H102" s="331"/>
      <c r="I102" s="331"/>
      <c r="J102" s="12"/>
      <c r="K102" s="12"/>
    </row>
    <row r="103" spans="1:19" ht="15" customHeight="1" x14ac:dyDescent="0.25">
      <c r="A103" s="332"/>
      <c r="B103" s="332"/>
      <c r="C103" s="332"/>
      <c r="D103" s="332"/>
      <c r="E103" s="332"/>
      <c r="F103" s="332"/>
      <c r="G103" s="332"/>
      <c r="H103" s="332"/>
      <c r="I103" s="332"/>
      <c r="J103" s="12"/>
      <c r="K103" s="12"/>
    </row>
    <row r="104" spans="1:19" ht="15" customHeight="1" x14ac:dyDescent="0.25">
      <c r="A104" s="36">
        <v>4</v>
      </c>
      <c r="B104" s="80" t="s">
        <v>77</v>
      </c>
      <c r="C104" s="81"/>
      <c r="D104" s="81"/>
      <c r="E104" s="81"/>
      <c r="F104" s="81"/>
      <c r="G104" s="81"/>
      <c r="H104" s="334" t="s">
        <v>29</v>
      </c>
      <c r="I104" s="334"/>
      <c r="J104" s="12"/>
      <c r="K104" s="12"/>
    </row>
    <row r="105" spans="1:19" ht="15" customHeight="1" x14ac:dyDescent="0.25">
      <c r="A105" s="24" t="s">
        <v>89</v>
      </c>
      <c r="B105" s="78" t="s">
        <v>101</v>
      </c>
      <c r="C105" s="79"/>
      <c r="D105" s="79"/>
      <c r="E105" s="79"/>
      <c r="F105" s="79"/>
      <c r="G105" s="79"/>
      <c r="H105" s="282">
        <f>I100</f>
        <v>145.23437629444444</v>
      </c>
      <c r="I105" s="282"/>
      <c r="J105" s="12"/>
      <c r="K105" s="12"/>
    </row>
    <row r="106" spans="1:19" ht="15" customHeight="1" x14ac:dyDescent="0.25">
      <c r="A106" s="53" t="s">
        <v>51</v>
      </c>
      <c r="B106" s="52"/>
      <c r="C106" s="52"/>
      <c r="D106" s="52"/>
      <c r="E106" s="52"/>
      <c r="F106" s="52"/>
      <c r="G106" s="52"/>
      <c r="H106" s="295">
        <f>SUM(H105:I105)</f>
        <v>145.23437629444444</v>
      </c>
      <c r="I106" s="295"/>
      <c r="J106" s="12"/>
      <c r="K106" s="12"/>
    </row>
    <row r="107" spans="1:19" ht="15" customHeight="1" x14ac:dyDescent="0.25">
      <c r="A107" s="335"/>
      <c r="B107" s="335"/>
      <c r="C107" s="335"/>
      <c r="D107" s="335"/>
      <c r="E107" s="335"/>
      <c r="F107" s="335"/>
      <c r="G107" s="335"/>
      <c r="H107" s="335"/>
      <c r="I107" s="335"/>
      <c r="J107" s="12"/>
      <c r="K107" s="12"/>
    </row>
    <row r="108" spans="1:19" ht="15" customHeight="1" x14ac:dyDescent="0.25">
      <c r="A108" s="288" t="s">
        <v>102</v>
      </c>
      <c r="B108" s="289"/>
      <c r="C108" s="289"/>
      <c r="D108" s="289"/>
      <c r="E108" s="289"/>
      <c r="F108" s="289"/>
      <c r="G108" s="289"/>
      <c r="H108" s="289"/>
      <c r="I108" s="290"/>
      <c r="J108" s="12"/>
      <c r="K108" s="240" t="s">
        <v>370</v>
      </c>
      <c r="L108" s="241"/>
      <c r="M108" s="241"/>
      <c r="N108" s="241"/>
      <c r="O108" s="241"/>
      <c r="P108" s="241"/>
      <c r="Q108" s="241"/>
      <c r="R108" s="241"/>
      <c r="S108" s="241"/>
    </row>
    <row r="109" spans="1:19" ht="15" customHeight="1" x14ac:dyDescent="0.25">
      <c r="A109" s="37">
        <v>5</v>
      </c>
      <c r="B109" s="291" t="s">
        <v>103</v>
      </c>
      <c r="C109" s="291"/>
      <c r="D109" s="291"/>
      <c r="E109" s="291"/>
      <c r="F109" s="291"/>
      <c r="G109" s="291"/>
      <c r="H109" s="312" t="s">
        <v>29</v>
      </c>
      <c r="I109" s="314"/>
      <c r="J109" s="12"/>
      <c r="K109" s="12"/>
    </row>
    <row r="110" spans="1:19" ht="15" customHeight="1" x14ac:dyDescent="0.25">
      <c r="A110" s="24" t="s">
        <v>7</v>
      </c>
      <c r="B110" s="347" t="s">
        <v>104</v>
      </c>
      <c r="C110" s="348"/>
      <c r="D110" s="348"/>
      <c r="E110" s="348"/>
      <c r="F110" s="348"/>
      <c r="G110" s="349"/>
      <c r="H110" s="345">
        <f>Uniformes!I13/12/Resumo!D3</f>
        <v>67.873055555555553</v>
      </c>
      <c r="I110" s="346"/>
      <c r="J110" s="12"/>
      <c r="K110" s="12" t="s">
        <v>371</v>
      </c>
    </row>
    <row r="111" spans="1:19" ht="15" customHeight="1" x14ac:dyDescent="0.25">
      <c r="A111" s="24" t="s">
        <v>9</v>
      </c>
      <c r="B111" s="194" t="s">
        <v>316</v>
      </c>
      <c r="C111" s="195"/>
      <c r="D111" s="195"/>
      <c r="E111" s="195"/>
      <c r="F111" s="195"/>
      <c r="G111" s="196"/>
      <c r="H111" s="350">
        <f>'Insumos e Equipamentos'!M98/12/Resumo!D3</f>
        <v>18.919562499999998</v>
      </c>
      <c r="I111" s="351"/>
      <c r="J111" s="12"/>
      <c r="K111" s="12" t="s">
        <v>371</v>
      </c>
    </row>
    <row r="112" spans="1:19" ht="15" customHeight="1" x14ac:dyDescent="0.25">
      <c r="A112" s="24" t="s">
        <v>12</v>
      </c>
      <c r="B112" s="342" t="s">
        <v>105</v>
      </c>
      <c r="C112" s="343"/>
      <c r="D112" s="343"/>
      <c r="E112" s="343"/>
      <c r="F112" s="343"/>
      <c r="G112" s="344"/>
      <c r="H112" s="345">
        <f>'Insumos e Equipamentos'!K86/12/Resumo!D3</f>
        <v>1042.7022777777779</v>
      </c>
      <c r="I112" s="346"/>
      <c r="J112" s="12"/>
      <c r="K112" s="12" t="s">
        <v>371</v>
      </c>
    </row>
    <row r="113" spans="1:14" ht="15" customHeight="1" x14ac:dyDescent="0.25">
      <c r="A113" s="334" t="s">
        <v>1</v>
      </c>
      <c r="B113" s="334"/>
      <c r="C113" s="334"/>
      <c r="D113" s="334"/>
      <c r="E113" s="334"/>
      <c r="F113" s="334"/>
      <c r="G113" s="334"/>
      <c r="H113" s="339">
        <f>SUM(H110:I112)</f>
        <v>1129.4948958333334</v>
      </c>
      <c r="I113" s="340"/>
      <c r="J113" s="12"/>
      <c r="K113" s="12"/>
    </row>
    <row r="114" spans="1:14" ht="15" customHeight="1" x14ac:dyDescent="0.25">
      <c r="A114" s="341"/>
      <c r="B114" s="341"/>
      <c r="C114" s="341"/>
      <c r="D114" s="341"/>
      <c r="E114" s="341"/>
      <c r="F114" s="341"/>
      <c r="G114" s="341"/>
      <c r="H114" s="341"/>
      <c r="I114" s="341"/>
      <c r="J114" s="12"/>
      <c r="K114" s="12"/>
    </row>
    <row r="115" spans="1:14" ht="15" customHeight="1" x14ac:dyDescent="0.25">
      <c r="A115" s="288" t="s">
        <v>106</v>
      </c>
      <c r="B115" s="289"/>
      <c r="C115" s="289"/>
      <c r="D115" s="289"/>
      <c r="E115" s="289"/>
      <c r="F115" s="289"/>
      <c r="G115" s="289"/>
      <c r="H115" s="289"/>
      <c r="I115" s="290"/>
      <c r="J115" s="12"/>
      <c r="K115" s="12"/>
    </row>
    <row r="116" spans="1:14" ht="15" customHeight="1" x14ac:dyDescent="0.25">
      <c r="A116" s="36">
        <v>6</v>
      </c>
      <c r="B116" s="333" t="s">
        <v>107</v>
      </c>
      <c r="C116" s="333"/>
      <c r="D116" s="333"/>
      <c r="E116" s="333"/>
      <c r="F116" s="333"/>
      <c r="G116" s="333"/>
      <c r="H116" s="36" t="s">
        <v>48</v>
      </c>
      <c r="I116" s="36" t="s">
        <v>29</v>
      </c>
      <c r="J116" s="12"/>
      <c r="K116" s="12"/>
    </row>
    <row r="117" spans="1:14" ht="15" customHeight="1" x14ac:dyDescent="0.25">
      <c r="A117" s="24" t="s">
        <v>7</v>
      </c>
      <c r="B117" s="356" t="s">
        <v>108</v>
      </c>
      <c r="C117" s="356"/>
      <c r="D117" s="356"/>
      <c r="E117" s="356"/>
      <c r="F117" s="356"/>
      <c r="G117" s="356"/>
      <c r="H117" s="191">
        <v>0.03</v>
      </c>
      <c r="I117" s="201">
        <f>H133*H117</f>
        <v>172.19305828883336</v>
      </c>
      <c r="J117" s="12"/>
      <c r="K117" s="12" t="s">
        <v>339</v>
      </c>
      <c r="L117" s="47"/>
    </row>
    <row r="118" spans="1:14" ht="15" customHeight="1" x14ac:dyDescent="0.25">
      <c r="A118" s="24" t="s">
        <v>9</v>
      </c>
      <c r="B118" s="356" t="s">
        <v>109</v>
      </c>
      <c r="C118" s="356"/>
      <c r="D118" s="356"/>
      <c r="E118" s="356"/>
      <c r="F118" s="356"/>
      <c r="G118" s="356"/>
      <c r="H118" s="191">
        <v>6.7900000000000002E-2</v>
      </c>
      <c r="I118" s="201">
        <f>(I117+H133)*H118</f>
        <v>401.42219725153797</v>
      </c>
      <c r="J118" s="12"/>
      <c r="K118" s="12" t="s">
        <v>339</v>
      </c>
      <c r="L118" s="46"/>
    </row>
    <row r="119" spans="1:14" ht="15" customHeight="1" x14ac:dyDescent="0.25">
      <c r="A119" s="24" t="s">
        <v>12</v>
      </c>
      <c r="B119" s="320" t="s">
        <v>110</v>
      </c>
      <c r="C119" s="320"/>
      <c r="D119" s="320"/>
      <c r="E119" s="320"/>
      <c r="F119" s="320"/>
      <c r="G119" s="320"/>
      <c r="H119" s="34">
        <f>SUM(H120:H122)</f>
        <v>0.14250000000000002</v>
      </c>
      <c r="I119" s="119">
        <f>((H133+I117+I118)/(1-H119))*H119</f>
        <v>1049.1629163690513</v>
      </c>
      <c r="J119" s="12"/>
      <c r="K119" s="193" t="s">
        <v>250</v>
      </c>
      <c r="L119" s="192"/>
      <c r="M119" s="192"/>
      <c r="N119" s="192"/>
    </row>
    <row r="120" spans="1:14" ht="15" customHeight="1" x14ac:dyDescent="0.25">
      <c r="A120" s="352" t="s">
        <v>111</v>
      </c>
      <c r="B120" s="352"/>
      <c r="C120" s="357" t="s">
        <v>112</v>
      </c>
      <c r="D120" s="188" t="s">
        <v>113</v>
      </c>
      <c r="E120" s="189"/>
      <c r="F120" s="189"/>
      <c r="G120" s="190"/>
      <c r="H120" s="191">
        <v>1.6500000000000001E-2</v>
      </c>
      <c r="I120" s="201">
        <f>((H133+I117+I118)/(1-H119))*H120</f>
        <v>121.48202189536383</v>
      </c>
      <c r="J120" s="12"/>
      <c r="K120" s="12" t="s">
        <v>347</v>
      </c>
    </row>
    <row r="121" spans="1:14" ht="15" customHeight="1" x14ac:dyDescent="0.25">
      <c r="A121" s="352" t="s">
        <v>114</v>
      </c>
      <c r="B121" s="352"/>
      <c r="C121" s="358"/>
      <c r="D121" s="188" t="s">
        <v>115</v>
      </c>
      <c r="E121" s="189"/>
      <c r="F121" s="189"/>
      <c r="G121" s="190"/>
      <c r="H121" s="191">
        <v>7.5999999999999998E-2</v>
      </c>
      <c r="I121" s="201">
        <f>((H133+I117+I118)/(1-H119))*H121</f>
        <v>559.55355539682728</v>
      </c>
      <c r="J121" s="12"/>
      <c r="K121" s="12" t="s">
        <v>347</v>
      </c>
    </row>
    <row r="122" spans="1:14" ht="15" customHeight="1" x14ac:dyDescent="0.25">
      <c r="A122" s="352" t="s">
        <v>116</v>
      </c>
      <c r="B122" s="352"/>
      <c r="C122" s="35" t="s">
        <v>117</v>
      </c>
      <c r="D122" s="25" t="s">
        <v>118</v>
      </c>
      <c r="E122" s="26"/>
      <c r="F122" s="26"/>
      <c r="G122" s="28"/>
      <c r="H122" s="34">
        <v>0.05</v>
      </c>
      <c r="I122" s="174">
        <f>((H133+I117+I118)/(1-H119))*H122</f>
        <v>368.1273390768601</v>
      </c>
      <c r="J122" s="12"/>
      <c r="K122" s="12"/>
    </row>
    <row r="123" spans="1:14" ht="15" customHeight="1" x14ac:dyDescent="0.25">
      <c r="A123" s="334" t="s">
        <v>1</v>
      </c>
      <c r="B123" s="334"/>
      <c r="C123" s="334"/>
      <c r="D123" s="334"/>
      <c r="E123" s="334"/>
      <c r="F123" s="334"/>
      <c r="G123" s="334"/>
      <c r="H123" s="172">
        <f>SUM(H117:H119)</f>
        <v>0.2404</v>
      </c>
      <c r="I123" s="173">
        <f>SUM(I117:I119)</f>
        <v>1622.7781719094228</v>
      </c>
      <c r="J123" s="12"/>
      <c r="K123" s="12"/>
    </row>
    <row r="124" spans="1:14" ht="15" customHeight="1" x14ac:dyDescent="0.25">
      <c r="A124" s="353"/>
      <c r="B124" s="353"/>
      <c r="C124" s="353"/>
      <c r="D124" s="353"/>
      <c r="E124" s="353"/>
      <c r="F124" s="353"/>
      <c r="G124" s="353"/>
      <c r="H124" s="353"/>
      <c r="I124" s="353"/>
      <c r="J124" s="12"/>
      <c r="K124" s="12"/>
    </row>
    <row r="125" spans="1:14" ht="15" customHeight="1" x14ac:dyDescent="0.25">
      <c r="A125" s="354" t="s">
        <v>119</v>
      </c>
      <c r="B125" s="354"/>
      <c r="C125" s="354"/>
      <c r="D125" s="354"/>
      <c r="E125" s="354"/>
      <c r="F125" s="354"/>
      <c r="G125" s="354"/>
      <c r="H125" s="354"/>
      <c r="I125" s="354"/>
      <c r="J125" s="12"/>
      <c r="K125" s="12"/>
    </row>
    <row r="126" spans="1:14" ht="15" customHeight="1" x14ac:dyDescent="0.25">
      <c r="A126" s="355"/>
      <c r="B126" s="355"/>
      <c r="C126" s="355"/>
      <c r="D126" s="355"/>
      <c r="E126" s="355"/>
      <c r="F126" s="355"/>
      <c r="G126" s="355"/>
      <c r="H126" s="355"/>
      <c r="I126" s="355"/>
      <c r="J126" s="12"/>
      <c r="K126" s="12"/>
    </row>
    <row r="127" spans="1:14" ht="15" customHeight="1" x14ac:dyDescent="0.25">
      <c r="A127" s="334" t="s">
        <v>120</v>
      </c>
      <c r="B127" s="334"/>
      <c r="C127" s="334"/>
      <c r="D127" s="334"/>
      <c r="E127" s="334"/>
      <c r="F127" s="334"/>
      <c r="G127" s="334"/>
      <c r="H127" s="334" t="s">
        <v>29</v>
      </c>
      <c r="I127" s="334"/>
      <c r="J127" s="12"/>
      <c r="K127" s="12"/>
    </row>
    <row r="128" spans="1:14" ht="15" customHeight="1" x14ac:dyDescent="0.25">
      <c r="A128" s="24" t="s">
        <v>7</v>
      </c>
      <c r="B128" s="320" t="s">
        <v>121</v>
      </c>
      <c r="C128" s="320"/>
      <c r="D128" s="320"/>
      <c r="E128" s="320"/>
      <c r="F128" s="320"/>
      <c r="G128" s="320"/>
      <c r="H128" s="282">
        <f>H34</f>
        <v>2354.5</v>
      </c>
      <c r="I128" s="282"/>
      <c r="J128" s="12"/>
      <c r="K128" s="12"/>
    </row>
    <row r="129" spans="1:11" ht="15" customHeight="1" x14ac:dyDescent="0.25">
      <c r="A129" s="24" t="s">
        <v>9</v>
      </c>
      <c r="B129" s="320" t="s">
        <v>122</v>
      </c>
      <c r="C129" s="320"/>
      <c r="D129" s="320"/>
      <c r="E129" s="320"/>
      <c r="F129" s="320"/>
      <c r="G129" s="320"/>
      <c r="H129" s="282">
        <f>H72</f>
        <v>1956.1429999999998</v>
      </c>
      <c r="I129" s="282"/>
      <c r="J129" s="12"/>
      <c r="K129" s="12"/>
    </row>
    <row r="130" spans="1:11" ht="15" customHeight="1" x14ac:dyDescent="0.25">
      <c r="A130" s="24" t="s">
        <v>12</v>
      </c>
      <c r="B130" s="320" t="s">
        <v>123</v>
      </c>
      <c r="C130" s="320"/>
      <c r="D130" s="320"/>
      <c r="E130" s="320"/>
      <c r="F130" s="320"/>
      <c r="G130" s="320"/>
      <c r="H130" s="282">
        <f>H82</f>
        <v>154.39633750000002</v>
      </c>
      <c r="I130" s="282"/>
      <c r="J130" s="12"/>
      <c r="K130" s="12"/>
    </row>
    <row r="131" spans="1:11" ht="15" customHeight="1" x14ac:dyDescent="0.25">
      <c r="A131" s="24" t="s">
        <v>14</v>
      </c>
      <c r="B131" s="320" t="s">
        <v>124</v>
      </c>
      <c r="C131" s="320"/>
      <c r="D131" s="320"/>
      <c r="E131" s="320"/>
      <c r="F131" s="320"/>
      <c r="G131" s="320"/>
      <c r="H131" s="282">
        <f>I100</f>
        <v>145.23437629444444</v>
      </c>
      <c r="I131" s="282"/>
      <c r="J131" s="12"/>
      <c r="K131" s="12"/>
    </row>
    <row r="132" spans="1:11" ht="15" customHeight="1" x14ac:dyDescent="0.25">
      <c r="A132" s="24" t="s">
        <v>37</v>
      </c>
      <c r="B132" s="320" t="s">
        <v>125</v>
      </c>
      <c r="C132" s="320"/>
      <c r="D132" s="320"/>
      <c r="E132" s="320"/>
      <c r="F132" s="320"/>
      <c r="G132" s="320"/>
      <c r="H132" s="282">
        <f>H113</f>
        <v>1129.4948958333334</v>
      </c>
      <c r="I132" s="282"/>
      <c r="J132" s="12"/>
      <c r="K132" s="12"/>
    </row>
    <row r="133" spans="1:11" ht="15" customHeight="1" x14ac:dyDescent="0.25">
      <c r="A133" s="334" t="s">
        <v>126</v>
      </c>
      <c r="B133" s="334"/>
      <c r="C133" s="334"/>
      <c r="D133" s="334"/>
      <c r="E133" s="334"/>
      <c r="F133" s="334"/>
      <c r="G133" s="334"/>
      <c r="H133" s="362">
        <f>SUM(H128:I132)</f>
        <v>5739.7686096277785</v>
      </c>
      <c r="I133" s="362"/>
      <c r="J133" s="12"/>
      <c r="K133" s="110"/>
    </row>
    <row r="134" spans="1:11" ht="15" customHeight="1" x14ac:dyDescent="0.25">
      <c r="A134" s="24" t="s">
        <v>39</v>
      </c>
      <c r="B134" s="320" t="s">
        <v>127</v>
      </c>
      <c r="C134" s="320"/>
      <c r="D134" s="320"/>
      <c r="E134" s="320"/>
      <c r="F134" s="320"/>
      <c r="G134" s="320"/>
      <c r="H134" s="363">
        <f>I123</f>
        <v>1622.7781719094228</v>
      </c>
      <c r="I134" s="363"/>
      <c r="J134" s="12"/>
      <c r="K134" s="12"/>
    </row>
    <row r="135" spans="1:11" ht="15" customHeight="1" x14ac:dyDescent="0.25">
      <c r="A135" s="334" t="s">
        <v>128</v>
      </c>
      <c r="B135" s="334"/>
      <c r="C135" s="334"/>
      <c r="D135" s="334"/>
      <c r="E135" s="334"/>
      <c r="F135" s="334"/>
      <c r="G135" s="334"/>
      <c r="H135" s="362">
        <f>SUM(H133:H134)</f>
        <v>7362.5467815372012</v>
      </c>
      <c r="I135" s="362"/>
      <c r="J135" s="12"/>
      <c r="K135" s="12"/>
    </row>
    <row r="136" spans="1:11" ht="15" customHeight="1" x14ac:dyDescent="0.25">
      <c r="A136" s="353"/>
      <c r="B136" s="353"/>
      <c r="C136" s="353"/>
      <c r="D136" s="353"/>
      <c r="E136" s="353"/>
      <c r="F136" s="353"/>
      <c r="G136" s="353"/>
      <c r="H136" s="353"/>
      <c r="I136" s="353"/>
      <c r="J136" s="12"/>
      <c r="K136" s="12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9" t="s">
        <v>129</v>
      </c>
      <c r="C139" s="8">
        <v>4.1999999999999997E-3</v>
      </c>
    </row>
    <row r="140" spans="1:11" ht="15" hidden="1" customHeight="1" x14ac:dyDescent="0.25">
      <c r="B140" s="9" t="s">
        <v>109</v>
      </c>
      <c r="C140" s="8">
        <v>4.0000000000000001E-3</v>
      </c>
    </row>
    <row r="141" spans="1:11" ht="15" hidden="1" customHeight="1" x14ac:dyDescent="0.25">
      <c r="B141" s="7"/>
      <c r="C141" s="6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5" t="e">
        <v>#REF!</v>
      </c>
    </row>
    <row r="144" spans="1:11" ht="15" hidden="1" customHeight="1" x14ac:dyDescent="0.25"/>
    <row r="145" spans="1:11" ht="15" customHeight="1" x14ac:dyDescent="0.25">
      <c r="A145" s="354" t="s">
        <v>130</v>
      </c>
      <c r="B145" s="354"/>
      <c r="C145" s="354"/>
      <c r="D145" s="354"/>
      <c r="E145" s="354"/>
      <c r="F145" s="354"/>
      <c r="G145" s="354"/>
      <c r="H145" s="354"/>
      <c r="I145" s="354"/>
      <c r="K145" s="43"/>
    </row>
    <row r="146" spans="1:11" ht="15" customHeight="1" x14ac:dyDescent="0.25">
      <c r="A146" s="82"/>
      <c r="B146" s="82"/>
      <c r="C146" s="82"/>
      <c r="D146" s="82"/>
      <c r="E146" s="82"/>
      <c r="F146" s="82"/>
      <c r="G146" s="82"/>
      <c r="H146" s="82"/>
      <c r="I146" s="82"/>
    </row>
    <row r="147" spans="1:11" ht="15" customHeight="1" x14ac:dyDescent="0.25">
      <c r="A147" s="334" t="s">
        <v>131</v>
      </c>
      <c r="B147" s="334"/>
      <c r="C147" s="334"/>
      <c r="D147" s="334"/>
      <c r="E147" s="334"/>
      <c r="F147" s="334"/>
      <c r="G147" s="334"/>
      <c r="H147" s="334" t="s">
        <v>29</v>
      </c>
      <c r="I147" s="334"/>
    </row>
    <row r="148" spans="1:11" ht="15" customHeight="1" x14ac:dyDescent="0.25">
      <c r="A148" s="24" t="s">
        <v>7</v>
      </c>
      <c r="B148" s="320" t="s">
        <v>132</v>
      </c>
      <c r="C148" s="320"/>
      <c r="D148" s="320"/>
      <c r="E148" s="320"/>
      <c r="F148" s="320"/>
      <c r="G148" s="320"/>
      <c r="H148" s="359">
        <f>I39</f>
        <v>196.20833333333331</v>
      </c>
      <c r="I148" s="360"/>
    </row>
    <row r="149" spans="1:11" ht="15" customHeight="1" x14ac:dyDescent="0.25">
      <c r="A149" s="24" t="s">
        <v>9</v>
      </c>
      <c r="B149" s="320" t="s">
        <v>249</v>
      </c>
      <c r="C149" s="320"/>
      <c r="D149" s="320"/>
      <c r="E149" s="320"/>
      <c r="F149" s="320"/>
      <c r="G149" s="320"/>
      <c r="H149" s="359">
        <f>I40</f>
        <v>261.61111111111109</v>
      </c>
      <c r="I149" s="360"/>
    </row>
    <row r="150" spans="1:11" ht="15" customHeight="1" x14ac:dyDescent="0.25">
      <c r="A150" s="24" t="s">
        <v>12</v>
      </c>
      <c r="B150" s="320" t="s">
        <v>133</v>
      </c>
      <c r="C150" s="320"/>
      <c r="D150" s="320"/>
      <c r="E150" s="320"/>
      <c r="F150" s="320"/>
      <c r="G150" s="320"/>
      <c r="H150" s="359">
        <f>H82</f>
        <v>154.39633750000002</v>
      </c>
      <c r="I150" s="360"/>
    </row>
    <row r="151" spans="1:11" ht="15" customHeight="1" x14ac:dyDescent="0.25">
      <c r="A151" s="24" t="s">
        <v>14</v>
      </c>
      <c r="B151" s="320" t="s">
        <v>248</v>
      </c>
      <c r="C151" s="320"/>
      <c r="D151" s="320"/>
      <c r="E151" s="320"/>
      <c r="F151" s="320"/>
      <c r="G151" s="320"/>
      <c r="H151" s="359">
        <f>I100</f>
        <v>145.23437629444444</v>
      </c>
      <c r="I151" s="360"/>
    </row>
    <row r="152" spans="1:11" ht="15" customHeight="1" x14ac:dyDescent="0.25">
      <c r="A152" s="334" t="s">
        <v>134</v>
      </c>
      <c r="B152" s="334"/>
      <c r="C152" s="334"/>
      <c r="D152" s="334"/>
      <c r="E152" s="334"/>
      <c r="F152" s="334"/>
      <c r="G152" s="334"/>
      <c r="H152" s="361">
        <f>SUM(H148:I151)</f>
        <v>757.45015823888889</v>
      </c>
      <c r="I152" s="361"/>
    </row>
  </sheetData>
  <mergeCells count="173">
    <mergeCell ref="H104:I104"/>
    <mergeCell ref="H105:I105"/>
    <mergeCell ref="H106:I106"/>
    <mergeCell ref="A145:I145"/>
    <mergeCell ref="A147:G147"/>
    <mergeCell ref="H147:I147"/>
    <mergeCell ref="B148:G148"/>
    <mergeCell ref="H148:I148"/>
    <mergeCell ref="A133:G133"/>
    <mergeCell ref="H133:I133"/>
    <mergeCell ref="B134:G134"/>
    <mergeCell ref="H134:I134"/>
    <mergeCell ref="B131:G131"/>
    <mergeCell ref="H131:I131"/>
    <mergeCell ref="B132:G132"/>
    <mergeCell ref="H132:I132"/>
    <mergeCell ref="B129:G129"/>
    <mergeCell ref="H129:I129"/>
    <mergeCell ref="B130:G130"/>
    <mergeCell ref="H130:I130"/>
    <mergeCell ref="A127:G127"/>
    <mergeCell ref="H127:I127"/>
    <mergeCell ref="B128:G128"/>
    <mergeCell ref="H128:I128"/>
    <mergeCell ref="B149:G149"/>
    <mergeCell ref="H149:I149"/>
    <mergeCell ref="B150:G150"/>
    <mergeCell ref="H150:I150"/>
    <mergeCell ref="B151:G151"/>
    <mergeCell ref="H151:I151"/>
    <mergeCell ref="A152:G152"/>
    <mergeCell ref="H152:I152"/>
    <mergeCell ref="A135:G135"/>
    <mergeCell ref="H135:I135"/>
    <mergeCell ref="A136:I136"/>
    <mergeCell ref="A122:B122"/>
    <mergeCell ref="A123:G123"/>
    <mergeCell ref="A124:I124"/>
    <mergeCell ref="A125:I125"/>
    <mergeCell ref="A126:I126"/>
    <mergeCell ref="B117:G117"/>
    <mergeCell ref="B118:G118"/>
    <mergeCell ref="B119:G119"/>
    <mergeCell ref="A120:B120"/>
    <mergeCell ref="C120:C121"/>
    <mergeCell ref="A121:B121"/>
    <mergeCell ref="A113:G113"/>
    <mergeCell ref="H113:I113"/>
    <mergeCell ref="A114:I114"/>
    <mergeCell ref="A115:I115"/>
    <mergeCell ref="B116:G116"/>
    <mergeCell ref="B112:G112"/>
    <mergeCell ref="H112:I112"/>
    <mergeCell ref="A107:I107"/>
    <mergeCell ref="A108:I108"/>
    <mergeCell ref="B109:G109"/>
    <mergeCell ref="H109:I109"/>
    <mergeCell ref="B110:G110"/>
    <mergeCell ref="H110:I110"/>
    <mergeCell ref="H111:I111"/>
    <mergeCell ref="A101:I101"/>
    <mergeCell ref="A102:I102"/>
    <mergeCell ref="A103:I103"/>
    <mergeCell ref="A84:I84"/>
    <mergeCell ref="A85:I85"/>
    <mergeCell ref="H82:I82"/>
    <mergeCell ref="A83:I83"/>
    <mergeCell ref="A73:I73"/>
    <mergeCell ref="A74:I74"/>
    <mergeCell ref="A97:G97"/>
    <mergeCell ref="A100:G100"/>
    <mergeCell ref="B71:G71"/>
    <mergeCell ref="H71:I71"/>
    <mergeCell ref="A72:G72"/>
    <mergeCell ref="H72:I72"/>
    <mergeCell ref="B70:G70"/>
    <mergeCell ref="H70:I70"/>
    <mergeCell ref="A65:I65"/>
    <mergeCell ref="A66:I66"/>
    <mergeCell ref="A67:I67"/>
    <mergeCell ref="B68:G68"/>
    <mergeCell ref="H68:I68"/>
    <mergeCell ref="A64:G64"/>
    <mergeCell ref="H64:I64"/>
    <mergeCell ref="B62:G62"/>
    <mergeCell ref="H62:I62"/>
    <mergeCell ref="B69:G69"/>
    <mergeCell ref="H69:I69"/>
    <mergeCell ref="H63:I63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8:G38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1:G31"/>
    <mergeCell ref="H31:I31"/>
    <mergeCell ref="B27:G27"/>
    <mergeCell ref="H27:I27"/>
    <mergeCell ref="H28:I28"/>
    <mergeCell ref="H29:I29"/>
    <mergeCell ref="B23:G23"/>
    <mergeCell ref="H23:I23"/>
    <mergeCell ref="A24:I24"/>
    <mergeCell ref="A25:I25"/>
    <mergeCell ref="B26:G26"/>
    <mergeCell ref="H26:I26"/>
    <mergeCell ref="F29:G29"/>
    <mergeCell ref="B22:G22"/>
    <mergeCell ref="H22:I22"/>
    <mergeCell ref="C15:I15"/>
    <mergeCell ref="A16:I16"/>
    <mergeCell ref="A17:I17"/>
    <mergeCell ref="A18:I18"/>
    <mergeCell ref="B19:G19"/>
    <mergeCell ref="H19:I19"/>
    <mergeCell ref="B30:G30"/>
    <mergeCell ref="H30:I30"/>
    <mergeCell ref="J88:J92"/>
    <mergeCell ref="J76:J81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B21:G21"/>
    <mergeCell ref="H21:I21"/>
  </mergeCells>
  <dataValidations disablePrompts="1" count="1">
    <dataValidation allowBlank="1" sqref="A1 A125" xr:uid="{4666E211-9AF9-4069-9F6E-1BF3CEF3A2A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C5FBD-388C-436F-B4AB-BAB7143E94A0}">
  <sheetPr>
    <tabColor theme="3" tint="0.59999389629810485"/>
  </sheetPr>
  <dimension ref="A1:O114"/>
  <sheetViews>
    <sheetView showGridLines="0" topLeftCell="A73" workbookViewId="0">
      <selection activeCell="K70" sqref="K70"/>
    </sheetView>
  </sheetViews>
  <sheetFormatPr defaultRowHeight="15" x14ac:dyDescent="0.25"/>
  <cols>
    <col min="2" max="2" width="51.28515625" bestFit="1" customWidth="1"/>
    <col min="3" max="3" width="13.5703125" bestFit="1" customWidth="1"/>
    <col min="4" max="4" width="13.5703125" style="1" customWidth="1"/>
    <col min="5" max="5" width="13.5703125" customWidth="1"/>
    <col min="6" max="6" width="13.28515625" customWidth="1"/>
    <col min="7" max="7" width="13.7109375" customWidth="1"/>
    <col min="8" max="8" width="14" customWidth="1"/>
    <col min="9" max="9" width="15.28515625" customWidth="1"/>
    <col min="10" max="10" width="15.42578125" bestFit="1" customWidth="1"/>
    <col min="11" max="11" width="22.7109375" customWidth="1"/>
    <col min="12" max="12" width="17.28515625" bestFit="1" customWidth="1"/>
    <col min="13" max="13" width="16" customWidth="1"/>
    <col min="15" max="15" width="12.85546875" bestFit="1" customWidth="1"/>
  </cols>
  <sheetData>
    <row r="1" spans="1:12" x14ac:dyDescent="0.25">
      <c r="A1" s="376" t="s">
        <v>159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8"/>
    </row>
    <row r="2" spans="1:12" x14ac:dyDescent="0.25">
      <c r="F2" s="366" t="s">
        <v>255</v>
      </c>
      <c r="G2" s="367"/>
      <c r="H2" s="367"/>
      <c r="I2" s="368"/>
      <c r="J2" s="369"/>
      <c r="K2" s="370"/>
      <c r="L2" s="371"/>
    </row>
    <row r="3" spans="1:12" ht="24" x14ac:dyDescent="0.25">
      <c r="A3" s="60" t="s">
        <v>138</v>
      </c>
      <c r="B3" s="60" t="s">
        <v>139</v>
      </c>
      <c r="C3" s="60" t="s">
        <v>140</v>
      </c>
      <c r="D3" s="95" t="s">
        <v>183</v>
      </c>
      <c r="E3" s="216" t="s">
        <v>256</v>
      </c>
      <c r="F3" s="60" t="s">
        <v>141</v>
      </c>
      <c r="G3" s="60" t="s">
        <v>142</v>
      </c>
      <c r="H3" s="60" t="s">
        <v>143</v>
      </c>
      <c r="I3" s="60" t="s">
        <v>144</v>
      </c>
      <c r="J3" s="60" t="s">
        <v>145</v>
      </c>
      <c r="K3" s="112" t="s">
        <v>257</v>
      </c>
      <c r="L3" s="113" t="s">
        <v>258</v>
      </c>
    </row>
    <row r="4" spans="1:12" ht="36" x14ac:dyDescent="0.25">
      <c r="A4" s="61">
        <v>1</v>
      </c>
      <c r="B4" s="92" t="s">
        <v>160</v>
      </c>
      <c r="C4" s="90">
        <v>6</v>
      </c>
      <c r="D4" s="90" t="s">
        <v>161</v>
      </c>
      <c r="E4" s="217">
        <v>12</v>
      </c>
      <c r="F4" s="73">
        <v>24.9</v>
      </c>
      <c r="G4" s="73">
        <v>37.99</v>
      </c>
      <c r="H4" s="73">
        <v>38.5</v>
      </c>
      <c r="I4" s="213">
        <f>AVERAGE(F4:H4)</f>
        <v>33.796666666666667</v>
      </c>
      <c r="J4" s="62">
        <f>I4*C4/E4</f>
        <v>16.898333333333333</v>
      </c>
      <c r="K4" s="62">
        <f>J4*12</f>
        <v>202.78</v>
      </c>
      <c r="L4" s="114">
        <f>J4*30</f>
        <v>506.95</v>
      </c>
    </row>
    <row r="5" spans="1:12" ht="60" x14ac:dyDescent="0.25">
      <c r="A5" s="61">
        <v>2</v>
      </c>
      <c r="B5" s="92" t="s">
        <v>162</v>
      </c>
      <c r="C5" s="90">
        <v>6</v>
      </c>
      <c r="D5" s="90" t="s">
        <v>178</v>
      </c>
      <c r="E5" s="217">
        <v>12</v>
      </c>
      <c r="F5" s="73">
        <v>3.29</v>
      </c>
      <c r="G5" s="73">
        <v>2.58</v>
      </c>
      <c r="H5" s="73">
        <v>2.97</v>
      </c>
      <c r="I5" s="213">
        <f t="shared" ref="I5:I20" si="0">AVERAGE(F5:H5)</f>
        <v>2.9466666666666668</v>
      </c>
      <c r="J5" s="62">
        <f t="shared" ref="J5:J20" si="1">I5*C5/E5</f>
        <v>1.4733333333333334</v>
      </c>
      <c r="K5" s="62">
        <f t="shared" ref="K5:K20" si="2">J5*12</f>
        <v>17.68</v>
      </c>
      <c r="L5" s="114">
        <f t="shared" ref="L5:L20" si="3">J5*30</f>
        <v>44.2</v>
      </c>
    </row>
    <row r="6" spans="1:12" s="70" customFormat="1" ht="36" x14ac:dyDescent="0.25">
      <c r="A6" s="61">
        <v>3</v>
      </c>
      <c r="B6" s="92" t="s">
        <v>163</v>
      </c>
      <c r="C6" s="90">
        <v>1</v>
      </c>
      <c r="D6" s="115" t="s">
        <v>164</v>
      </c>
      <c r="E6" s="217">
        <v>12</v>
      </c>
      <c r="F6" s="73">
        <v>30.08</v>
      </c>
      <c r="G6" s="73">
        <v>19.690000000000001</v>
      </c>
      <c r="H6" s="73">
        <v>19.690000000000001</v>
      </c>
      <c r="I6" s="213">
        <f t="shared" si="0"/>
        <v>23.153333333333332</v>
      </c>
      <c r="J6" s="62">
        <f t="shared" si="1"/>
        <v>1.9294444444444443</v>
      </c>
      <c r="K6" s="62">
        <f t="shared" si="2"/>
        <v>23.153333333333332</v>
      </c>
      <c r="L6" s="114">
        <f t="shared" si="3"/>
        <v>57.883333333333326</v>
      </c>
    </row>
    <row r="7" spans="1:12" ht="24" x14ac:dyDescent="0.25">
      <c r="A7" s="61">
        <v>4</v>
      </c>
      <c r="B7" s="92" t="s">
        <v>165</v>
      </c>
      <c r="C7" s="90">
        <v>6</v>
      </c>
      <c r="D7" s="115" t="s">
        <v>178</v>
      </c>
      <c r="E7" s="217">
        <v>12</v>
      </c>
      <c r="F7" s="73">
        <v>78</v>
      </c>
      <c r="G7" s="73">
        <v>71.09</v>
      </c>
      <c r="H7" s="73">
        <v>85</v>
      </c>
      <c r="I7" s="213">
        <f t="shared" si="0"/>
        <v>78.03</v>
      </c>
      <c r="J7" s="62">
        <f t="shared" si="1"/>
        <v>39.015000000000001</v>
      </c>
      <c r="K7" s="62">
        <f t="shared" si="2"/>
        <v>468.18</v>
      </c>
      <c r="L7" s="114">
        <f t="shared" si="3"/>
        <v>1170.45</v>
      </c>
    </row>
    <row r="8" spans="1:12" ht="24" x14ac:dyDescent="0.25">
      <c r="A8" s="61">
        <v>5</v>
      </c>
      <c r="B8" s="92" t="s">
        <v>166</v>
      </c>
      <c r="C8" s="90">
        <v>10</v>
      </c>
      <c r="D8" s="115" t="s">
        <v>178</v>
      </c>
      <c r="E8" s="217">
        <v>12</v>
      </c>
      <c r="F8" s="73">
        <v>17.989999999999998</v>
      </c>
      <c r="G8" s="73">
        <v>19.100000000000001</v>
      </c>
      <c r="H8" s="73">
        <v>18.649999999999999</v>
      </c>
      <c r="I8" s="213">
        <f t="shared" si="0"/>
        <v>18.580000000000002</v>
      </c>
      <c r="J8" s="62">
        <f t="shared" si="1"/>
        <v>15.483333333333334</v>
      </c>
      <c r="K8" s="62">
        <f t="shared" si="2"/>
        <v>185.8</v>
      </c>
      <c r="L8" s="114">
        <f t="shared" si="3"/>
        <v>464.5</v>
      </c>
    </row>
    <row r="9" spans="1:12" ht="24" x14ac:dyDescent="0.25">
      <c r="A9" s="61">
        <v>6</v>
      </c>
      <c r="B9" s="92" t="s">
        <v>167</v>
      </c>
      <c r="C9" s="90">
        <v>6</v>
      </c>
      <c r="D9" s="115" t="s">
        <v>178</v>
      </c>
      <c r="E9" s="217">
        <v>12</v>
      </c>
      <c r="F9" s="73">
        <v>24.2</v>
      </c>
      <c r="G9" s="73">
        <v>20.260000000000002</v>
      </c>
      <c r="H9" s="73">
        <v>25.34</v>
      </c>
      <c r="I9" s="213">
        <f t="shared" si="0"/>
        <v>23.266666666666666</v>
      </c>
      <c r="J9" s="62">
        <f t="shared" si="1"/>
        <v>11.633333333333333</v>
      </c>
      <c r="K9" s="62">
        <f t="shared" si="2"/>
        <v>139.6</v>
      </c>
      <c r="L9" s="114">
        <f t="shared" si="3"/>
        <v>349</v>
      </c>
    </row>
    <row r="10" spans="1:12" x14ac:dyDescent="0.25">
      <c r="A10" s="61">
        <v>7</v>
      </c>
      <c r="B10" s="92" t="s">
        <v>168</v>
      </c>
      <c r="C10" s="90">
        <v>1</v>
      </c>
      <c r="D10" s="115" t="s">
        <v>178</v>
      </c>
      <c r="E10" s="217">
        <v>1</v>
      </c>
      <c r="F10" s="73">
        <v>19</v>
      </c>
      <c r="G10" s="73">
        <v>11.7</v>
      </c>
      <c r="H10" s="73">
        <v>29.99</v>
      </c>
      <c r="I10" s="213">
        <f t="shared" si="0"/>
        <v>20.23</v>
      </c>
      <c r="J10" s="62">
        <f t="shared" si="1"/>
        <v>20.23</v>
      </c>
      <c r="K10" s="62">
        <f t="shared" si="2"/>
        <v>242.76</v>
      </c>
      <c r="L10" s="114">
        <f t="shared" si="3"/>
        <v>606.9</v>
      </c>
    </row>
    <row r="11" spans="1:12" ht="48" x14ac:dyDescent="0.25">
      <c r="A11" s="61">
        <v>8</v>
      </c>
      <c r="B11" s="92" t="s">
        <v>169</v>
      </c>
      <c r="C11" s="90">
        <v>6</v>
      </c>
      <c r="D11" s="115" t="s">
        <v>178</v>
      </c>
      <c r="E11" s="217">
        <v>12</v>
      </c>
      <c r="F11" s="73">
        <v>26.9</v>
      </c>
      <c r="G11" s="73">
        <v>35.01</v>
      </c>
      <c r="H11" s="73">
        <v>28.16</v>
      </c>
      <c r="I11" s="213">
        <f t="shared" si="0"/>
        <v>30.02333333333333</v>
      </c>
      <c r="J11" s="62">
        <f t="shared" si="1"/>
        <v>15.011666666666665</v>
      </c>
      <c r="K11" s="62">
        <f t="shared" si="2"/>
        <v>180.14</v>
      </c>
      <c r="L11" s="114">
        <f t="shared" si="3"/>
        <v>450.34999999999997</v>
      </c>
    </row>
    <row r="12" spans="1:12" x14ac:dyDescent="0.25">
      <c r="A12" s="61">
        <v>9</v>
      </c>
      <c r="B12" s="92" t="s">
        <v>171</v>
      </c>
      <c r="C12" s="90">
        <v>6</v>
      </c>
      <c r="D12" s="115" t="s">
        <v>178</v>
      </c>
      <c r="E12" s="217">
        <v>12</v>
      </c>
      <c r="F12" s="73">
        <v>18.100000000000001</v>
      </c>
      <c r="G12" s="73">
        <v>21.97</v>
      </c>
      <c r="H12" s="73">
        <v>19.829999999999998</v>
      </c>
      <c r="I12" s="213">
        <f t="shared" si="0"/>
        <v>19.966666666666665</v>
      </c>
      <c r="J12" s="62">
        <f t="shared" si="1"/>
        <v>9.9833333333333325</v>
      </c>
      <c r="K12" s="62">
        <f t="shared" si="2"/>
        <v>119.79999999999998</v>
      </c>
      <c r="L12" s="114">
        <f t="shared" si="3"/>
        <v>299.5</v>
      </c>
    </row>
    <row r="13" spans="1:12" ht="24" x14ac:dyDescent="0.25">
      <c r="A13" s="61">
        <v>10</v>
      </c>
      <c r="B13" s="92" t="s">
        <v>172</v>
      </c>
      <c r="C13" s="90">
        <v>6</v>
      </c>
      <c r="D13" s="115" t="s">
        <v>178</v>
      </c>
      <c r="E13" s="217">
        <v>12</v>
      </c>
      <c r="F13" s="73">
        <v>18.96</v>
      </c>
      <c r="G13" s="73">
        <v>33.590000000000003</v>
      </c>
      <c r="H13" s="73">
        <v>41.16</v>
      </c>
      <c r="I13" s="213">
        <f t="shared" si="0"/>
        <v>31.236666666666668</v>
      </c>
      <c r="J13" s="62">
        <f t="shared" si="1"/>
        <v>15.618333333333334</v>
      </c>
      <c r="K13" s="62">
        <f t="shared" si="2"/>
        <v>187.42000000000002</v>
      </c>
      <c r="L13" s="114">
        <f t="shared" si="3"/>
        <v>468.55</v>
      </c>
    </row>
    <row r="14" spans="1:12" x14ac:dyDescent="0.25">
      <c r="A14" s="61">
        <v>11</v>
      </c>
      <c r="B14" s="92" t="s">
        <v>173</v>
      </c>
      <c r="C14" s="90">
        <v>2</v>
      </c>
      <c r="D14" s="115" t="s">
        <v>178</v>
      </c>
      <c r="E14" s="217">
        <v>12</v>
      </c>
      <c r="F14" s="73">
        <v>5.3</v>
      </c>
      <c r="G14" s="73">
        <v>7.5</v>
      </c>
      <c r="H14" s="73">
        <v>4.2</v>
      </c>
      <c r="I14" s="213">
        <f t="shared" si="0"/>
        <v>5.666666666666667</v>
      </c>
      <c r="J14" s="62">
        <f t="shared" si="1"/>
        <v>0.94444444444444453</v>
      </c>
      <c r="K14" s="62">
        <f t="shared" si="2"/>
        <v>11.333333333333334</v>
      </c>
      <c r="L14" s="114">
        <f t="shared" si="3"/>
        <v>28.333333333333336</v>
      </c>
    </row>
    <row r="15" spans="1:12" x14ac:dyDescent="0.25">
      <c r="A15" s="61">
        <v>12</v>
      </c>
      <c r="B15" s="92" t="s">
        <v>174</v>
      </c>
      <c r="C15" s="90">
        <v>2</v>
      </c>
      <c r="D15" s="115" t="s">
        <v>178</v>
      </c>
      <c r="E15" s="217">
        <v>12</v>
      </c>
      <c r="F15" s="73">
        <v>25.2</v>
      </c>
      <c r="G15" s="73">
        <v>16.190000000000001</v>
      </c>
      <c r="H15" s="73">
        <v>17.43</v>
      </c>
      <c r="I15" s="213">
        <f t="shared" si="0"/>
        <v>19.606666666666666</v>
      </c>
      <c r="J15" s="62">
        <f t="shared" si="1"/>
        <v>3.2677777777777774</v>
      </c>
      <c r="K15" s="62">
        <f t="shared" si="2"/>
        <v>39.213333333333331</v>
      </c>
      <c r="L15" s="114">
        <f t="shared" si="3"/>
        <v>98.033333333333317</v>
      </c>
    </row>
    <row r="16" spans="1:12" s="72" customFormat="1" ht="24" x14ac:dyDescent="0.25">
      <c r="A16" s="61">
        <v>13</v>
      </c>
      <c r="B16" s="92" t="s">
        <v>175</v>
      </c>
      <c r="C16" s="90">
        <v>2</v>
      </c>
      <c r="D16" s="115" t="s">
        <v>178</v>
      </c>
      <c r="E16" s="217">
        <v>1</v>
      </c>
      <c r="F16" s="73">
        <v>20.7</v>
      </c>
      <c r="G16" s="73">
        <v>24.5</v>
      </c>
      <c r="H16" s="73">
        <v>11.57</v>
      </c>
      <c r="I16" s="213">
        <f t="shared" si="0"/>
        <v>18.923333333333336</v>
      </c>
      <c r="J16" s="62">
        <f t="shared" si="1"/>
        <v>37.846666666666671</v>
      </c>
      <c r="K16" s="62">
        <f t="shared" si="2"/>
        <v>454.16000000000008</v>
      </c>
      <c r="L16" s="114">
        <f t="shared" si="3"/>
        <v>1135.4000000000001</v>
      </c>
    </row>
    <row r="17" spans="1:12" x14ac:dyDescent="0.25">
      <c r="A17" s="61">
        <v>14</v>
      </c>
      <c r="B17" s="92" t="s">
        <v>176</v>
      </c>
      <c r="C17" s="90">
        <v>2</v>
      </c>
      <c r="D17" s="115" t="s">
        <v>178</v>
      </c>
      <c r="E17" s="217">
        <v>1</v>
      </c>
      <c r="F17" s="73">
        <v>34.39</v>
      </c>
      <c r="G17" s="73">
        <v>33.64</v>
      </c>
      <c r="H17" s="73">
        <v>32</v>
      </c>
      <c r="I17" s="213">
        <f t="shared" si="0"/>
        <v>33.343333333333334</v>
      </c>
      <c r="J17" s="62">
        <f t="shared" si="1"/>
        <v>66.686666666666667</v>
      </c>
      <c r="K17" s="62">
        <f t="shared" si="2"/>
        <v>800.24</v>
      </c>
      <c r="L17" s="114">
        <f t="shared" si="3"/>
        <v>2000.6</v>
      </c>
    </row>
    <row r="18" spans="1:12" ht="24" x14ac:dyDescent="0.25">
      <c r="A18" s="61">
        <v>15</v>
      </c>
      <c r="B18" s="85" t="s">
        <v>177</v>
      </c>
      <c r="C18" s="90">
        <v>2</v>
      </c>
      <c r="D18" s="115" t="s">
        <v>178</v>
      </c>
      <c r="E18" s="217">
        <v>1</v>
      </c>
      <c r="F18" s="73">
        <v>26.9</v>
      </c>
      <c r="G18" s="73">
        <v>37.99</v>
      </c>
      <c r="H18" s="73">
        <v>30</v>
      </c>
      <c r="I18" s="213">
        <f t="shared" si="0"/>
        <v>31.63</v>
      </c>
      <c r="J18" s="62">
        <f t="shared" si="1"/>
        <v>63.26</v>
      </c>
      <c r="K18" s="62">
        <f t="shared" si="2"/>
        <v>759.12</v>
      </c>
      <c r="L18" s="114">
        <f t="shared" si="3"/>
        <v>1897.8</v>
      </c>
    </row>
    <row r="19" spans="1:12" ht="24" x14ac:dyDescent="0.25">
      <c r="A19" s="61">
        <v>16</v>
      </c>
      <c r="B19" s="85" t="s">
        <v>179</v>
      </c>
      <c r="C19" s="90">
        <v>2</v>
      </c>
      <c r="D19" s="115" t="s">
        <v>164</v>
      </c>
      <c r="E19" s="217">
        <v>12</v>
      </c>
      <c r="F19" s="73">
        <v>9.6999999999999993</v>
      </c>
      <c r="G19" s="73">
        <v>8.2799999999999994</v>
      </c>
      <c r="H19" s="73">
        <v>15.9</v>
      </c>
      <c r="I19" s="213">
        <f t="shared" si="0"/>
        <v>11.293333333333331</v>
      </c>
      <c r="J19" s="62">
        <f t="shared" si="1"/>
        <v>1.8822222222222218</v>
      </c>
      <c r="K19" s="62">
        <f t="shared" si="2"/>
        <v>22.586666666666662</v>
      </c>
      <c r="L19" s="114">
        <f t="shared" si="3"/>
        <v>56.466666666666654</v>
      </c>
    </row>
    <row r="20" spans="1:12" ht="72" x14ac:dyDescent="0.25">
      <c r="A20" s="61">
        <v>17</v>
      </c>
      <c r="B20" s="92" t="s">
        <v>180</v>
      </c>
      <c r="C20" s="90">
        <v>2</v>
      </c>
      <c r="D20" s="115" t="s">
        <v>181</v>
      </c>
      <c r="E20" s="217">
        <v>1</v>
      </c>
      <c r="F20" s="73">
        <v>17.95</v>
      </c>
      <c r="G20" s="73">
        <v>26.31</v>
      </c>
      <c r="H20" s="73">
        <v>21</v>
      </c>
      <c r="I20" s="213">
        <f t="shared" si="0"/>
        <v>21.75333333333333</v>
      </c>
      <c r="J20" s="62">
        <f t="shared" si="1"/>
        <v>43.506666666666661</v>
      </c>
      <c r="K20" s="62">
        <f t="shared" si="2"/>
        <v>522.07999999999993</v>
      </c>
      <c r="L20" s="114">
        <f t="shared" si="3"/>
        <v>1305.1999999999998</v>
      </c>
    </row>
    <row r="21" spans="1:12" ht="15.75" x14ac:dyDescent="0.25">
      <c r="A21" s="372" t="s">
        <v>182</v>
      </c>
      <c r="B21" s="372"/>
      <c r="C21" s="372"/>
      <c r="D21" s="372"/>
      <c r="E21" s="372"/>
      <c r="F21" s="372"/>
      <c r="G21" s="372"/>
      <c r="H21" s="372"/>
      <c r="I21" s="372"/>
      <c r="J21" s="69">
        <f>SUM(J4:J20)</f>
        <v>364.6705555555555</v>
      </c>
      <c r="K21" s="69">
        <f t="shared" ref="K21:L21" si="4">SUM(K4:K20)</f>
        <v>4376.0466666666671</v>
      </c>
      <c r="L21" s="69">
        <f t="shared" si="4"/>
        <v>10940.116666666669</v>
      </c>
    </row>
    <row r="23" spans="1:12" x14ac:dyDescent="0.25">
      <c r="A23" s="364" t="s">
        <v>184</v>
      </c>
      <c r="B23" s="365"/>
      <c r="C23" s="365"/>
      <c r="D23" s="365"/>
      <c r="E23" s="365"/>
      <c r="F23" s="365"/>
      <c r="G23" s="365"/>
      <c r="H23" s="365"/>
      <c r="I23" s="365"/>
      <c r="J23" s="365"/>
      <c r="K23" s="365"/>
      <c r="L23" s="365"/>
    </row>
    <row r="24" spans="1:12" x14ac:dyDescent="0.25">
      <c r="F24" s="366" t="s">
        <v>255</v>
      </c>
      <c r="G24" s="367"/>
      <c r="H24" s="367"/>
      <c r="I24" s="368"/>
      <c r="J24" s="369"/>
      <c r="K24" s="370"/>
      <c r="L24" s="371"/>
    </row>
    <row r="25" spans="1:12" ht="24" x14ac:dyDescent="0.25">
      <c r="A25" s="60" t="s">
        <v>138</v>
      </c>
      <c r="B25" s="60" t="s">
        <v>139</v>
      </c>
      <c r="C25" s="60" t="s">
        <v>140</v>
      </c>
      <c r="D25" s="95" t="s">
        <v>183</v>
      </c>
      <c r="E25" s="216" t="s">
        <v>256</v>
      </c>
      <c r="F25" s="60" t="s">
        <v>141</v>
      </c>
      <c r="G25" s="60" t="s">
        <v>142</v>
      </c>
      <c r="H25" s="60" t="s">
        <v>143</v>
      </c>
      <c r="I25" s="60" t="s">
        <v>144</v>
      </c>
      <c r="J25" s="60" t="s">
        <v>145</v>
      </c>
      <c r="K25" s="112" t="s">
        <v>257</v>
      </c>
      <c r="L25" s="113" t="s">
        <v>258</v>
      </c>
    </row>
    <row r="26" spans="1:12" ht="36" x14ac:dyDescent="0.25">
      <c r="A26" s="401">
        <v>18</v>
      </c>
      <c r="B26" s="402" t="s">
        <v>375</v>
      </c>
      <c r="C26" s="403">
        <v>3</v>
      </c>
      <c r="D26" s="403" t="s">
        <v>178</v>
      </c>
      <c r="E26" s="405">
        <v>1</v>
      </c>
      <c r="F26" s="93">
        <v>13.22</v>
      </c>
      <c r="G26" s="93">
        <v>12.24</v>
      </c>
      <c r="H26" s="93">
        <v>11.4</v>
      </c>
      <c r="I26" s="214">
        <f t="shared" ref="I26:I44" si="5">AVERAGE(F26:H26)</f>
        <v>12.286666666666667</v>
      </c>
      <c r="J26" s="406">
        <f>I26*C26/E26</f>
        <v>36.86</v>
      </c>
      <c r="K26" s="406">
        <f>J26*12</f>
        <v>442.32</v>
      </c>
      <c r="L26" s="407">
        <f t="shared" ref="L26:L44" si="6">J26*30</f>
        <v>1105.8</v>
      </c>
    </row>
    <row r="27" spans="1:12" ht="24" x14ac:dyDescent="0.25">
      <c r="A27" s="90">
        <v>19</v>
      </c>
      <c r="B27" s="85" t="s">
        <v>185</v>
      </c>
      <c r="C27" s="88">
        <v>2</v>
      </c>
      <c r="D27" s="88" t="s">
        <v>178</v>
      </c>
      <c r="E27" s="218">
        <v>1</v>
      </c>
      <c r="F27" s="93">
        <v>6.9</v>
      </c>
      <c r="G27" s="93">
        <v>7.9</v>
      </c>
      <c r="H27" s="93">
        <v>6.99</v>
      </c>
      <c r="I27" s="214">
        <f t="shared" si="5"/>
        <v>7.2633333333333328</v>
      </c>
      <c r="J27" s="62">
        <f>I27*C27/E27</f>
        <v>14.526666666666666</v>
      </c>
      <c r="K27" s="62">
        <f>J27*12</f>
        <v>174.32</v>
      </c>
      <c r="L27" s="114">
        <f t="shared" si="6"/>
        <v>435.79999999999995</v>
      </c>
    </row>
    <row r="28" spans="1:12" ht="36" x14ac:dyDescent="0.25">
      <c r="A28" s="90">
        <v>20</v>
      </c>
      <c r="B28" s="85" t="s">
        <v>186</v>
      </c>
      <c r="C28" s="88">
        <v>2</v>
      </c>
      <c r="D28" s="88" t="s">
        <v>178</v>
      </c>
      <c r="E28" s="218">
        <v>1</v>
      </c>
      <c r="F28" s="93">
        <v>56.93</v>
      </c>
      <c r="G28" s="93">
        <v>19.39</v>
      </c>
      <c r="H28" s="93">
        <v>20</v>
      </c>
      <c r="I28" s="214">
        <f t="shared" si="5"/>
        <v>32.106666666666662</v>
      </c>
      <c r="J28" s="62">
        <f t="shared" ref="J28:J44" si="7">I28*C28/E28</f>
        <v>64.213333333333324</v>
      </c>
      <c r="K28" s="62">
        <f t="shared" ref="K28:K44" si="8">J28*12</f>
        <v>770.56</v>
      </c>
      <c r="L28" s="114">
        <f t="shared" si="6"/>
        <v>1926.3999999999996</v>
      </c>
    </row>
    <row r="29" spans="1:12" x14ac:dyDescent="0.25">
      <c r="A29" s="90">
        <v>21</v>
      </c>
      <c r="B29" s="85" t="s">
        <v>187</v>
      </c>
      <c r="C29" s="88">
        <v>5</v>
      </c>
      <c r="D29" s="88" t="s">
        <v>178</v>
      </c>
      <c r="E29" s="218">
        <v>1</v>
      </c>
      <c r="F29" s="93">
        <v>7.3</v>
      </c>
      <c r="G29" s="93">
        <v>9.9</v>
      </c>
      <c r="H29" s="93">
        <v>7.64</v>
      </c>
      <c r="I29" s="214">
        <f t="shared" si="5"/>
        <v>8.2799999999999994</v>
      </c>
      <c r="J29" s="62">
        <f t="shared" si="7"/>
        <v>41.4</v>
      </c>
      <c r="K29" s="62">
        <f t="shared" si="8"/>
        <v>496.79999999999995</v>
      </c>
      <c r="L29" s="114">
        <f t="shared" si="6"/>
        <v>1242</v>
      </c>
    </row>
    <row r="30" spans="1:12" x14ac:dyDescent="0.25">
      <c r="A30" s="90">
        <v>22</v>
      </c>
      <c r="B30" s="85" t="s">
        <v>188</v>
      </c>
      <c r="C30" s="88">
        <v>2</v>
      </c>
      <c r="D30" s="88" t="s">
        <v>178</v>
      </c>
      <c r="E30" s="218">
        <v>1</v>
      </c>
      <c r="F30" s="93">
        <v>13.9</v>
      </c>
      <c r="G30" s="93">
        <v>19.5</v>
      </c>
      <c r="H30" s="93">
        <v>21.76</v>
      </c>
      <c r="I30" s="214">
        <f t="shared" si="5"/>
        <v>18.386666666666667</v>
      </c>
      <c r="J30" s="62">
        <f t="shared" si="7"/>
        <v>36.773333333333333</v>
      </c>
      <c r="K30" s="62">
        <f t="shared" si="8"/>
        <v>441.28</v>
      </c>
      <c r="L30" s="114">
        <f t="shared" si="6"/>
        <v>1103.2</v>
      </c>
    </row>
    <row r="31" spans="1:12" ht="24" x14ac:dyDescent="0.25">
      <c r="A31" s="90">
        <v>23</v>
      </c>
      <c r="B31" s="85" t="s">
        <v>189</v>
      </c>
      <c r="C31" s="88">
        <v>2</v>
      </c>
      <c r="D31" s="88" t="s">
        <v>178</v>
      </c>
      <c r="E31" s="218">
        <v>1</v>
      </c>
      <c r="F31" s="93">
        <v>2.99</v>
      </c>
      <c r="G31" s="93">
        <v>1.99</v>
      </c>
      <c r="H31" s="93">
        <v>2.69</v>
      </c>
      <c r="I31" s="214">
        <f t="shared" si="5"/>
        <v>2.5566666666666666</v>
      </c>
      <c r="J31" s="62">
        <f t="shared" si="7"/>
        <v>5.1133333333333333</v>
      </c>
      <c r="K31" s="62">
        <f t="shared" si="8"/>
        <v>61.36</v>
      </c>
      <c r="L31" s="114">
        <f t="shared" si="6"/>
        <v>153.4</v>
      </c>
    </row>
    <row r="32" spans="1:12" ht="108" x14ac:dyDescent="0.25">
      <c r="A32" s="90">
        <v>24</v>
      </c>
      <c r="B32" s="85" t="s">
        <v>190</v>
      </c>
      <c r="C32" s="88">
        <v>1</v>
      </c>
      <c r="D32" s="88" t="s">
        <v>178</v>
      </c>
      <c r="E32" s="218">
        <v>1</v>
      </c>
      <c r="F32" s="93">
        <v>12.99</v>
      </c>
      <c r="G32" s="93">
        <v>12.34</v>
      </c>
      <c r="H32" s="93">
        <v>12.99</v>
      </c>
      <c r="I32" s="214">
        <f t="shared" si="5"/>
        <v>12.773333333333333</v>
      </c>
      <c r="J32" s="62">
        <f t="shared" si="7"/>
        <v>12.773333333333333</v>
      </c>
      <c r="K32" s="62">
        <f t="shared" si="8"/>
        <v>153.28</v>
      </c>
      <c r="L32" s="114">
        <f t="shared" si="6"/>
        <v>383.2</v>
      </c>
    </row>
    <row r="33" spans="1:12" ht="24" x14ac:dyDescent="0.25">
      <c r="A33" s="90">
        <v>25</v>
      </c>
      <c r="B33" s="85" t="s">
        <v>191</v>
      </c>
      <c r="C33" s="88">
        <v>1</v>
      </c>
      <c r="D33" s="88" t="s">
        <v>178</v>
      </c>
      <c r="E33" s="218">
        <v>1</v>
      </c>
      <c r="F33" s="93">
        <v>2.6</v>
      </c>
      <c r="G33" s="93">
        <v>3.57</v>
      </c>
      <c r="H33" s="93">
        <v>1.45</v>
      </c>
      <c r="I33" s="214">
        <f t="shared" si="5"/>
        <v>2.54</v>
      </c>
      <c r="J33" s="62">
        <f t="shared" si="7"/>
        <v>2.54</v>
      </c>
      <c r="K33" s="62">
        <f t="shared" si="8"/>
        <v>30.48</v>
      </c>
      <c r="L33" s="114">
        <f t="shared" si="6"/>
        <v>76.2</v>
      </c>
    </row>
    <row r="34" spans="1:12" ht="24" x14ac:dyDescent="0.25">
      <c r="A34" s="90">
        <v>26</v>
      </c>
      <c r="B34" s="85" t="s">
        <v>192</v>
      </c>
      <c r="C34" s="88">
        <v>1</v>
      </c>
      <c r="D34" s="88" t="s">
        <v>178</v>
      </c>
      <c r="E34" s="218">
        <v>1</v>
      </c>
      <c r="F34" s="93">
        <v>7.59</v>
      </c>
      <c r="G34" s="93">
        <v>6.9</v>
      </c>
      <c r="H34" s="93">
        <v>3.5</v>
      </c>
      <c r="I34" s="214">
        <f t="shared" si="5"/>
        <v>5.996666666666667</v>
      </c>
      <c r="J34" s="62">
        <f t="shared" si="7"/>
        <v>5.996666666666667</v>
      </c>
      <c r="K34" s="62">
        <f t="shared" si="8"/>
        <v>71.960000000000008</v>
      </c>
      <c r="L34" s="114">
        <f t="shared" si="6"/>
        <v>179.9</v>
      </c>
    </row>
    <row r="35" spans="1:12" x14ac:dyDescent="0.25">
      <c r="A35" s="90">
        <v>27</v>
      </c>
      <c r="B35" s="85" t="s">
        <v>193</v>
      </c>
      <c r="C35" s="88">
        <v>2</v>
      </c>
      <c r="D35" s="88" t="s">
        <v>178</v>
      </c>
      <c r="E35" s="218">
        <v>1</v>
      </c>
      <c r="F35" s="93">
        <v>3.2</v>
      </c>
      <c r="G35" s="93">
        <v>2.89</v>
      </c>
      <c r="H35" s="93">
        <v>2.9</v>
      </c>
      <c r="I35" s="214">
        <f t="shared" si="5"/>
        <v>2.9966666666666666</v>
      </c>
      <c r="J35" s="62">
        <f t="shared" si="7"/>
        <v>5.9933333333333332</v>
      </c>
      <c r="K35" s="62">
        <f t="shared" si="8"/>
        <v>71.92</v>
      </c>
      <c r="L35" s="114">
        <f t="shared" si="6"/>
        <v>179.79999999999998</v>
      </c>
    </row>
    <row r="36" spans="1:12" ht="24" x14ac:dyDescent="0.25">
      <c r="A36" s="90">
        <v>28</v>
      </c>
      <c r="B36" s="85" t="s">
        <v>194</v>
      </c>
      <c r="C36" s="88">
        <v>4</v>
      </c>
      <c r="D36" s="88" t="s">
        <v>178</v>
      </c>
      <c r="E36" s="218">
        <v>1</v>
      </c>
      <c r="F36" s="93">
        <v>3.6</v>
      </c>
      <c r="G36" s="93">
        <v>2.2799999999999998</v>
      </c>
      <c r="H36" s="93">
        <v>5</v>
      </c>
      <c r="I36" s="214">
        <f t="shared" si="5"/>
        <v>3.6266666666666665</v>
      </c>
      <c r="J36" s="62">
        <f t="shared" si="7"/>
        <v>14.506666666666666</v>
      </c>
      <c r="K36" s="62">
        <f t="shared" si="8"/>
        <v>174.07999999999998</v>
      </c>
      <c r="L36" s="114">
        <f t="shared" si="6"/>
        <v>435.2</v>
      </c>
    </row>
    <row r="37" spans="1:12" ht="204" x14ac:dyDescent="0.25">
      <c r="A37" s="90">
        <v>29</v>
      </c>
      <c r="B37" s="85" t="s">
        <v>195</v>
      </c>
      <c r="C37" s="88">
        <v>1</v>
      </c>
      <c r="D37" s="88" t="s">
        <v>178</v>
      </c>
      <c r="E37" s="218">
        <v>1</v>
      </c>
      <c r="F37" s="93">
        <v>100.07</v>
      </c>
      <c r="G37" s="93">
        <v>137.5</v>
      </c>
      <c r="H37" s="93">
        <v>103.4</v>
      </c>
      <c r="I37" s="214">
        <f t="shared" si="5"/>
        <v>113.65666666666668</v>
      </c>
      <c r="J37" s="62">
        <f t="shared" si="7"/>
        <v>113.65666666666668</v>
      </c>
      <c r="K37" s="62">
        <f t="shared" si="8"/>
        <v>1363.88</v>
      </c>
      <c r="L37" s="114">
        <f t="shared" si="6"/>
        <v>3409.7000000000003</v>
      </c>
    </row>
    <row r="38" spans="1:12" ht="204" x14ac:dyDescent="0.25">
      <c r="A38" s="90">
        <v>30</v>
      </c>
      <c r="B38" s="85" t="s">
        <v>196</v>
      </c>
      <c r="C38" s="88">
        <v>1</v>
      </c>
      <c r="D38" s="88" t="s">
        <v>178</v>
      </c>
      <c r="E38" s="218">
        <v>1</v>
      </c>
      <c r="F38" s="93">
        <v>57.08</v>
      </c>
      <c r="G38" s="93">
        <v>56.59</v>
      </c>
      <c r="H38" s="93">
        <v>46.87</v>
      </c>
      <c r="I38" s="214">
        <f t="shared" si="5"/>
        <v>53.513333333333328</v>
      </c>
      <c r="J38" s="62">
        <f t="shared" si="7"/>
        <v>53.513333333333328</v>
      </c>
      <c r="K38" s="62">
        <f t="shared" si="8"/>
        <v>642.16</v>
      </c>
      <c r="L38" s="114">
        <f t="shared" si="6"/>
        <v>1605.3999999999999</v>
      </c>
    </row>
    <row r="39" spans="1:12" x14ac:dyDescent="0.25">
      <c r="A39" s="90">
        <v>31</v>
      </c>
      <c r="B39" s="85" t="s">
        <v>197</v>
      </c>
      <c r="C39" s="88">
        <v>1</v>
      </c>
      <c r="D39" s="88" t="s">
        <v>178</v>
      </c>
      <c r="E39" s="218">
        <v>1</v>
      </c>
      <c r="F39" s="93">
        <v>5.32</v>
      </c>
      <c r="G39" s="93">
        <v>6.01</v>
      </c>
      <c r="H39" s="93">
        <v>4.9000000000000004</v>
      </c>
      <c r="I39" s="214">
        <f t="shared" si="5"/>
        <v>5.41</v>
      </c>
      <c r="J39" s="62">
        <f t="shared" si="7"/>
        <v>5.41</v>
      </c>
      <c r="K39" s="62">
        <f t="shared" si="8"/>
        <v>64.92</v>
      </c>
      <c r="L39" s="114">
        <f t="shared" si="6"/>
        <v>162.30000000000001</v>
      </c>
    </row>
    <row r="40" spans="1:12" ht="24" x14ac:dyDescent="0.25">
      <c r="A40" s="90">
        <v>32</v>
      </c>
      <c r="B40" s="85" t="s">
        <v>198</v>
      </c>
      <c r="C40" s="88">
        <v>1</v>
      </c>
      <c r="D40" s="88" t="s">
        <v>178</v>
      </c>
      <c r="E40" s="218">
        <v>1</v>
      </c>
      <c r="F40" s="93">
        <v>54.16</v>
      </c>
      <c r="G40" s="93">
        <v>68.25</v>
      </c>
      <c r="H40" s="93">
        <v>56.44</v>
      </c>
      <c r="I40" s="214">
        <f t="shared" si="5"/>
        <v>59.616666666666667</v>
      </c>
      <c r="J40" s="62">
        <f t="shared" si="7"/>
        <v>59.616666666666667</v>
      </c>
      <c r="K40" s="62">
        <f t="shared" si="8"/>
        <v>715.4</v>
      </c>
      <c r="L40" s="114">
        <f t="shared" si="6"/>
        <v>1788.5</v>
      </c>
    </row>
    <row r="41" spans="1:12" ht="24" x14ac:dyDescent="0.25">
      <c r="A41" s="90">
        <v>33</v>
      </c>
      <c r="B41" s="85" t="s">
        <v>199</v>
      </c>
      <c r="C41" s="88">
        <v>1</v>
      </c>
      <c r="D41" s="88" t="s">
        <v>178</v>
      </c>
      <c r="E41" s="218">
        <v>1</v>
      </c>
      <c r="F41" s="93">
        <v>7.6</v>
      </c>
      <c r="G41" s="93">
        <v>4.9000000000000004</v>
      </c>
      <c r="H41" s="93">
        <v>8.1999999999999993</v>
      </c>
      <c r="I41" s="214">
        <f t="shared" si="5"/>
        <v>6.8999999999999995</v>
      </c>
      <c r="J41" s="62">
        <f t="shared" si="7"/>
        <v>6.8999999999999995</v>
      </c>
      <c r="K41" s="62">
        <f t="shared" si="8"/>
        <v>82.8</v>
      </c>
      <c r="L41" s="114">
        <f t="shared" si="6"/>
        <v>206.99999999999997</v>
      </c>
    </row>
    <row r="42" spans="1:12" x14ac:dyDescent="0.25">
      <c r="A42" s="90">
        <v>34</v>
      </c>
      <c r="B42" s="85" t="s">
        <v>200</v>
      </c>
      <c r="C42" s="88">
        <v>1</v>
      </c>
      <c r="D42" s="88" t="s">
        <v>178</v>
      </c>
      <c r="E42" s="218">
        <v>1</v>
      </c>
      <c r="F42" s="93">
        <v>47.99</v>
      </c>
      <c r="G42" s="93">
        <v>48.69</v>
      </c>
      <c r="H42" s="93">
        <v>60.89</v>
      </c>
      <c r="I42" s="214">
        <f t="shared" si="5"/>
        <v>52.523333333333333</v>
      </c>
      <c r="J42" s="62">
        <f t="shared" si="7"/>
        <v>52.523333333333333</v>
      </c>
      <c r="K42" s="62">
        <f t="shared" si="8"/>
        <v>630.28</v>
      </c>
      <c r="L42" s="114">
        <f t="shared" si="6"/>
        <v>1575.7</v>
      </c>
    </row>
    <row r="43" spans="1:12" x14ac:dyDescent="0.25">
      <c r="A43" s="90">
        <v>35</v>
      </c>
      <c r="B43" s="85" t="s">
        <v>201</v>
      </c>
      <c r="C43" s="88">
        <v>2</v>
      </c>
      <c r="D43" s="88" t="s">
        <v>178</v>
      </c>
      <c r="E43" s="218">
        <v>1</v>
      </c>
      <c r="F43" s="93">
        <v>2.2999999999999998</v>
      </c>
      <c r="G43" s="93">
        <v>2.8</v>
      </c>
      <c r="H43" s="93">
        <v>1.79</v>
      </c>
      <c r="I43" s="214">
        <f t="shared" si="5"/>
        <v>2.2966666666666664</v>
      </c>
      <c r="J43" s="62">
        <f t="shared" si="7"/>
        <v>4.5933333333333328</v>
      </c>
      <c r="K43" s="62">
        <f t="shared" si="8"/>
        <v>55.11999999999999</v>
      </c>
      <c r="L43" s="114">
        <f t="shared" si="6"/>
        <v>137.79999999999998</v>
      </c>
    </row>
    <row r="44" spans="1:12" ht="24" x14ac:dyDescent="0.25">
      <c r="A44" s="90">
        <v>36</v>
      </c>
      <c r="B44" s="85" t="s">
        <v>202</v>
      </c>
      <c r="C44" s="88">
        <v>2</v>
      </c>
      <c r="D44" s="88" t="s">
        <v>178</v>
      </c>
      <c r="E44" s="218">
        <v>1</v>
      </c>
      <c r="F44" s="93">
        <v>52</v>
      </c>
      <c r="G44" s="93">
        <v>35.909999999999997</v>
      </c>
      <c r="H44" s="93">
        <v>58.1</v>
      </c>
      <c r="I44" s="214">
        <f t="shared" si="5"/>
        <v>48.669999999999995</v>
      </c>
      <c r="J44" s="62">
        <f t="shared" si="7"/>
        <v>97.339999999999989</v>
      </c>
      <c r="K44" s="62">
        <f t="shared" si="8"/>
        <v>1168.08</v>
      </c>
      <c r="L44" s="114">
        <f t="shared" si="6"/>
        <v>2920.2</v>
      </c>
    </row>
    <row r="45" spans="1:12" ht="15.75" x14ac:dyDescent="0.25">
      <c r="A45" s="372" t="s">
        <v>203</v>
      </c>
      <c r="B45" s="372"/>
      <c r="C45" s="372"/>
      <c r="D45" s="372"/>
      <c r="E45" s="372"/>
      <c r="F45" s="372"/>
      <c r="G45" s="372"/>
      <c r="H45" s="372"/>
      <c r="I45" s="372"/>
      <c r="J45" s="69">
        <f>SUM(J25:J44)</f>
        <v>634.25000000000011</v>
      </c>
      <c r="K45" s="69">
        <f t="shared" ref="K45:L45" si="9">SUM(K25:K44)</f>
        <v>7610.9999999999991</v>
      </c>
      <c r="L45" s="69">
        <f t="shared" si="9"/>
        <v>19027.499999999996</v>
      </c>
    </row>
    <row r="47" spans="1:12" x14ac:dyDescent="0.25">
      <c r="A47" s="364" t="s">
        <v>214</v>
      </c>
      <c r="B47" s="365"/>
      <c r="C47" s="365"/>
      <c r="D47" s="365"/>
      <c r="E47" s="365"/>
      <c r="F47" s="365"/>
      <c r="G47" s="365"/>
      <c r="H47" s="365"/>
      <c r="I47" s="365"/>
      <c r="J47" s="365"/>
      <c r="K47" s="365"/>
      <c r="L47" s="365"/>
    </row>
    <row r="48" spans="1:12" x14ac:dyDescent="0.25">
      <c r="F48" s="366" t="s">
        <v>255</v>
      </c>
      <c r="G48" s="367"/>
      <c r="H48" s="367"/>
      <c r="I48" s="368"/>
      <c r="J48" s="369"/>
      <c r="K48" s="370"/>
      <c r="L48" s="371"/>
    </row>
    <row r="49" spans="1:12" ht="24" x14ac:dyDescent="0.25">
      <c r="A49" s="60" t="s">
        <v>138</v>
      </c>
      <c r="B49" s="60" t="s">
        <v>139</v>
      </c>
      <c r="C49" s="60" t="s">
        <v>140</v>
      </c>
      <c r="D49" s="95" t="s">
        <v>183</v>
      </c>
      <c r="E49" s="216" t="s">
        <v>256</v>
      </c>
      <c r="F49" s="60" t="s">
        <v>141</v>
      </c>
      <c r="G49" s="60" t="s">
        <v>142</v>
      </c>
      <c r="H49" s="60" t="s">
        <v>143</v>
      </c>
      <c r="I49" s="60" t="s">
        <v>144</v>
      </c>
      <c r="J49" s="60" t="s">
        <v>145</v>
      </c>
      <c r="K49" s="112" t="s">
        <v>257</v>
      </c>
      <c r="L49" s="113" t="s">
        <v>258</v>
      </c>
    </row>
    <row r="50" spans="1:12" ht="24" x14ac:dyDescent="0.25">
      <c r="A50" s="401">
        <v>37</v>
      </c>
      <c r="B50" s="402" t="s">
        <v>376</v>
      </c>
      <c r="C50" s="408">
        <v>3</v>
      </c>
      <c r="D50" s="403" t="s">
        <v>178</v>
      </c>
      <c r="E50" s="404">
        <v>1</v>
      </c>
      <c r="F50" s="93">
        <v>80.56</v>
      </c>
      <c r="G50" s="93">
        <v>51.5</v>
      </c>
      <c r="H50" s="93">
        <v>54.93</v>
      </c>
      <c r="I50" s="214">
        <f t="shared" ref="I50:I60" si="10">AVERAGE(F50:H50)</f>
        <v>62.330000000000005</v>
      </c>
      <c r="J50" s="62">
        <f t="shared" ref="J50:J60" si="11">I50*C50/E50</f>
        <v>186.99</v>
      </c>
      <c r="K50" s="62">
        <f t="shared" ref="K50:K60" si="12">J50*12</f>
        <v>2243.88</v>
      </c>
      <c r="L50" s="114">
        <f t="shared" ref="L50:L60" si="13">J50*30</f>
        <v>5609.7000000000007</v>
      </c>
    </row>
    <row r="51" spans="1:12" ht="24" x14ac:dyDescent="0.25">
      <c r="A51" s="90">
        <v>38</v>
      </c>
      <c r="B51" s="85" t="s">
        <v>204</v>
      </c>
      <c r="C51" s="88">
        <v>1</v>
      </c>
      <c r="D51" s="88" t="s">
        <v>178</v>
      </c>
      <c r="E51" s="218">
        <v>1</v>
      </c>
      <c r="F51" s="93">
        <v>22.99</v>
      </c>
      <c r="G51" s="93">
        <v>40.99</v>
      </c>
      <c r="H51" s="93">
        <v>19.899999999999999</v>
      </c>
      <c r="I51" s="214">
        <f t="shared" si="10"/>
        <v>27.959999999999997</v>
      </c>
      <c r="J51" s="62">
        <f t="shared" si="11"/>
        <v>27.959999999999997</v>
      </c>
      <c r="K51" s="62">
        <f t="shared" si="12"/>
        <v>335.52</v>
      </c>
      <c r="L51" s="114">
        <f t="shared" si="13"/>
        <v>838.8</v>
      </c>
    </row>
    <row r="52" spans="1:12" x14ac:dyDescent="0.25">
      <c r="A52" s="90">
        <v>39</v>
      </c>
      <c r="B52" s="85" t="s">
        <v>205</v>
      </c>
      <c r="C52" s="88">
        <v>1</v>
      </c>
      <c r="D52" s="88" t="s">
        <v>178</v>
      </c>
      <c r="E52" s="218">
        <v>1</v>
      </c>
      <c r="F52" s="93">
        <v>51.9</v>
      </c>
      <c r="G52" s="93">
        <v>59</v>
      </c>
      <c r="H52" s="93">
        <v>32</v>
      </c>
      <c r="I52" s="214">
        <f t="shared" si="10"/>
        <v>47.633333333333333</v>
      </c>
      <c r="J52" s="62">
        <f t="shared" si="11"/>
        <v>47.633333333333333</v>
      </c>
      <c r="K52" s="62">
        <f t="shared" si="12"/>
        <v>571.6</v>
      </c>
      <c r="L52" s="114">
        <f t="shared" si="13"/>
        <v>1429</v>
      </c>
    </row>
    <row r="53" spans="1:12" ht="24" x14ac:dyDescent="0.25">
      <c r="A53" s="90">
        <v>40</v>
      </c>
      <c r="B53" s="85" t="s">
        <v>206</v>
      </c>
      <c r="C53" s="88">
        <v>1</v>
      </c>
      <c r="D53" s="88" t="s">
        <v>178</v>
      </c>
      <c r="E53" s="218">
        <v>1</v>
      </c>
      <c r="F53" s="93">
        <v>44.9</v>
      </c>
      <c r="G53" s="93">
        <v>18.7</v>
      </c>
      <c r="H53" s="93">
        <v>24.9</v>
      </c>
      <c r="I53" s="214">
        <f t="shared" si="10"/>
        <v>29.5</v>
      </c>
      <c r="J53" s="62">
        <f t="shared" si="11"/>
        <v>29.5</v>
      </c>
      <c r="K53" s="62">
        <f t="shared" si="12"/>
        <v>354</v>
      </c>
      <c r="L53" s="114">
        <f t="shared" si="13"/>
        <v>885</v>
      </c>
    </row>
    <row r="54" spans="1:12" x14ac:dyDescent="0.25">
      <c r="A54" s="90">
        <v>41</v>
      </c>
      <c r="B54" s="85" t="s">
        <v>207</v>
      </c>
      <c r="C54" s="88">
        <v>8</v>
      </c>
      <c r="D54" s="88" t="s">
        <v>178</v>
      </c>
      <c r="E54" s="218">
        <v>30</v>
      </c>
      <c r="F54" s="93">
        <v>412.99</v>
      </c>
      <c r="G54" s="93">
        <v>409.19</v>
      </c>
      <c r="H54" s="93">
        <v>149.9</v>
      </c>
      <c r="I54" s="214">
        <f t="shared" si="10"/>
        <v>324.0266666666667</v>
      </c>
      <c r="J54" s="62">
        <f t="shared" si="11"/>
        <v>86.407111111111121</v>
      </c>
      <c r="K54" s="62">
        <f t="shared" si="12"/>
        <v>1036.8853333333334</v>
      </c>
      <c r="L54" s="114">
        <f t="shared" si="13"/>
        <v>2592.2133333333336</v>
      </c>
    </row>
    <row r="55" spans="1:12" ht="24" x14ac:dyDescent="0.25">
      <c r="A55" s="90">
        <v>42</v>
      </c>
      <c r="B55" s="85" t="s">
        <v>208</v>
      </c>
      <c r="C55" s="88">
        <v>1</v>
      </c>
      <c r="D55" s="88" t="s">
        <v>233</v>
      </c>
      <c r="E55" s="218">
        <v>1</v>
      </c>
      <c r="F55" s="93">
        <v>23.8</v>
      </c>
      <c r="G55" s="93">
        <v>21.35</v>
      </c>
      <c r="H55" s="93">
        <v>23.58</v>
      </c>
      <c r="I55" s="214">
        <f t="shared" si="10"/>
        <v>22.91</v>
      </c>
      <c r="J55" s="62">
        <f t="shared" si="11"/>
        <v>22.91</v>
      </c>
      <c r="K55" s="62">
        <f t="shared" si="12"/>
        <v>274.92</v>
      </c>
      <c r="L55" s="114">
        <f t="shared" si="13"/>
        <v>687.3</v>
      </c>
    </row>
    <row r="56" spans="1:12" x14ac:dyDescent="0.25">
      <c r="A56" s="90">
        <v>43</v>
      </c>
      <c r="B56" s="85" t="s">
        <v>209</v>
      </c>
      <c r="C56" s="88">
        <v>2</v>
      </c>
      <c r="D56" s="88" t="s">
        <v>233</v>
      </c>
      <c r="E56" s="218">
        <v>30</v>
      </c>
      <c r="F56" s="93">
        <v>111.88</v>
      </c>
      <c r="G56" s="93">
        <v>131.99</v>
      </c>
      <c r="H56" s="93">
        <v>111.06</v>
      </c>
      <c r="I56" s="214">
        <f t="shared" si="10"/>
        <v>118.31</v>
      </c>
      <c r="J56" s="62">
        <f t="shared" si="11"/>
        <v>7.8873333333333333</v>
      </c>
      <c r="K56" s="62">
        <f t="shared" si="12"/>
        <v>94.647999999999996</v>
      </c>
      <c r="L56" s="114">
        <f t="shared" si="13"/>
        <v>236.62</v>
      </c>
    </row>
    <row r="57" spans="1:12" ht="24" x14ac:dyDescent="0.25">
      <c r="A57" s="90">
        <v>44</v>
      </c>
      <c r="B57" s="85" t="s">
        <v>210</v>
      </c>
      <c r="C57" s="88">
        <v>2</v>
      </c>
      <c r="D57" s="88" t="s">
        <v>233</v>
      </c>
      <c r="E57" s="218">
        <v>1</v>
      </c>
      <c r="F57" s="93">
        <v>12.99</v>
      </c>
      <c r="G57" s="93">
        <v>4.59</v>
      </c>
      <c r="H57" s="93">
        <v>5.79</v>
      </c>
      <c r="I57" s="214">
        <f t="shared" si="10"/>
        <v>7.7899999999999991</v>
      </c>
      <c r="J57" s="62">
        <f t="shared" si="11"/>
        <v>15.579999999999998</v>
      </c>
      <c r="K57" s="62">
        <f t="shared" si="12"/>
        <v>186.95999999999998</v>
      </c>
      <c r="L57" s="114">
        <f t="shared" si="13"/>
        <v>467.4</v>
      </c>
    </row>
    <row r="58" spans="1:12" ht="24" x14ac:dyDescent="0.25">
      <c r="A58" s="90">
        <v>45</v>
      </c>
      <c r="B58" s="85" t="s">
        <v>211</v>
      </c>
      <c r="C58" s="88">
        <v>2</v>
      </c>
      <c r="D58" s="88" t="s">
        <v>178</v>
      </c>
      <c r="E58" s="218">
        <v>1</v>
      </c>
      <c r="F58" s="93">
        <v>10.4</v>
      </c>
      <c r="G58" s="93">
        <v>15.5</v>
      </c>
      <c r="H58" s="93">
        <v>16.899999999999999</v>
      </c>
      <c r="I58" s="214">
        <f t="shared" si="10"/>
        <v>14.266666666666666</v>
      </c>
      <c r="J58" s="62">
        <f t="shared" si="11"/>
        <v>28.533333333333331</v>
      </c>
      <c r="K58" s="62">
        <f t="shared" si="12"/>
        <v>342.4</v>
      </c>
      <c r="L58" s="114">
        <f t="shared" si="13"/>
        <v>856</v>
      </c>
    </row>
    <row r="59" spans="1:12" ht="24" x14ac:dyDescent="0.25">
      <c r="A59" s="90">
        <v>46</v>
      </c>
      <c r="B59" s="85" t="s">
        <v>212</v>
      </c>
      <c r="C59" s="88">
        <v>12</v>
      </c>
      <c r="D59" s="88" t="s">
        <v>233</v>
      </c>
      <c r="E59" s="218">
        <v>12</v>
      </c>
      <c r="F59" s="93">
        <v>14.42</v>
      </c>
      <c r="G59" s="93">
        <v>20.59</v>
      </c>
      <c r="H59" s="93">
        <v>10</v>
      </c>
      <c r="I59" s="214">
        <f t="shared" si="10"/>
        <v>15.003333333333332</v>
      </c>
      <c r="J59" s="62">
        <f t="shared" si="11"/>
        <v>15.003333333333332</v>
      </c>
      <c r="K59" s="62">
        <f t="shared" si="12"/>
        <v>180.04</v>
      </c>
      <c r="L59" s="114">
        <f t="shared" si="13"/>
        <v>450.09999999999997</v>
      </c>
    </row>
    <row r="60" spans="1:12" ht="36" x14ac:dyDescent="0.25">
      <c r="A60" s="90">
        <v>47</v>
      </c>
      <c r="B60" s="85" t="s">
        <v>213</v>
      </c>
      <c r="C60" s="88">
        <v>2</v>
      </c>
      <c r="D60" s="88" t="s">
        <v>178</v>
      </c>
      <c r="E60" s="218">
        <v>1</v>
      </c>
      <c r="F60" s="93">
        <v>69.900000000000006</v>
      </c>
      <c r="G60" s="93">
        <v>98.9</v>
      </c>
      <c r="H60" s="93">
        <v>74.900000000000006</v>
      </c>
      <c r="I60" s="214">
        <f t="shared" si="10"/>
        <v>81.233333333333334</v>
      </c>
      <c r="J60" s="62">
        <f t="shared" si="11"/>
        <v>162.46666666666667</v>
      </c>
      <c r="K60" s="62">
        <f t="shared" si="12"/>
        <v>1949.6</v>
      </c>
      <c r="L60" s="114">
        <f t="shared" si="13"/>
        <v>4874</v>
      </c>
    </row>
    <row r="61" spans="1:12" ht="15.75" x14ac:dyDescent="0.25">
      <c r="A61" s="372" t="s">
        <v>215</v>
      </c>
      <c r="B61" s="372"/>
      <c r="C61" s="372"/>
      <c r="D61" s="372"/>
      <c r="E61" s="372"/>
      <c r="F61" s="372"/>
      <c r="G61" s="372"/>
      <c r="H61" s="372"/>
      <c r="I61" s="372"/>
      <c r="J61" s="69">
        <f>SUM(J49:J60)</f>
        <v>630.87111111111119</v>
      </c>
      <c r="K61" s="69">
        <f t="shared" ref="K61:L61" si="14">SUM(K49:K60)</f>
        <v>7570.4533333333329</v>
      </c>
      <c r="L61" s="69">
        <f t="shared" si="14"/>
        <v>18926.133333333331</v>
      </c>
    </row>
    <row r="63" spans="1:12" x14ac:dyDescent="0.25">
      <c r="A63" s="364" t="s">
        <v>231</v>
      </c>
      <c r="B63" s="365"/>
      <c r="C63" s="365"/>
      <c r="D63" s="365"/>
      <c r="E63" s="365"/>
      <c r="F63" s="365"/>
      <c r="G63" s="365"/>
      <c r="H63" s="365"/>
      <c r="I63" s="365"/>
      <c r="J63" s="365"/>
      <c r="K63" s="365"/>
      <c r="L63" s="365"/>
    </row>
    <row r="64" spans="1:12" x14ac:dyDescent="0.25">
      <c r="F64" s="366" t="s">
        <v>255</v>
      </c>
      <c r="G64" s="367"/>
      <c r="H64" s="367"/>
      <c r="I64" s="368"/>
      <c r="J64" s="369"/>
      <c r="K64" s="370"/>
      <c r="L64" s="371"/>
    </row>
    <row r="65" spans="1:12" ht="24" x14ac:dyDescent="0.25">
      <c r="A65" s="60" t="s">
        <v>138</v>
      </c>
      <c r="B65" s="60" t="s">
        <v>139</v>
      </c>
      <c r="C65" s="60" t="s">
        <v>140</v>
      </c>
      <c r="D65" s="95" t="s">
        <v>183</v>
      </c>
      <c r="E65" s="216" t="s">
        <v>256</v>
      </c>
      <c r="F65" s="60" t="s">
        <v>141</v>
      </c>
      <c r="G65" s="60" t="s">
        <v>142</v>
      </c>
      <c r="H65" s="60" t="s">
        <v>143</v>
      </c>
      <c r="I65" s="60" t="s">
        <v>144</v>
      </c>
      <c r="J65" s="60" t="s">
        <v>145</v>
      </c>
      <c r="K65" s="112" t="s">
        <v>257</v>
      </c>
      <c r="L65" s="113" t="s">
        <v>258</v>
      </c>
    </row>
    <row r="66" spans="1:12" ht="24" x14ac:dyDescent="0.25">
      <c r="A66" s="401">
        <v>48</v>
      </c>
      <c r="B66" s="402" t="s">
        <v>377</v>
      </c>
      <c r="C66" s="403">
        <v>2</v>
      </c>
      <c r="D66" s="403" t="s">
        <v>178</v>
      </c>
      <c r="E66" s="404">
        <v>30</v>
      </c>
      <c r="F66" s="93">
        <v>109</v>
      </c>
      <c r="G66" s="93">
        <v>135.99</v>
      </c>
      <c r="H66" s="93">
        <v>137.84</v>
      </c>
      <c r="I66" s="94">
        <f t="shared" ref="I66:I80" si="15">AVERAGE(F66:H66)</f>
        <v>127.61000000000001</v>
      </c>
      <c r="J66" s="62">
        <f t="shared" ref="J66:J80" si="16">I66*C66/E66</f>
        <v>8.5073333333333334</v>
      </c>
      <c r="K66" s="62">
        <f t="shared" ref="K66:K80" si="17">J66*12</f>
        <v>102.08799999999999</v>
      </c>
      <c r="L66" s="114">
        <f t="shared" ref="L66:L80" si="18">J66*30</f>
        <v>255.22</v>
      </c>
    </row>
    <row r="67" spans="1:12" ht="24" x14ac:dyDescent="0.25">
      <c r="A67" s="90">
        <v>49</v>
      </c>
      <c r="B67" s="85" t="s">
        <v>216</v>
      </c>
      <c r="C67" s="88">
        <v>1</v>
      </c>
      <c r="D67" s="88" t="s">
        <v>178</v>
      </c>
      <c r="E67" s="218">
        <v>30</v>
      </c>
      <c r="F67" s="93">
        <v>269.89999999999998</v>
      </c>
      <c r="G67" s="93">
        <v>470</v>
      </c>
      <c r="H67" s="93">
        <v>289.89999999999998</v>
      </c>
      <c r="I67" s="94">
        <f t="shared" si="15"/>
        <v>343.26666666666665</v>
      </c>
      <c r="J67" s="62">
        <f t="shared" si="16"/>
        <v>11.442222222222222</v>
      </c>
      <c r="K67" s="62">
        <f t="shared" si="17"/>
        <v>137.30666666666667</v>
      </c>
      <c r="L67" s="114">
        <f t="shared" si="18"/>
        <v>343.26666666666665</v>
      </c>
    </row>
    <row r="68" spans="1:12" x14ac:dyDescent="0.25">
      <c r="A68" s="90">
        <v>50</v>
      </c>
      <c r="B68" s="85" t="s">
        <v>217</v>
      </c>
      <c r="C68" s="88">
        <v>1</v>
      </c>
      <c r="D68" s="88" t="s">
        <v>178</v>
      </c>
      <c r="E68" s="218">
        <v>30</v>
      </c>
      <c r="F68" s="93">
        <v>449</v>
      </c>
      <c r="G68" s="93">
        <v>428.08</v>
      </c>
      <c r="H68" s="93">
        <v>429.9</v>
      </c>
      <c r="I68" s="94">
        <f t="shared" si="15"/>
        <v>435.66</v>
      </c>
      <c r="J68" s="62">
        <f t="shared" si="16"/>
        <v>14.522</v>
      </c>
      <c r="K68" s="62">
        <f t="shared" si="17"/>
        <v>174.26400000000001</v>
      </c>
      <c r="L68" s="114">
        <f t="shared" si="18"/>
        <v>435.66</v>
      </c>
    </row>
    <row r="69" spans="1:12" x14ac:dyDescent="0.25">
      <c r="A69" s="90">
        <v>51</v>
      </c>
      <c r="B69" s="85" t="s">
        <v>218</v>
      </c>
      <c r="C69" s="88">
        <v>3</v>
      </c>
      <c r="D69" s="88" t="s">
        <v>178</v>
      </c>
      <c r="E69" s="218">
        <v>1</v>
      </c>
      <c r="F69" s="93">
        <v>115</v>
      </c>
      <c r="G69" s="96">
        <v>113</v>
      </c>
      <c r="H69" s="97">
        <v>120</v>
      </c>
      <c r="I69" s="94">
        <f t="shared" si="15"/>
        <v>116</v>
      </c>
      <c r="J69" s="62">
        <f t="shared" si="16"/>
        <v>348</v>
      </c>
      <c r="K69" s="62">
        <f t="shared" si="17"/>
        <v>4176</v>
      </c>
      <c r="L69" s="114">
        <f t="shared" si="18"/>
        <v>10440</v>
      </c>
    </row>
    <row r="70" spans="1:12" ht="24.75" x14ac:dyDescent="0.25">
      <c r="A70" s="90">
        <v>52</v>
      </c>
      <c r="B70" s="159" t="s">
        <v>219</v>
      </c>
      <c r="C70" s="154">
        <v>1</v>
      </c>
      <c r="D70" s="154" t="s">
        <v>170</v>
      </c>
      <c r="E70" s="154">
        <v>30</v>
      </c>
      <c r="F70" s="155">
        <v>39.97</v>
      </c>
      <c r="G70" s="155">
        <v>72.739999999999995</v>
      </c>
      <c r="H70" s="155">
        <v>71.760000000000005</v>
      </c>
      <c r="I70" s="156">
        <f t="shared" si="15"/>
        <v>61.49</v>
      </c>
      <c r="J70" s="157">
        <f t="shared" si="16"/>
        <v>2.0496666666666665</v>
      </c>
      <c r="K70" s="157">
        <f t="shared" si="17"/>
        <v>24.595999999999997</v>
      </c>
      <c r="L70" s="158">
        <f t="shared" si="18"/>
        <v>61.489999999999995</v>
      </c>
    </row>
    <row r="71" spans="1:12" ht="24" x14ac:dyDescent="0.25">
      <c r="A71" s="90">
        <v>53</v>
      </c>
      <c r="B71" s="85" t="s">
        <v>220</v>
      </c>
      <c r="C71" s="88">
        <v>1</v>
      </c>
      <c r="D71" s="88" t="s">
        <v>178</v>
      </c>
      <c r="E71" s="218">
        <v>30</v>
      </c>
      <c r="F71" s="93">
        <v>519.5</v>
      </c>
      <c r="G71" s="93">
        <v>547.96</v>
      </c>
      <c r="H71" s="93">
        <v>514.9</v>
      </c>
      <c r="I71" s="94">
        <f t="shared" si="15"/>
        <v>527.45333333333338</v>
      </c>
      <c r="J71" s="62">
        <f t="shared" si="16"/>
        <v>17.581777777777781</v>
      </c>
      <c r="K71" s="62">
        <f t="shared" si="17"/>
        <v>210.98133333333337</v>
      </c>
      <c r="L71" s="114">
        <f t="shared" si="18"/>
        <v>527.45333333333338</v>
      </c>
    </row>
    <row r="72" spans="1:12" ht="48" x14ac:dyDescent="0.25">
      <c r="A72" s="90">
        <v>54</v>
      </c>
      <c r="B72" s="159" t="s">
        <v>221</v>
      </c>
      <c r="C72" s="154">
        <v>1</v>
      </c>
      <c r="D72" s="154" t="s">
        <v>222</v>
      </c>
      <c r="E72" s="154">
        <v>30</v>
      </c>
      <c r="F72" s="155">
        <v>900</v>
      </c>
      <c r="G72" s="155">
        <v>1948.43</v>
      </c>
      <c r="H72" s="155">
        <v>939</v>
      </c>
      <c r="I72" s="156">
        <f t="shared" si="15"/>
        <v>1262.4766666666667</v>
      </c>
      <c r="J72" s="157">
        <f t="shared" si="16"/>
        <v>42.082555555555558</v>
      </c>
      <c r="K72" s="157">
        <f t="shared" si="17"/>
        <v>504.9906666666667</v>
      </c>
      <c r="L72" s="158">
        <f t="shared" si="18"/>
        <v>1262.4766666666667</v>
      </c>
    </row>
    <row r="73" spans="1:12" ht="24" x14ac:dyDescent="0.25">
      <c r="A73" s="90">
        <v>55</v>
      </c>
      <c r="B73" s="85" t="s">
        <v>223</v>
      </c>
      <c r="C73" s="88">
        <v>1</v>
      </c>
      <c r="D73" s="88" t="s">
        <v>178</v>
      </c>
      <c r="E73" s="218">
        <v>30</v>
      </c>
      <c r="F73" s="93">
        <v>117.18</v>
      </c>
      <c r="G73" s="93">
        <v>92.99</v>
      </c>
      <c r="H73" s="93">
        <v>94.9</v>
      </c>
      <c r="I73" s="94">
        <f t="shared" si="15"/>
        <v>101.69000000000001</v>
      </c>
      <c r="J73" s="62">
        <f t="shared" si="16"/>
        <v>3.3896666666666673</v>
      </c>
      <c r="K73" s="62">
        <f t="shared" si="17"/>
        <v>40.676000000000009</v>
      </c>
      <c r="L73" s="114">
        <f t="shared" si="18"/>
        <v>101.69000000000001</v>
      </c>
    </row>
    <row r="74" spans="1:12" ht="24" x14ac:dyDescent="0.25">
      <c r="A74" s="90">
        <v>56</v>
      </c>
      <c r="B74" s="85" t="s">
        <v>224</v>
      </c>
      <c r="C74" s="88">
        <v>6</v>
      </c>
      <c r="D74" s="88" t="s">
        <v>178</v>
      </c>
      <c r="E74" s="218">
        <v>30</v>
      </c>
      <c r="F74" s="93">
        <v>37.99</v>
      </c>
      <c r="G74" s="93">
        <v>55</v>
      </c>
      <c r="H74" s="93">
        <v>41.99</v>
      </c>
      <c r="I74" s="94">
        <f t="shared" si="15"/>
        <v>44.993333333333339</v>
      </c>
      <c r="J74" s="62">
        <f t="shared" si="16"/>
        <v>8.9986666666666686</v>
      </c>
      <c r="K74" s="62">
        <f t="shared" si="17"/>
        <v>107.98400000000002</v>
      </c>
      <c r="L74" s="114">
        <f t="shared" si="18"/>
        <v>269.96000000000004</v>
      </c>
    </row>
    <row r="75" spans="1:12" ht="60" x14ac:dyDescent="0.25">
      <c r="A75" s="90">
        <v>57</v>
      </c>
      <c r="B75" s="85" t="s">
        <v>225</v>
      </c>
      <c r="C75" s="88">
        <v>6</v>
      </c>
      <c r="D75" s="88" t="s">
        <v>178</v>
      </c>
      <c r="E75" s="218">
        <v>30</v>
      </c>
      <c r="F75" s="93">
        <v>89.9</v>
      </c>
      <c r="G75" s="93">
        <v>85.54</v>
      </c>
      <c r="H75" s="93">
        <v>129.9</v>
      </c>
      <c r="I75" s="94">
        <f t="shared" si="15"/>
        <v>101.78000000000002</v>
      </c>
      <c r="J75" s="62">
        <f t="shared" si="16"/>
        <v>20.356000000000002</v>
      </c>
      <c r="K75" s="62">
        <f t="shared" si="17"/>
        <v>244.27200000000002</v>
      </c>
      <c r="L75" s="114">
        <f t="shared" si="18"/>
        <v>610.68000000000006</v>
      </c>
    </row>
    <row r="76" spans="1:12" ht="36" x14ac:dyDescent="0.25">
      <c r="A76" s="90">
        <v>58</v>
      </c>
      <c r="B76" s="85" t="s">
        <v>226</v>
      </c>
      <c r="C76" s="88">
        <v>6</v>
      </c>
      <c r="D76" s="88" t="s">
        <v>178</v>
      </c>
      <c r="E76" s="218">
        <v>30</v>
      </c>
      <c r="F76" s="93">
        <v>40</v>
      </c>
      <c r="G76" s="93">
        <v>90</v>
      </c>
      <c r="H76" s="93">
        <v>38.799999999999997</v>
      </c>
      <c r="I76" s="94">
        <f t="shared" si="15"/>
        <v>56.266666666666673</v>
      </c>
      <c r="J76" s="62">
        <f t="shared" si="16"/>
        <v>11.253333333333334</v>
      </c>
      <c r="K76" s="62">
        <f t="shared" si="17"/>
        <v>135.04000000000002</v>
      </c>
      <c r="L76" s="114">
        <f t="shared" si="18"/>
        <v>337.6</v>
      </c>
    </row>
    <row r="77" spans="1:12" x14ac:dyDescent="0.25">
      <c r="A77" s="90">
        <v>59</v>
      </c>
      <c r="B77" s="98" t="s">
        <v>227</v>
      </c>
      <c r="C77" s="88">
        <v>1</v>
      </c>
      <c r="D77" s="88" t="s">
        <v>178</v>
      </c>
      <c r="E77" s="218">
        <v>30</v>
      </c>
      <c r="F77" s="93">
        <v>229.9</v>
      </c>
      <c r="G77" s="93">
        <v>375.44</v>
      </c>
      <c r="H77" s="93">
        <v>435.23</v>
      </c>
      <c r="I77" s="94">
        <f t="shared" si="15"/>
        <v>346.85666666666674</v>
      </c>
      <c r="J77" s="62">
        <f t="shared" si="16"/>
        <v>11.561888888888891</v>
      </c>
      <c r="K77" s="62">
        <f t="shared" si="17"/>
        <v>138.74266666666671</v>
      </c>
      <c r="L77" s="114">
        <f t="shared" si="18"/>
        <v>346.85666666666674</v>
      </c>
    </row>
    <row r="78" spans="1:12" x14ac:dyDescent="0.25">
      <c r="A78" s="90">
        <v>60</v>
      </c>
      <c r="B78" s="153" t="s">
        <v>228</v>
      </c>
      <c r="C78" s="154">
        <v>1</v>
      </c>
      <c r="D78" s="154" t="s">
        <v>178</v>
      </c>
      <c r="E78" s="154">
        <v>30</v>
      </c>
      <c r="F78" s="155">
        <v>791.28</v>
      </c>
      <c r="G78" s="155">
        <v>899</v>
      </c>
      <c r="H78" s="155">
        <v>729.9</v>
      </c>
      <c r="I78" s="156">
        <f t="shared" si="15"/>
        <v>806.72666666666657</v>
      </c>
      <c r="J78" s="157">
        <f t="shared" si="16"/>
        <v>26.890888888888885</v>
      </c>
      <c r="K78" s="157">
        <f t="shared" si="17"/>
        <v>322.69066666666663</v>
      </c>
      <c r="L78" s="158">
        <f t="shared" si="18"/>
        <v>806.72666666666657</v>
      </c>
    </row>
    <row r="79" spans="1:12" ht="48" x14ac:dyDescent="0.25">
      <c r="A79" s="90">
        <v>61</v>
      </c>
      <c r="B79" s="159" t="s">
        <v>229</v>
      </c>
      <c r="C79" s="154">
        <v>1</v>
      </c>
      <c r="D79" s="154" t="s">
        <v>178</v>
      </c>
      <c r="E79" s="154">
        <v>30</v>
      </c>
      <c r="F79" s="155">
        <v>403.26</v>
      </c>
      <c r="G79" s="155">
        <v>379.95</v>
      </c>
      <c r="H79" s="155">
        <v>275.41000000000003</v>
      </c>
      <c r="I79" s="156">
        <f t="shared" si="15"/>
        <v>352.87333333333339</v>
      </c>
      <c r="J79" s="157">
        <f t="shared" si="16"/>
        <v>11.762444444444446</v>
      </c>
      <c r="K79" s="157">
        <f t="shared" si="17"/>
        <v>141.14933333333335</v>
      </c>
      <c r="L79" s="158">
        <f t="shared" si="18"/>
        <v>352.87333333333339</v>
      </c>
    </row>
    <row r="80" spans="1:12" ht="48" x14ac:dyDescent="0.25">
      <c r="A80" s="90">
        <v>62</v>
      </c>
      <c r="B80" s="159" t="s">
        <v>230</v>
      </c>
      <c r="C80" s="154">
        <v>1</v>
      </c>
      <c r="D80" s="154" t="s">
        <v>178</v>
      </c>
      <c r="E80" s="154">
        <v>30</v>
      </c>
      <c r="F80" s="155">
        <v>2473.5</v>
      </c>
      <c r="G80" s="155">
        <v>2468.7399999999998</v>
      </c>
      <c r="H80" s="155">
        <v>2742.71</v>
      </c>
      <c r="I80" s="156">
        <f t="shared" si="15"/>
        <v>2561.65</v>
      </c>
      <c r="J80" s="157">
        <f t="shared" si="16"/>
        <v>85.388333333333335</v>
      </c>
      <c r="K80" s="157">
        <f t="shared" si="17"/>
        <v>1024.6600000000001</v>
      </c>
      <c r="L80" s="158">
        <f t="shared" si="18"/>
        <v>2561.65</v>
      </c>
    </row>
    <row r="81" spans="1:15" ht="15.75" x14ac:dyDescent="0.25">
      <c r="A81" s="372" t="s">
        <v>232</v>
      </c>
      <c r="B81" s="372"/>
      <c r="C81" s="372"/>
      <c r="D81" s="372"/>
      <c r="E81" s="372"/>
      <c r="F81" s="372"/>
      <c r="G81" s="372"/>
      <c r="H81" s="372"/>
      <c r="I81" s="372"/>
      <c r="J81" s="69">
        <f>SUM(J65:J80)</f>
        <v>623.78677777777773</v>
      </c>
      <c r="K81" s="69">
        <f t="shared" ref="K81:L81" si="19">SUM(K65:K80)</f>
        <v>7485.4413333333332</v>
      </c>
      <c r="L81" s="69">
        <f t="shared" si="19"/>
        <v>18713.603333333336</v>
      </c>
    </row>
    <row r="82" spans="1:15" x14ac:dyDescent="0.25">
      <c r="O82" s="68"/>
    </row>
    <row r="83" spans="1:15" ht="18.75" x14ac:dyDescent="0.3">
      <c r="K83" s="235" t="s">
        <v>367</v>
      </c>
      <c r="L83" s="235" t="s">
        <v>368</v>
      </c>
      <c r="M83" s="235" t="s">
        <v>369</v>
      </c>
      <c r="O83" s="68"/>
    </row>
    <row r="84" spans="1:15" x14ac:dyDescent="0.25">
      <c r="H84" t="s">
        <v>365</v>
      </c>
      <c r="K84" s="94">
        <f>K81+K61+K45+K21</f>
        <v>27042.941333333336</v>
      </c>
      <c r="L84" s="93">
        <f>J81+J61+J45+J21</f>
        <v>2253.5784444444444</v>
      </c>
      <c r="M84" s="93">
        <f>L81+L61+L45+L21</f>
        <v>67607.353333333333</v>
      </c>
      <c r="O84" s="68"/>
    </row>
    <row r="85" spans="1:15" ht="18.75" x14ac:dyDescent="0.3">
      <c r="H85" t="s">
        <v>364</v>
      </c>
      <c r="J85" s="215" t="s">
        <v>366</v>
      </c>
      <c r="K85" s="156">
        <f>K80+K79+K78+K72+K70</f>
        <v>2018.0866666666666</v>
      </c>
      <c r="L85" s="155">
        <f>J80+J79+J78+J72+J70</f>
        <v>168.17388888888888</v>
      </c>
      <c r="M85" s="155">
        <f>L80+L79+L78+L72+L70</f>
        <v>5045.2166666666662</v>
      </c>
      <c r="O85" s="68"/>
    </row>
    <row r="86" spans="1:15" ht="15.75" x14ac:dyDescent="0.25">
      <c r="I86" s="238" t="s">
        <v>374</v>
      </c>
      <c r="J86" s="239"/>
      <c r="K86" s="237">
        <f>K84-K85</f>
        <v>25024.85466666667</v>
      </c>
      <c r="L86" s="233">
        <f>L84-L85</f>
        <v>2085.4045555555554</v>
      </c>
      <c r="M86" s="234">
        <f>M84-M85</f>
        <v>62562.136666666665</v>
      </c>
      <c r="O86" s="68"/>
    </row>
    <row r="87" spans="1:15" ht="15.75" x14ac:dyDescent="0.25">
      <c r="I87" s="197"/>
      <c r="J87" s="197"/>
      <c r="K87" s="198"/>
      <c r="L87" s="162"/>
    </row>
    <row r="88" spans="1:15" x14ac:dyDescent="0.25">
      <c r="C88" s="206" t="s">
        <v>348</v>
      </c>
      <c r="D88" s="207"/>
      <c r="E88" s="202"/>
    </row>
    <row r="89" spans="1:15" x14ac:dyDescent="0.25">
      <c r="B89" s="166" t="s">
        <v>7</v>
      </c>
      <c r="C89" s="166" t="s">
        <v>9</v>
      </c>
      <c r="D89" s="167" t="s">
        <v>12</v>
      </c>
      <c r="E89" s="166" t="s">
        <v>14</v>
      </c>
      <c r="F89" s="166" t="s">
        <v>37</v>
      </c>
      <c r="G89" s="166" t="s">
        <v>39</v>
      </c>
      <c r="H89" s="166" t="s">
        <v>41</v>
      </c>
      <c r="I89" s="166" t="s">
        <v>327</v>
      </c>
      <c r="J89" s="166" t="s">
        <v>63</v>
      </c>
      <c r="K89" s="166" t="s">
        <v>328</v>
      </c>
      <c r="L89" s="166" t="s">
        <v>329</v>
      </c>
      <c r="M89" s="166" t="s">
        <v>329</v>
      </c>
      <c r="N89" s="168"/>
    </row>
    <row r="90" spans="1:15" ht="105" x14ac:dyDescent="0.25">
      <c r="B90" s="113" t="s">
        <v>322</v>
      </c>
      <c r="C90" s="113" t="s">
        <v>323</v>
      </c>
      <c r="D90" s="113" t="s">
        <v>324</v>
      </c>
      <c r="E90" s="113" t="s">
        <v>141</v>
      </c>
      <c r="F90" s="113" t="s">
        <v>142</v>
      </c>
      <c r="G90" s="113" t="s">
        <v>143</v>
      </c>
      <c r="H90" s="221" t="s">
        <v>326</v>
      </c>
      <c r="I90" s="219" t="s">
        <v>358</v>
      </c>
      <c r="J90" s="113" t="s">
        <v>330</v>
      </c>
      <c r="K90" s="113" t="s">
        <v>359</v>
      </c>
      <c r="L90" s="113" t="s">
        <v>325</v>
      </c>
      <c r="M90" s="113" t="s">
        <v>331</v>
      </c>
      <c r="N90" s="169"/>
    </row>
    <row r="91" spans="1:15" ht="24.75" x14ac:dyDescent="0.25">
      <c r="B91" s="159" t="s">
        <v>219</v>
      </c>
      <c r="C91" s="154">
        <v>1</v>
      </c>
      <c r="D91" s="154" t="s">
        <v>170</v>
      </c>
      <c r="E91" s="155">
        <v>39.97</v>
      </c>
      <c r="F91" s="155">
        <v>72.739999999999995</v>
      </c>
      <c r="G91" s="155">
        <v>71.760000000000005</v>
      </c>
      <c r="H91" s="156">
        <f t="shared" ref="H91" si="20">AVERAGE(E91:G91)</f>
        <v>61.49</v>
      </c>
      <c r="I91" s="220">
        <v>0.1</v>
      </c>
      <c r="J91" s="212">
        <v>120</v>
      </c>
      <c r="K91" s="161">
        <f>(((C91*(H91-(H91*I91))))/J91)</f>
        <v>0.461175</v>
      </c>
      <c r="L91" s="160">
        <f>K91*12</f>
        <v>5.5341000000000005</v>
      </c>
      <c r="M91" s="160">
        <f>K91*30</f>
        <v>13.83525</v>
      </c>
      <c r="N91" s="169"/>
    </row>
    <row r="92" spans="1:15" ht="48" x14ac:dyDescent="0.25">
      <c r="B92" s="159" t="s">
        <v>221</v>
      </c>
      <c r="C92" s="154">
        <v>1</v>
      </c>
      <c r="D92" s="154" t="s">
        <v>222</v>
      </c>
      <c r="E92" s="155">
        <v>900</v>
      </c>
      <c r="F92" s="155">
        <v>1948.43</v>
      </c>
      <c r="G92" s="155">
        <v>939</v>
      </c>
      <c r="H92" s="156">
        <f t="shared" ref="H92" si="21">AVERAGE(E92:G92)</f>
        <v>1262.4766666666667</v>
      </c>
      <c r="I92" s="220">
        <f>I91</f>
        <v>0.1</v>
      </c>
      <c r="J92" s="165">
        <f>J91</f>
        <v>120</v>
      </c>
      <c r="K92" s="161">
        <f t="shared" ref="K92:K95" si="22">(((C92*(H92-(H92*I92))))/J92)</f>
        <v>9.4685749999999995</v>
      </c>
      <c r="L92" s="160">
        <f>K92*12</f>
        <v>113.62289999999999</v>
      </c>
      <c r="M92" s="160">
        <f>K92*30</f>
        <v>284.05725000000001</v>
      </c>
      <c r="N92" s="210"/>
    </row>
    <row r="93" spans="1:15" x14ac:dyDescent="0.25">
      <c r="B93" s="153" t="s">
        <v>228</v>
      </c>
      <c r="C93" s="154">
        <v>1</v>
      </c>
      <c r="D93" s="154" t="s">
        <v>178</v>
      </c>
      <c r="E93" s="155">
        <v>791.28</v>
      </c>
      <c r="F93" s="155">
        <v>899</v>
      </c>
      <c r="G93" s="155">
        <v>729.9</v>
      </c>
      <c r="H93" s="156">
        <f t="shared" ref="H93:H95" si="23">AVERAGE(E93:G93)</f>
        <v>806.72666666666657</v>
      </c>
      <c r="I93" s="220">
        <f t="shared" ref="I93:I95" si="24">I92</f>
        <v>0.1</v>
      </c>
      <c r="J93" s="165">
        <f t="shared" ref="J93:J95" si="25">J92</f>
        <v>120</v>
      </c>
      <c r="K93" s="161">
        <f t="shared" si="22"/>
        <v>6.0504499999999988</v>
      </c>
      <c r="L93" s="160">
        <f t="shared" ref="L93:L95" si="26">K93*12</f>
        <v>72.605399999999989</v>
      </c>
      <c r="M93" s="160">
        <f t="shared" ref="M93:M95" si="27">K93*30</f>
        <v>181.51349999999996</v>
      </c>
      <c r="N93" s="169"/>
    </row>
    <row r="94" spans="1:15" ht="48" x14ac:dyDescent="0.25">
      <c r="B94" s="159" t="s">
        <v>229</v>
      </c>
      <c r="C94" s="154">
        <v>1</v>
      </c>
      <c r="D94" s="154" t="s">
        <v>178</v>
      </c>
      <c r="E94" s="155">
        <v>403.26</v>
      </c>
      <c r="F94" s="155">
        <v>379.95</v>
      </c>
      <c r="G94" s="155">
        <v>275.41000000000003</v>
      </c>
      <c r="H94" s="156">
        <f t="shared" si="23"/>
        <v>352.87333333333339</v>
      </c>
      <c r="I94" s="220">
        <f t="shared" si="24"/>
        <v>0.1</v>
      </c>
      <c r="J94" s="165">
        <f t="shared" si="25"/>
        <v>120</v>
      </c>
      <c r="K94" s="161">
        <f t="shared" si="22"/>
        <v>2.6465500000000004</v>
      </c>
      <c r="L94" s="160">
        <f t="shared" si="26"/>
        <v>31.758600000000005</v>
      </c>
      <c r="M94" s="160">
        <f t="shared" si="27"/>
        <v>79.396500000000017</v>
      </c>
      <c r="N94" s="169"/>
    </row>
    <row r="95" spans="1:15" ht="48" x14ac:dyDescent="0.25">
      <c r="B95" s="159" t="s">
        <v>230</v>
      </c>
      <c r="C95" s="154">
        <v>1</v>
      </c>
      <c r="D95" s="154" t="s">
        <v>178</v>
      </c>
      <c r="E95" s="155">
        <v>2473.5</v>
      </c>
      <c r="F95" s="155">
        <v>2468.7399999999998</v>
      </c>
      <c r="G95" s="155">
        <v>2742.71</v>
      </c>
      <c r="H95" s="156">
        <f t="shared" si="23"/>
        <v>2561.65</v>
      </c>
      <c r="I95" s="220">
        <f t="shared" si="24"/>
        <v>0.1</v>
      </c>
      <c r="J95" s="165">
        <f t="shared" si="25"/>
        <v>120</v>
      </c>
      <c r="K95" s="161">
        <f t="shared" si="22"/>
        <v>19.212375000000002</v>
      </c>
      <c r="L95" s="160">
        <f t="shared" si="26"/>
        <v>230.54850000000002</v>
      </c>
      <c r="M95" s="160">
        <f t="shared" si="27"/>
        <v>576.37125000000003</v>
      </c>
      <c r="N95" s="170"/>
    </row>
    <row r="96" spans="1:15" ht="15.75" x14ac:dyDescent="0.25">
      <c r="B96" s="373" t="s">
        <v>128</v>
      </c>
      <c r="C96" s="374"/>
      <c r="D96" s="374"/>
      <c r="E96" s="374"/>
      <c r="F96" s="374"/>
      <c r="G96" s="374"/>
      <c r="H96" s="375"/>
      <c r="I96" s="165"/>
      <c r="J96" s="165"/>
      <c r="K96" s="236">
        <f>SUM(K91:K95)</f>
        <v>37.839125000000003</v>
      </c>
      <c r="L96" s="236">
        <f t="shared" ref="L96:M96" si="28">SUM(L91:L95)</f>
        <v>454.06949999999995</v>
      </c>
      <c r="M96" s="236">
        <f t="shared" si="28"/>
        <v>1135.1737499999999</v>
      </c>
      <c r="N96" s="171"/>
    </row>
    <row r="98" spans="2:13" ht="15.75" x14ac:dyDescent="0.25">
      <c r="E98" s="163"/>
      <c r="K98" s="208" t="s">
        <v>332</v>
      </c>
      <c r="L98" s="209" t="s">
        <v>333</v>
      </c>
      <c r="M98" s="209">
        <f>L96</f>
        <v>454.06949999999995</v>
      </c>
    </row>
    <row r="100" spans="2:13" x14ac:dyDescent="0.25">
      <c r="B100" s="225" t="s">
        <v>356</v>
      </c>
      <c r="E100" s="164"/>
    </row>
    <row r="101" spans="2:13" ht="25.5" x14ac:dyDescent="0.25">
      <c r="B101" s="226" t="s">
        <v>351</v>
      </c>
    </row>
    <row r="102" spans="2:13" x14ac:dyDescent="0.25">
      <c r="B102" s="227" t="s">
        <v>352</v>
      </c>
    </row>
    <row r="103" spans="2:13" x14ac:dyDescent="0.25">
      <c r="B103" s="227" t="s">
        <v>353</v>
      </c>
    </row>
    <row r="104" spans="2:13" x14ac:dyDescent="0.25">
      <c r="B104" s="227" t="s">
        <v>354</v>
      </c>
    </row>
    <row r="105" spans="2:13" x14ac:dyDescent="0.25">
      <c r="B105" s="228" t="s">
        <v>355</v>
      </c>
    </row>
    <row r="106" spans="2:13" x14ac:dyDescent="0.25">
      <c r="B106" s="222"/>
    </row>
    <row r="108" spans="2:13" ht="25.5" x14ac:dyDescent="0.25">
      <c r="B108" s="223" t="s">
        <v>360</v>
      </c>
    </row>
    <row r="109" spans="2:13" ht="65.45" customHeight="1" x14ac:dyDescent="0.25">
      <c r="B109" s="224" t="s">
        <v>357</v>
      </c>
    </row>
    <row r="111" spans="2:13" ht="105" x14ac:dyDescent="0.25">
      <c r="B111" s="229" t="s">
        <v>361</v>
      </c>
    </row>
    <row r="112" spans="2:13" ht="28.9" customHeight="1" x14ac:dyDescent="0.25">
      <c r="B112" s="232" t="s">
        <v>363</v>
      </c>
    </row>
    <row r="113" spans="2:2" x14ac:dyDescent="0.25">
      <c r="B113" s="231"/>
    </row>
    <row r="114" spans="2:2" ht="188.45" customHeight="1" x14ac:dyDescent="0.25">
      <c r="B114" s="230" t="s">
        <v>362</v>
      </c>
    </row>
  </sheetData>
  <mergeCells count="17">
    <mergeCell ref="A1:L1"/>
    <mergeCell ref="F2:I2"/>
    <mergeCell ref="J2:L2"/>
    <mergeCell ref="A21:I21"/>
    <mergeCell ref="A23:L23"/>
    <mergeCell ref="A63:L63"/>
    <mergeCell ref="F24:I24"/>
    <mergeCell ref="J24:L24"/>
    <mergeCell ref="A45:I45"/>
    <mergeCell ref="B96:H96"/>
    <mergeCell ref="F64:I64"/>
    <mergeCell ref="J64:L64"/>
    <mergeCell ref="A81:I81"/>
    <mergeCell ref="A47:L47"/>
    <mergeCell ref="F48:I48"/>
    <mergeCell ref="J48:L48"/>
    <mergeCell ref="A61:I6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F8CA7-9F53-43BE-9F4B-789E9E10E20A}">
  <sheetPr>
    <tabColor theme="8" tint="0.59999389629810485"/>
  </sheetPr>
  <dimension ref="A1:J18"/>
  <sheetViews>
    <sheetView showGridLines="0" topLeftCell="A7" workbookViewId="0">
      <selection activeCell="B11" sqref="B11"/>
    </sheetView>
  </sheetViews>
  <sheetFormatPr defaultRowHeight="15" x14ac:dyDescent="0.25"/>
  <cols>
    <col min="2" max="2" width="59" customWidth="1"/>
    <col min="3" max="4" width="13.7109375" customWidth="1"/>
    <col min="5" max="5" width="14.28515625" customWidth="1"/>
    <col min="6" max="6" width="13.28515625" customWidth="1"/>
    <col min="7" max="7" width="16.140625" customWidth="1"/>
    <col min="8" max="8" width="16.5703125" customWidth="1"/>
    <col min="9" max="9" width="17.5703125" customWidth="1"/>
    <col min="10" max="10" width="16.140625" bestFit="1" customWidth="1"/>
  </cols>
  <sheetData>
    <row r="1" spans="1:10" x14ac:dyDescent="0.25">
      <c r="A1" s="382" t="s">
        <v>259</v>
      </c>
      <c r="B1" s="383"/>
      <c r="C1" s="383"/>
      <c r="D1" s="383"/>
      <c r="E1" s="383"/>
      <c r="F1" s="383"/>
      <c r="G1" s="383"/>
      <c r="H1" s="383"/>
      <c r="I1" s="383"/>
      <c r="J1" s="383"/>
    </row>
    <row r="2" spans="1:10" s="63" customFormat="1" x14ac:dyDescent="0.25">
      <c r="A2" s="107"/>
      <c r="B2" s="107"/>
      <c r="C2" s="107"/>
      <c r="D2" s="384" t="s">
        <v>260</v>
      </c>
      <c r="E2" s="385"/>
      <c r="F2" s="385"/>
      <c r="G2" s="386"/>
      <c r="H2" s="384" t="s">
        <v>261</v>
      </c>
      <c r="I2" s="385"/>
      <c r="J2" s="386"/>
    </row>
    <row r="3" spans="1:10" s="63" customFormat="1" ht="15.75" x14ac:dyDescent="0.25">
      <c r="A3" s="71" t="s">
        <v>138</v>
      </c>
      <c r="B3" s="84" t="s">
        <v>146</v>
      </c>
      <c r="C3" s="84" t="s">
        <v>147</v>
      </c>
      <c r="D3" s="84" t="s">
        <v>141</v>
      </c>
      <c r="E3" s="84" t="s">
        <v>142</v>
      </c>
      <c r="F3" s="84" t="s">
        <v>143</v>
      </c>
      <c r="G3" s="65" t="s">
        <v>144</v>
      </c>
      <c r="H3" s="66" t="s">
        <v>262</v>
      </c>
      <c r="I3" s="66" t="s">
        <v>263</v>
      </c>
      <c r="J3" s="116" t="s">
        <v>264</v>
      </c>
    </row>
    <row r="4" spans="1:10" s="63" customFormat="1" ht="72" x14ac:dyDescent="0.25">
      <c r="A4" s="64">
        <v>1</v>
      </c>
      <c r="B4" s="85" t="s">
        <v>149</v>
      </c>
      <c r="C4" s="211">
        <v>2</v>
      </c>
      <c r="D4" s="91">
        <v>197</v>
      </c>
      <c r="E4" s="91">
        <v>287.89999999999998</v>
      </c>
      <c r="F4" s="91">
        <v>219.9</v>
      </c>
      <c r="G4" s="117">
        <f>AVERAGE(D4:F4)</f>
        <v>234.93333333333331</v>
      </c>
      <c r="H4" s="83">
        <f>G4*C4/12</f>
        <v>39.155555555555551</v>
      </c>
      <c r="I4" s="83">
        <f>G4*C4</f>
        <v>469.86666666666662</v>
      </c>
      <c r="J4" s="118">
        <f>H4*30</f>
        <v>1174.6666666666665</v>
      </c>
    </row>
    <row r="5" spans="1:10" s="63" customFormat="1" ht="48" x14ac:dyDescent="0.25">
      <c r="A5" s="64">
        <v>2</v>
      </c>
      <c r="B5" s="85" t="s">
        <v>150</v>
      </c>
      <c r="C5" s="211">
        <v>4</v>
      </c>
      <c r="D5" s="91">
        <v>24.9</v>
      </c>
      <c r="E5" s="91">
        <v>32</v>
      </c>
      <c r="F5" s="91">
        <v>34.5</v>
      </c>
      <c r="G5" s="117">
        <f t="shared" ref="G5:G12" si="0">AVERAGE(D5:F5)</f>
        <v>30.466666666666669</v>
      </c>
      <c r="H5" s="83">
        <f t="shared" ref="H5:H12" si="1">G5*C5/12</f>
        <v>10.155555555555557</v>
      </c>
      <c r="I5" s="83">
        <f t="shared" ref="I5:I12" si="2">G5*C5</f>
        <v>121.86666666666667</v>
      </c>
      <c r="J5" s="118">
        <f t="shared" ref="J5:J12" si="3">H5*30</f>
        <v>304.66666666666669</v>
      </c>
    </row>
    <row r="6" spans="1:10" s="63" customFormat="1" ht="48" x14ac:dyDescent="0.25">
      <c r="A6" s="64">
        <v>3</v>
      </c>
      <c r="B6" s="85" t="s">
        <v>151</v>
      </c>
      <c r="C6" s="211">
        <v>2</v>
      </c>
      <c r="D6" s="91">
        <v>54.77</v>
      </c>
      <c r="E6" s="91">
        <v>59.48</v>
      </c>
      <c r="F6" s="91">
        <v>56</v>
      </c>
      <c r="G6" s="117">
        <f t="shared" si="0"/>
        <v>56.75</v>
      </c>
      <c r="H6" s="83">
        <f t="shared" si="1"/>
        <v>9.4583333333333339</v>
      </c>
      <c r="I6" s="83">
        <f t="shared" si="2"/>
        <v>113.5</v>
      </c>
      <c r="J6" s="118">
        <f t="shared" si="3"/>
        <v>283.75</v>
      </c>
    </row>
    <row r="7" spans="1:10" s="63" customFormat="1" ht="36" x14ac:dyDescent="0.25">
      <c r="A7" s="64">
        <v>4</v>
      </c>
      <c r="B7" s="85" t="s">
        <v>152</v>
      </c>
      <c r="C7" s="211">
        <v>2</v>
      </c>
      <c r="D7" s="91">
        <v>62.99</v>
      </c>
      <c r="E7" s="91">
        <v>57.9</v>
      </c>
      <c r="F7" s="91">
        <v>52.08</v>
      </c>
      <c r="G7" s="117">
        <f t="shared" si="0"/>
        <v>57.656666666666666</v>
      </c>
      <c r="H7" s="83">
        <f t="shared" si="1"/>
        <v>9.6094444444444438</v>
      </c>
      <c r="I7" s="83">
        <f t="shared" si="2"/>
        <v>115.31333333333333</v>
      </c>
      <c r="J7" s="118">
        <f t="shared" si="3"/>
        <v>288.2833333333333</v>
      </c>
    </row>
    <row r="8" spans="1:10" s="63" customFormat="1" ht="24" x14ac:dyDescent="0.25">
      <c r="A8" s="64">
        <v>5</v>
      </c>
      <c r="B8" s="85" t="s">
        <v>153</v>
      </c>
      <c r="C8" s="211">
        <v>4</v>
      </c>
      <c r="D8" s="91">
        <v>19.899999999999999</v>
      </c>
      <c r="E8" s="91">
        <v>13.75</v>
      </c>
      <c r="F8" s="91">
        <v>12.32</v>
      </c>
      <c r="G8" s="117">
        <f t="shared" si="0"/>
        <v>15.323333333333332</v>
      </c>
      <c r="H8" s="83">
        <f t="shared" si="1"/>
        <v>5.1077777777777778</v>
      </c>
      <c r="I8" s="83">
        <f t="shared" si="2"/>
        <v>61.293333333333329</v>
      </c>
      <c r="J8" s="118">
        <f t="shared" si="3"/>
        <v>153.23333333333332</v>
      </c>
    </row>
    <row r="9" spans="1:10" s="63" customFormat="1" x14ac:dyDescent="0.25">
      <c r="A9" s="64">
        <v>6</v>
      </c>
      <c r="B9" s="86" t="s">
        <v>154</v>
      </c>
      <c r="C9" s="211">
        <v>2</v>
      </c>
      <c r="D9" s="91">
        <v>11.9</v>
      </c>
      <c r="E9" s="91">
        <v>15.9</v>
      </c>
      <c r="F9" s="91">
        <v>9.15</v>
      </c>
      <c r="G9" s="117">
        <f t="shared" si="0"/>
        <v>12.316666666666668</v>
      </c>
      <c r="H9" s="83">
        <f t="shared" si="1"/>
        <v>2.052777777777778</v>
      </c>
      <c r="I9" s="83">
        <f t="shared" si="2"/>
        <v>24.633333333333336</v>
      </c>
      <c r="J9" s="118">
        <f t="shared" si="3"/>
        <v>61.583333333333343</v>
      </c>
    </row>
    <row r="10" spans="1:10" s="63" customFormat="1" ht="144" x14ac:dyDescent="0.25">
      <c r="A10" s="64">
        <v>7</v>
      </c>
      <c r="B10" s="86" t="s">
        <v>155</v>
      </c>
      <c r="C10" s="211">
        <v>4</v>
      </c>
      <c r="D10" s="91">
        <v>89.97</v>
      </c>
      <c r="E10" s="91">
        <v>139.99</v>
      </c>
      <c r="F10" s="91">
        <v>114.9</v>
      </c>
      <c r="G10" s="117">
        <f t="shared" si="0"/>
        <v>114.95333333333333</v>
      </c>
      <c r="H10" s="83">
        <f t="shared" si="1"/>
        <v>38.317777777777778</v>
      </c>
      <c r="I10" s="83">
        <f t="shared" si="2"/>
        <v>459.81333333333333</v>
      </c>
      <c r="J10" s="118">
        <f t="shared" si="3"/>
        <v>1149.5333333333333</v>
      </c>
    </row>
    <row r="11" spans="1:10" ht="127.5" x14ac:dyDescent="0.25">
      <c r="A11" s="64">
        <v>8</v>
      </c>
      <c r="B11" s="87" t="s">
        <v>156</v>
      </c>
      <c r="C11" s="211">
        <v>8</v>
      </c>
      <c r="D11" s="91">
        <v>17.600000000000001</v>
      </c>
      <c r="E11" s="91">
        <v>24.9</v>
      </c>
      <c r="F11" s="91">
        <v>28</v>
      </c>
      <c r="G11" s="117">
        <f t="shared" si="0"/>
        <v>23.5</v>
      </c>
      <c r="H11" s="83">
        <f t="shared" si="1"/>
        <v>15.666666666666666</v>
      </c>
      <c r="I11" s="83">
        <f t="shared" si="2"/>
        <v>188</v>
      </c>
      <c r="J11" s="118">
        <f t="shared" si="3"/>
        <v>470</v>
      </c>
    </row>
    <row r="12" spans="1:10" ht="127.5" x14ac:dyDescent="0.25">
      <c r="A12" s="64">
        <v>9</v>
      </c>
      <c r="B12" s="87" t="s">
        <v>157</v>
      </c>
      <c r="C12" s="211">
        <v>4</v>
      </c>
      <c r="D12" s="91">
        <v>14.9</v>
      </c>
      <c r="E12" s="91">
        <v>24.7</v>
      </c>
      <c r="F12" s="91">
        <v>16.399999999999999</v>
      </c>
      <c r="G12" s="117">
        <f t="shared" si="0"/>
        <v>18.666666666666668</v>
      </c>
      <c r="H12" s="83">
        <f t="shared" si="1"/>
        <v>6.2222222222222223</v>
      </c>
      <c r="I12" s="83">
        <f t="shared" si="2"/>
        <v>74.666666666666671</v>
      </c>
      <c r="J12" s="118">
        <f t="shared" si="3"/>
        <v>186.66666666666666</v>
      </c>
    </row>
    <row r="13" spans="1:10" ht="15.75" x14ac:dyDescent="0.25">
      <c r="A13" s="379" t="s">
        <v>158</v>
      </c>
      <c r="B13" s="380"/>
      <c r="C13" s="380"/>
      <c r="D13" s="380"/>
      <c r="E13" s="380"/>
      <c r="F13" s="380"/>
      <c r="G13" s="381"/>
      <c r="H13" s="89">
        <f>SUM(H4:H12)</f>
        <v>135.74611111111113</v>
      </c>
      <c r="I13" s="67">
        <f>SUM(I4:I12)</f>
        <v>1628.9533333333334</v>
      </c>
      <c r="J13" s="67">
        <f>SUM(J4:J12)</f>
        <v>4072.3833333333332</v>
      </c>
    </row>
    <row r="14" spans="1:10" x14ac:dyDescent="0.25">
      <c r="H14" s="68"/>
    </row>
    <row r="15" spans="1:10" x14ac:dyDescent="0.25">
      <c r="B15" s="199" t="s">
        <v>350</v>
      </c>
    </row>
    <row r="18" spans="8:8" x14ac:dyDescent="0.25">
      <c r="H18" s="68"/>
    </row>
  </sheetData>
  <mergeCells count="4">
    <mergeCell ref="A13:G13"/>
    <mergeCell ref="A1:J1"/>
    <mergeCell ref="D2:G2"/>
    <mergeCell ref="H2:J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BDCEE-ABEF-403C-9543-157F13A78E67}">
  <dimension ref="A2:J66"/>
  <sheetViews>
    <sheetView topLeftCell="B59" workbookViewId="0">
      <selection activeCell="D68" sqref="D68"/>
    </sheetView>
  </sheetViews>
  <sheetFormatPr defaultRowHeight="15" x14ac:dyDescent="0.25"/>
  <cols>
    <col min="1" max="1" width="8.85546875" style="1"/>
    <col min="2" max="2" width="52" style="125" customWidth="1"/>
    <col min="3" max="3" width="16.28515625" style="72" customWidth="1"/>
    <col min="4" max="4" width="59.42578125" style="1" customWidth="1"/>
    <col min="5" max="5" width="77.42578125" style="72" customWidth="1"/>
  </cols>
  <sheetData>
    <row r="2" spans="1:5" x14ac:dyDescent="0.25">
      <c r="A2" s="389" t="s">
        <v>27</v>
      </c>
      <c r="B2" s="390"/>
      <c r="C2" s="390"/>
      <c r="D2" s="390"/>
      <c r="E2" s="390"/>
    </row>
    <row r="3" spans="1:5" x14ac:dyDescent="0.25">
      <c r="A3" s="120">
        <v>1</v>
      </c>
      <c r="B3" s="391" t="s">
        <v>28</v>
      </c>
      <c r="C3" s="392"/>
      <c r="D3" s="121" t="s">
        <v>265</v>
      </c>
      <c r="E3" s="121" t="s">
        <v>266</v>
      </c>
    </row>
    <row r="4" spans="1:5" s="125" customFormat="1" ht="33" customHeight="1" x14ac:dyDescent="0.25">
      <c r="A4" s="122" t="s">
        <v>7</v>
      </c>
      <c r="B4" s="393" t="s">
        <v>30</v>
      </c>
      <c r="C4" s="394"/>
      <c r="D4" s="123" t="s">
        <v>267</v>
      </c>
      <c r="E4" s="124" t="s">
        <v>268</v>
      </c>
    </row>
    <row r="5" spans="1:5" s="125" customFormat="1" ht="33" customHeight="1" x14ac:dyDescent="0.25">
      <c r="A5" s="126" t="s">
        <v>9</v>
      </c>
      <c r="B5" s="387" t="s">
        <v>31</v>
      </c>
      <c r="C5" s="388"/>
      <c r="D5" s="123" t="s">
        <v>269</v>
      </c>
      <c r="E5" s="124" t="s">
        <v>270</v>
      </c>
    </row>
    <row r="6" spans="1:5" ht="33" hidden="1" customHeight="1" x14ac:dyDescent="0.25">
      <c r="A6" s="127" t="s">
        <v>12</v>
      </c>
      <c r="B6" s="387" t="s">
        <v>34</v>
      </c>
      <c r="C6" s="388"/>
      <c r="D6" s="128" t="s">
        <v>271</v>
      </c>
      <c r="E6" s="124" t="s">
        <v>272</v>
      </c>
    </row>
    <row r="7" spans="1:5" ht="33" hidden="1" customHeight="1" x14ac:dyDescent="0.25">
      <c r="A7" s="129" t="s">
        <v>14</v>
      </c>
      <c r="B7" s="387" t="s">
        <v>36</v>
      </c>
      <c r="C7" s="388"/>
      <c r="D7" s="128" t="s">
        <v>273</v>
      </c>
      <c r="E7" s="124" t="s">
        <v>274</v>
      </c>
    </row>
    <row r="8" spans="1:5" ht="33" hidden="1" customHeight="1" x14ac:dyDescent="0.25">
      <c r="A8" s="129" t="s">
        <v>37</v>
      </c>
      <c r="B8" s="387" t="s">
        <v>38</v>
      </c>
      <c r="C8" s="388"/>
      <c r="D8" s="128"/>
      <c r="E8" s="124"/>
    </row>
    <row r="9" spans="1:5" ht="33" hidden="1" customHeight="1" x14ac:dyDescent="0.25">
      <c r="A9" s="130" t="s">
        <v>39</v>
      </c>
      <c r="B9" s="387" t="s">
        <v>40</v>
      </c>
      <c r="C9" s="388"/>
      <c r="D9" s="131"/>
      <c r="E9" s="124" t="s">
        <v>275</v>
      </c>
    </row>
    <row r="10" spans="1:5" ht="33" hidden="1" customHeight="1" x14ac:dyDescent="0.25">
      <c r="A10" s="129" t="s">
        <v>41</v>
      </c>
      <c r="B10" s="387" t="s">
        <v>42</v>
      </c>
      <c r="C10" s="388"/>
      <c r="D10" s="132"/>
      <c r="E10" s="124"/>
    </row>
    <row r="13" spans="1:5" x14ac:dyDescent="0.25">
      <c r="A13" s="389" t="s">
        <v>45</v>
      </c>
      <c r="B13" s="390"/>
      <c r="C13" s="390"/>
      <c r="D13" s="390"/>
      <c r="E13" s="390"/>
    </row>
    <row r="14" spans="1:5" x14ac:dyDescent="0.25">
      <c r="A14" s="120" t="s">
        <v>46</v>
      </c>
      <c r="B14" s="133" t="s">
        <v>47</v>
      </c>
      <c r="C14" s="120" t="s">
        <v>70</v>
      </c>
      <c r="D14" s="121" t="s">
        <v>265</v>
      </c>
      <c r="E14" s="121" t="s">
        <v>266</v>
      </c>
    </row>
    <row r="15" spans="1:5" ht="33" customHeight="1" x14ac:dyDescent="0.25">
      <c r="A15" s="129" t="s">
        <v>7</v>
      </c>
      <c r="B15" s="134" t="s">
        <v>49</v>
      </c>
      <c r="C15" s="135">
        <f>1/12</f>
        <v>8.3333333333333329E-2</v>
      </c>
      <c r="D15" s="136" t="s">
        <v>276</v>
      </c>
      <c r="E15" s="124" t="s">
        <v>277</v>
      </c>
    </row>
    <row r="16" spans="1:5" ht="33" customHeight="1" x14ac:dyDescent="0.25">
      <c r="A16" s="127" t="s">
        <v>9</v>
      </c>
      <c r="B16" s="137" t="s">
        <v>50</v>
      </c>
      <c r="C16" s="138">
        <f>1/12+1/36</f>
        <v>0.1111111111111111</v>
      </c>
      <c r="D16" s="136" t="s">
        <v>278</v>
      </c>
      <c r="E16" s="124" t="s">
        <v>279</v>
      </c>
    </row>
    <row r="19" spans="1:5" x14ac:dyDescent="0.25">
      <c r="A19" s="389" t="s">
        <v>53</v>
      </c>
      <c r="B19" s="390"/>
      <c r="C19" s="390"/>
      <c r="D19" s="390"/>
      <c r="E19" s="390"/>
    </row>
    <row r="20" spans="1:5" x14ac:dyDescent="0.25">
      <c r="A20" s="120" t="s">
        <v>54</v>
      </c>
      <c r="B20" s="133" t="s">
        <v>55</v>
      </c>
      <c r="C20" s="120" t="s">
        <v>70</v>
      </c>
      <c r="D20" s="121" t="s">
        <v>265</v>
      </c>
      <c r="E20" s="121" t="s">
        <v>266</v>
      </c>
    </row>
    <row r="21" spans="1:5" ht="33" customHeight="1" x14ac:dyDescent="0.25">
      <c r="A21" s="129" t="s">
        <v>7</v>
      </c>
      <c r="B21" s="134" t="s">
        <v>56</v>
      </c>
      <c r="C21" s="139">
        <v>0.2</v>
      </c>
      <c r="D21" s="136" t="s">
        <v>280</v>
      </c>
      <c r="E21" s="124" t="s">
        <v>281</v>
      </c>
    </row>
    <row r="22" spans="1:5" ht="33" customHeight="1" x14ac:dyDescent="0.25">
      <c r="A22" s="127" t="s">
        <v>9</v>
      </c>
      <c r="B22" s="137" t="s">
        <v>57</v>
      </c>
      <c r="C22" s="140">
        <v>2.5000000000000001E-2</v>
      </c>
      <c r="D22" s="136" t="s">
        <v>282</v>
      </c>
      <c r="E22" s="124" t="s">
        <v>283</v>
      </c>
    </row>
    <row r="23" spans="1:5" ht="33" customHeight="1" x14ac:dyDescent="0.25">
      <c r="A23" s="129" t="s">
        <v>12</v>
      </c>
      <c r="B23" s="134" t="s">
        <v>58</v>
      </c>
      <c r="C23" s="139">
        <v>0.03</v>
      </c>
      <c r="D23" s="136" t="s">
        <v>284</v>
      </c>
      <c r="E23" s="124" t="s">
        <v>285</v>
      </c>
    </row>
    <row r="24" spans="1:5" ht="33" customHeight="1" x14ac:dyDescent="0.25">
      <c r="A24" s="127" t="s">
        <v>14</v>
      </c>
      <c r="B24" s="137" t="s">
        <v>59</v>
      </c>
      <c r="C24" s="140">
        <v>1.4999999999999999E-2</v>
      </c>
      <c r="D24" s="136" t="s">
        <v>286</v>
      </c>
      <c r="E24" s="124" t="s">
        <v>287</v>
      </c>
    </row>
    <row r="25" spans="1:5" ht="33" customHeight="1" x14ac:dyDescent="0.25">
      <c r="A25" s="129" t="s">
        <v>37</v>
      </c>
      <c r="B25" s="134" t="s">
        <v>60</v>
      </c>
      <c r="C25" s="139">
        <v>0.01</v>
      </c>
      <c r="D25" s="136" t="s">
        <v>288</v>
      </c>
      <c r="E25" s="124" t="s">
        <v>287</v>
      </c>
    </row>
    <row r="26" spans="1:5" ht="33" customHeight="1" x14ac:dyDescent="0.25">
      <c r="A26" s="127" t="s">
        <v>39</v>
      </c>
      <c r="B26" s="137" t="s">
        <v>61</v>
      </c>
      <c r="C26" s="140">
        <v>6.0000000000000001E-3</v>
      </c>
      <c r="D26" s="136" t="s">
        <v>289</v>
      </c>
      <c r="E26" s="124" t="s">
        <v>287</v>
      </c>
    </row>
    <row r="27" spans="1:5" ht="33" customHeight="1" x14ac:dyDescent="0.25">
      <c r="A27" s="129" t="s">
        <v>41</v>
      </c>
      <c r="B27" s="134" t="s">
        <v>62</v>
      </c>
      <c r="C27" s="141">
        <v>2E-3</v>
      </c>
      <c r="D27" s="136" t="s">
        <v>290</v>
      </c>
      <c r="E27" s="124" t="s">
        <v>287</v>
      </c>
    </row>
    <row r="28" spans="1:5" ht="33" customHeight="1" x14ac:dyDescent="0.25">
      <c r="A28" s="127" t="s">
        <v>63</v>
      </c>
      <c r="B28" s="137" t="s">
        <v>64</v>
      </c>
      <c r="C28" s="140">
        <v>0.08</v>
      </c>
      <c r="D28" s="136" t="s">
        <v>291</v>
      </c>
      <c r="E28" s="124" t="s">
        <v>292</v>
      </c>
    </row>
    <row r="29" spans="1:5" x14ac:dyDescent="0.25">
      <c r="A29" s="142"/>
      <c r="B29" s="143"/>
      <c r="C29" s="144"/>
      <c r="D29" s="145"/>
      <c r="E29" s="146"/>
    </row>
    <row r="31" spans="1:5" x14ac:dyDescent="0.25">
      <c r="A31" s="389" t="s">
        <v>293</v>
      </c>
      <c r="B31" s="390"/>
      <c r="C31" s="390"/>
      <c r="D31" s="390"/>
      <c r="E31" s="390"/>
    </row>
    <row r="32" spans="1:5" x14ac:dyDescent="0.25">
      <c r="A32" s="120" t="s">
        <v>66</v>
      </c>
      <c r="B32" s="391" t="s">
        <v>67</v>
      </c>
      <c r="C32" s="392"/>
      <c r="D32" s="121" t="s">
        <v>265</v>
      </c>
      <c r="E32" s="121" t="s">
        <v>266</v>
      </c>
    </row>
    <row r="33" spans="1:10" ht="33" customHeight="1" x14ac:dyDescent="0.25">
      <c r="A33" s="71" t="s">
        <v>7</v>
      </c>
      <c r="B33" s="395" t="s">
        <v>68</v>
      </c>
      <c r="C33" s="396"/>
      <c r="D33" s="64" t="s">
        <v>294</v>
      </c>
      <c r="E33" s="124" t="s">
        <v>295</v>
      </c>
    </row>
    <row r="34" spans="1:10" ht="51.75" customHeight="1" x14ac:dyDescent="0.25">
      <c r="A34" s="71" t="s">
        <v>9</v>
      </c>
      <c r="B34" s="395" t="s">
        <v>74</v>
      </c>
      <c r="C34" s="396"/>
      <c r="D34" s="71" t="s">
        <v>317</v>
      </c>
      <c r="E34" s="124" t="s">
        <v>253</v>
      </c>
    </row>
    <row r="35" spans="1:10" ht="33" customHeight="1" x14ac:dyDescent="0.25">
      <c r="A35" s="71" t="s">
        <v>12</v>
      </c>
      <c r="B35" s="395" t="s">
        <v>75</v>
      </c>
      <c r="C35" s="396"/>
      <c r="D35" s="71">
        <v>33.65</v>
      </c>
      <c r="E35" s="124" t="s">
        <v>297</v>
      </c>
    </row>
    <row r="36" spans="1:10" ht="33" customHeight="1" x14ac:dyDescent="0.25">
      <c r="A36" s="71" t="s">
        <v>14</v>
      </c>
      <c r="B36" s="395" t="s">
        <v>246</v>
      </c>
      <c r="C36" s="396"/>
      <c r="D36" s="71">
        <v>137.79</v>
      </c>
      <c r="E36" s="124" t="s">
        <v>297</v>
      </c>
    </row>
    <row r="37" spans="1:10" ht="33" customHeight="1" x14ac:dyDescent="0.25">
      <c r="A37" s="71" t="s">
        <v>37</v>
      </c>
      <c r="B37" s="395" t="s">
        <v>296</v>
      </c>
      <c r="C37" s="396"/>
      <c r="D37" s="71">
        <v>15.2</v>
      </c>
      <c r="E37" s="147" t="s">
        <v>297</v>
      </c>
    </row>
    <row r="40" spans="1:10" x14ac:dyDescent="0.25">
      <c r="A40" s="389" t="s">
        <v>298</v>
      </c>
      <c r="B40" s="390"/>
      <c r="C40" s="390"/>
      <c r="D40" s="390"/>
      <c r="E40" s="390"/>
    </row>
    <row r="41" spans="1:10" x14ac:dyDescent="0.25">
      <c r="A41" s="120">
        <v>3</v>
      </c>
      <c r="B41" s="148" t="s">
        <v>80</v>
      </c>
      <c r="C41" s="120" t="s">
        <v>70</v>
      </c>
      <c r="D41" s="121" t="s">
        <v>265</v>
      </c>
      <c r="E41" s="121" t="s">
        <v>266</v>
      </c>
      <c r="F41" s="203"/>
      <c r="G41" s="203"/>
      <c r="H41" s="203"/>
      <c r="I41" s="203"/>
      <c r="J41" s="203"/>
    </row>
    <row r="42" spans="1:10" ht="33" customHeight="1" x14ac:dyDescent="0.25">
      <c r="A42" s="71" t="s">
        <v>7</v>
      </c>
      <c r="B42" s="149" t="s">
        <v>81</v>
      </c>
      <c r="C42" s="135">
        <f>(0.05*(1+(1/12+1/12+1/36))/12)</f>
        <v>4.9768518518518521E-3</v>
      </c>
      <c r="D42" s="64" t="s">
        <v>299</v>
      </c>
      <c r="E42" s="124" t="s">
        <v>300</v>
      </c>
      <c r="F42" s="204"/>
      <c r="G42" s="203"/>
      <c r="H42" s="203"/>
      <c r="I42" s="205"/>
      <c r="J42" s="203"/>
    </row>
    <row r="43" spans="1:10" ht="33" customHeight="1" x14ac:dyDescent="0.25">
      <c r="A43" s="71" t="s">
        <v>9</v>
      </c>
      <c r="B43" s="149" t="s">
        <v>82</v>
      </c>
      <c r="C43" s="138">
        <f>C42*0.08</f>
        <v>3.9814814814814818E-4</v>
      </c>
      <c r="D43" s="64" t="s">
        <v>340</v>
      </c>
      <c r="E43" s="124" t="s">
        <v>301</v>
      </c>
      <c r="F43" s="204"/>
      <c r="G43" s="203"/>
      <c r="H43" s="203"/>
      <c r="I43" s="203"/>
      <c r="J43" s="203"/>
    </row>
    <row r="44" spans="1:10" ht="33" customHeight="1" x14ac:dyDescent="0.25">
      <c r="A44" s="71" t="s">
        <v>12</v>
      </c>
      <c r="B44" s="149" t="s">
        <v>83</v>
      </c>
      <c r="C44" s="135">
        <f>0.05*0.08*0.4</f>
        <v>1.6000000000000001E-3</v>
      </c>
      <c r="D44" s="64" t="s">
        <v>343</v>
      </c>
      <c r="E44" s="124" t="s">
        <v>302</v>
      </c>
      <c r="F44" s="204"/>
      <c r="G44" s="203"/>
      <c r="H44" s="203"/>
      <c r="I44" s="203"/>
      <c r="J44" s="203"/>
    </row>
    <row r="45" spans="1:10" ht="33" customHeight="1" x14ac:dyDescent="0.25">
      <c r="A45" s="71" t="s">
        <v>14</v>
      </c>
      <c r="B45" s="149" t="s">
        <v>84</v>
      </c>
      <c r="C45" s="138">
        <f>7/30/12</f>
        <v>1.9444444444444445E-2</v>
      </c>
      <c r="D45" s="64" t="s">
        <v>341</v>
      </c>
      <c r="E45" s="124" t="s">
        <v>303</v>
      </c>
      <c r="F45" s="204"/>
      <c r="G45" s="203"/>
      <c r="H45" s="203"/>
      <c r="I45" s="203"/>
      <c r="J45" s="203"/>
    </row>
    <row r="46" spans="1:10" ht="33" customHeight="1" x14ac:dyDescent="0.25">
      <c r="A46" s="71" t="s">
        <v>37</v>
      </c>
      <c r="B46" s="149" t="s">
        <v>85</v>
      </c>
      <c r="C46" s="135">
        <f>36.8%*C45</f>
        <v>7.1555555555555556E-3</v>
      </c>
      <c r="D46" s="64" t="s">
        <v>342</v>
      </c>
      <c r="E46" s="124" t="s">
        <v>334</v>
      </c>
      <c r="F46" s="204"/>
      <c r="G46" s="203"/>
      <c r="H46" s="203"/>
      <c r="I46" s="203"/>
      <c r="J46" s="203"/>
    </row>
    <row r="47" spans="1:10" ht="33" customHeight="1" x14ac:dyDescent="0.25">
      <c r="A47" s="71" t="s">
        <v>39</v>
      </c>
      <c r="B47" s="149" t="s">
        <v>86</v>
      </c>
      <c r="C47" s="135">
        <f>0.4*0.08*1</f>
        <v>3.2000000000000001E-2</v>
      </c>
      <c r="D47" s="64" t="s">
        <v>344</v>
      </c>
      <c r="E47" s="124" t="s">
        <v>345</v>
      </c>
      <c r="F47" s="204"/>
      <c r="G47" s="203"/>
      <c r="H47" s="203"/>
      <c r="I47" s="203"/>
      <c r="J47" s="203"/>
    </row>
    <row r="48" spans="1:10" x14ac:dyDescent="0.25">
      <c r="F48" s="203"/>
      <c r="G48" s="203"/>
      <c r="H48" s="203"/>
      <c r="I48" s="203"/>
      <c r="J48" s="203"/>
    </row>
    <row r="49" spans="1:10" x14ac:dyDescent="0.25">
      <c r="F49" s="203"/>
      <c r="G49" s="203"/>
      <c r="H49" s="203"/>
      <c r="I49" s="203"/>
      <c r="J49" s="203"/>
    </row>
    <row r="50" spans="1:10" x14ac:dyDescent="0.25">
      <c r="A50" s="389" t="s">
        <v>87</v>
      </c>
      <c r="B50" s="390"/>
      <c r="C50" s="390"/>
      <c r="D50" s="390"/>
      <c r="E50" s="390"/>
      <c r="F50" s="203"/>
      <c r="G50" s="203"/>
      <c r="H50" s="203"/>
      <c r="I50" s="203"/>
      <c r="J50" s="203"/>
    </row>
    <row r="51" spans="1:10" x14ac:dyDescent="0.25">
      <c r="A51" s="120" t="s">
        <v>88</v>
      </c>
      <c r="B51" s="148"/>
      <c r="C51" s="120" t="s">
        <v>70</v>
      </c>
      <c r="D51" s="121" t="s">
        <v>265</v>
      </c>
      <c r="E51" s="121" t="s">
        <v>266</v>
      </c>
      <c r="F51" s="203"/>
      <c r="G51" s="203"/>
      <c r="H51" s="203"/>
      <c r="I51" s="203"/>
      <c r="J51" s="203"/>
    </row>
    <row r="52" spans="1:10" ht="30" x14ac:dyDescent="0.25">
      <c r="A52" s="71" t="s">
        <v>7</v>
      </c>
      <c r="B52" s="149" t="s">
        <v>304</v>
      </c>
      <c r="C52" s="138">
        <f>(((1/12)+(1/12)+(1/12*1/3))/12)</f>
        <v>1.6203703703703703E-2</v>
      </c>
      <c r="D52" s="64" t="s">
        <v>305</v>
      </c>
      <c r="E52" s="124" t="s">
        <v>306</v>
      </c>
      <c r="F52" s="203"/>
      <c r="G52" s="203"/>
      <c r="H52" s="203"/>
      <c r="I52" s="203"/>
      <c r="J52" s="203"/>
    </row>
    <row r="53" spans="1:10" ht="24" x14ac:dyDescent="0.25">
      <c r="A53" s="71" t="s">
        <v>9</v>
      </c>
      <c r="B53" s="149" t="s">
        <v>92</v>
      </c>
      <c r="C53" s="138">
        <f>5/30/12</f>
        <v>1.3888888888888888E-2</v>
      </c>
      <c r="D53" s="64" t="s">
        <v>318</v>
      </c>
      <c r="E53" s="124" t="s">
        <v>319</v>
      </c>
      <c r="F53" s="203"/>
      <c r="G53" s="203"/>
      <c r="H53" s="203"/>
      <c r="I53" s="203"/>
      <c r="J53" s="203"/>
    </row>
    <row r="54" spans="1:10" ht="36" x14ac:dyDescent="0.25">
      <c r="A54" s="71" t="s">
        <v>12</v>
      </c>
      <c r="B54" s="149" t="s">
        <v>93</v>
      </c>
      <c r="C54" s="138">
        <f>(5/30/12)*1.62%*50%</f>
        <v>1.1250000000000001E-4</v>
      </c>
      <c r="D54" s="64" t="s">
        <v>307</v>
      </c>
      <c r="E54" s="124" t="s">
        <v>308</v>
      </c>
      <c r="F54" s="203"/>
      <c r="G54" s="203"/>
      <c r="H54" s="203"/>
      <c r="I54" s="203"/>
      <c r="J54" s="203"/>
    </row>
    <row r="55" spans="1:10" ht="36" x14ac:dyDescent="0.25">
      <c r="A55" s="71" t="s">
        <v>14</v>
      </c>
      <c r="B55" s="149" t="s">
        <v>94</v>
      </c>
      <c r="C55" s="138">
        <f>(1/12+1/36)*(4/12)*0.5*0.0162</f>
        <v>2.9999999999999997E-4</v>
      </c>
      <c r="D55" s="64" t="s">
        <v>309</v>
      </c>
      <c r="E55" s="124" t="s">
        <v>310</v>
      </c>
    </row>
    <row r="56" spans="1:10" x14ac:dyDescent="0.25">
      <c r="A56" s="71" t="s">
        <v>37</v>
      </c>
      <c r="B56" s="149" t="s">
        <v>95</v>
      </c>
      <c r="C56" s="138">
        <f>7/30/12</f>
        <v>1.9444444444444445E-2</v>
      </c>
      <c r="D56" s="64" t="s">
        <v>320</v>
      </c>
      <c r="E56" s="124" t="s">
        <v>321</v>
      </c>
    </row>
    <row r="57" spans="1:10" ht="60" x14ac:dyDescent="0.25">
      <c r="A57" s="71" t="s">
        <v>39</v>
      </c>
      <c r="B57" s="149" t="s">
        <v>96</v>
      </c>
      <c r="C57" s="138">
        <f>(15/30/12)*1.22%</f>
        <v>5.0833333333333329E-4</v>
      </c>
      <c r="D57" s="64" t="s">
        <v>311</v>
      </c>
      <c r="E57" s="124" t="s">
        <v>97</v>
      </c>
    </row>
    <row r="58" spans="1:10" ht="44.25" customHeight="1" x14ac:dyDescent="0.25">
      <c r="A58" s="71" t="s">
        <v>99</v>
      </c>
      <c r="B58" s="149" t="s">
        <v>312</v>
      </c>
      <c r="C58" s="138">
        <f>SUM(C21:C28)</f>
        <v>0.36800000000000005</v>
      </c>
      <c r="D58" s="64" t="s">
        <v>313</v>
      </c>
      <c r="E58" s="124" t="s">
        <v>314</v>
      </c>
    </row>
    <row r="61" spans="1:10" x14ac:dyDescent="0.25">
      <c r="A61" s="389" t="s">
        <v>315</v>
      </c>
      <c r="B61" s="390"/>
      <c r="C61" s="390"/>
      <c r="D61" s="390"/>
      <c r="E61" s="390"/>
    </row>
    <row r="62" spans="1:10" x14ac:dyDescent="0.25">
      <c r="A62" s="120">
        <v>5</v>
      </c>
      <c r="B62" s="399" t="s">
        <v>103</v>
      </c>
      <c r="C62" s="400"/>
      <c r="D62" s="121" t="s">
        <v>265</v>
      </c>
      <c r="E62" s="121" t="s">
        <v>266</v>
      </c>
    </row>
    <row r="63" spans="1:10" ht="24" x14ac:dyDescent="0.25">
      <c r="A63" s="71" t="s">
        <v>7</v>
      </c>
      <c r="B63" s="395" t="s">
        <v>104</v>
      </c>
      <c r="C63" s="396"/>
      <c r="D63" s="242" t="s">
        <v>373</v>
      </c>
      <c r="E63" s="124" t="s">
        <v>372</v>
      </c>
    </row>
    <row r="64" spans="1:10" ht="24" x14ac:dyDescent="0.25">
      <c r="A64" s="71" t="s">
        <v>9</v>
      </c>
      <c r="B64" s="395" t="s">
        <v>316</v>
      </c>
      <c r="C64" s="396"/>
      <c r="D64" s="242" t="s">
        <v>373</v>
      </c>
      <c r="E64" s="124" t="s">
        <v>372</v>
      </c>
      <c r="F64" s="186" t="s">
        <v>346</v>
      </c>
    </row>
    <row r="65" spans="1:5" ht="24" x14ac:dyDescent="0.25">
      <c r="A65" s="71" t="s">
        <v>12</v>
      </c>
      <c r="B65" s="395" t="s">
        <v>105</v>
      </c>
      <c r="C65" s="396"/>
      <c r="D65" s="242" t="s">
        <v>373</v>
      </c>
      <c r="E65" s="124" t="s">
        <v>372</v>
      </c>
    </row>
    <row r="66" spans="1:5" x14ac:dyDescent="0.25">
      <c r="A66" s="150" t="s">
        <v>14</v>
      </c>
      <c r="B66" s="397"/>
      <c r="C66" s="398"/>
      <c r="D66" s="64"/>
      <c r="E66" s="124"/>
    </row>
  </sheetData>
  <mergeCells count="26">
    <mergeCell ref="B65:C65"/>
    <mergeCell ref="B66:C66"/>
    <mergeCell ref="A40:E40"/>
    <mergeCell ref="A50:E50"/>
    <mergeCell ref="A61:E61"/>
    <mergeCell ref="B62:C62"/>
    <mergeCell ref="B63:C63"/>
    <mergeCell ref="B64:C64"/>
    <mergeCell ref="B37:C37"/>
    <mergeCell ref="B8:C8"/>
    <mergeCell ref="B9:C9"/>
    <mergeCell ref="B10:C10"/>
    <mergeCell ref="A13:E13"/>
    <mergeCell ref="A19:E19"/>
    <mergeCell ref="A31:E31"/>
    <mergeCell ref="B32:C32"/>
    <mergeCell ref="B33:C33"/>
    <mergeCell ref="B34:C34"/>
    <mergeCell ref="B35:C35"/>
    <mergeCell ref="B36:C36"/>
    <mergeCell ref="B7:C7"/>
    <mergeCell ref="A2:E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Resumo</vt:lpstr>
      <vt:lpstr>Custos</vt:lpstr>
      <vt:lpstr>Insumos e Equipamentos</vt:lpstr>
      <vt:lpstr>Uniformes</vt:lpstr>
      <vt:lpstr>Memória de Cálculo</vt:lpstr>
      <vt:lpstr>Custos!Area_de_impressao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Grace Steffanie Oliveira Campelo da Silva</dc:creator>
  <cp:keywords/>
  <dc:description/>
  <cp:lastModifiedBy>Paulo Mauricio Rabello Bastos</cp:lastModifiedBy>
  <cp:revision/>
  <dcterms:created xsi:type="dcterms:W3CDTF">2023-07-17T14:22:03Z</dcterms:created>
  <dcterms:modified xsi:type="dcterms:W3CDTF">2024-06-07T14:15:30Z</dcterms:modified>
  <cp:category/>
  <cp:contentStatus/>
</cp:coreProperties>
</file>