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8"/>
  <workbookPr defaultThemeVersion="166925"/>
  <mc:AlternateContent xmlns:mc="http://schemas.openxmlformats.org/markup-compatibility/2006">
    <mc:Choice Requires="x15">
      <x15ac:absPath xmlns:x15ac="http://schemas.microsoft.com/office/spreadsheetml/2010/11/ac" url="C:\Users\carlos.cmgr.PF\Desktop\"/>
    </mc:Choice>
  </mc:AlternateContent>
  <xr:revisionPtr revIDLastSave="0" documentId="13_ncr:1_{8968F84B-69F9-454C-AE4F-4E08EC45E4F1}" xr6:coauthVersionLast="36" xr6:coauthVersionMax="36" xr10:uidLastSave="{00000000-0000-0000-0000-000000000000}"/>
  <bookViews>
    <workbookView xWindow="0" yWindow="0" windowWidth="19200" windowHeight="8150" tabRatio="858" firstSheet="5" activeTab="9" xr2:uid="{83F493E1-66DC-471C-AC07-7D0F3E55FA33}"/>
  </bookViews>
  <sheets>
    <sheet name="RESUMO" sheetId="15" r:id="rId1"/>
    <sheet name="Notas Explicativas" sheetId="16" r:id="rId2"/>
    <sheet name="Item 1.1 (Encarregado)" sheetId="2" r:id="rId3"/>
    <sheet name=" Item 1.2 (ASG)" sheetId="6" r:id="rId4"/>
    <sheet name="Item 1.3 (ASG Banheirista)" sheetId="7" r:id="rId5"/>
    <sheet name="Item 2 (Lavador)" sheetId="8" r:id="rId6"/>
    <sheet name="Item 3 (ASG)" sheetId="9" r:id="rId7"/>
    <sheet name="Item 4.1 (ASG)" sheetId="10" r:id="rId8"/>
    <sheet name="Item 4.2 (ASG Banheirista)" sheetId="18" r:id="rId9"/>
    <sheet name="Item 5.1 (ASG)" sheetId="11" r:id="rId10"/>
    <sheet name="Item 5.2 (ASG Banheirista)" sheetId="19" r:id="rId11"/>
    <sheet name="Item 6 (Fachada)" sheetId="12" r:id="rId12"/>
    <sheet name="Item 7 (Materiais)" sheetId="13" r:id="rId13"/>
    <sheet name="Uniformes" sheetId="3" r:id="rId14"/>
    <sheet name="Equipamentos" sheetId="4" r:id="rId15"/>
    <sheet name="Distribuição dos Insumos" sheetId="14" r:id="rId16"/>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62" i="18" l="1"/>
  <c r="G33" i="6" l="1"/>
  <c r="G3" i="15" l="1"/>
  <c r="G4" i="15"/>
  <c r="H88" i="4" l="1"/>
  <c r="L88" i="4" l="1"/>
  <c r="J88" i="4"/>
  <c r="E8" i="13"/>
  <c r="G32" i="19" l="1"/>
  <c r="A162" i="19"/>
  <c r="C162" i="19" s="1"/>
  <c r="G143" i="19"/>
  <c r="G142" i="19"/>
  <c r="G141" i="19" s="1"/>
  <c r="G130" i="19"/>
  <c r="G117" i="19"/>
  <c r="G123" i="19" s="1"/>
  <c r="G106" i="19"/>
  <c r="G105" i="19"/>
  <c r="G104" i="19"/>
  <c r="G103" i="19"/>
  <c r="G107" i="19" s="1"/>
  <c r="G102" i="19"/>
  <c r="G101" i="19"/>
  <c r="G92" i="19"/>
  <c r="G90" i="19"/>
  <c r="H89" i="19"/>
  <c r="H87" i="19"/>
  <c r="G88" i="19" s="1"/>
  <c r="G93" i="19" s="1"/>
  <c r="I70" i="19"/>
  <c r="I69" i="19"/>
  <c r="I64" i="19"/>
  <c r="G58" i="19"/>
  <c r="G91" i="19" s="1"/>
  <c r="G44" i="19"/>
  <c r="G34" i="19"/>
  <c r="G30" i="19"/>
  <c r="I63" i="19" s="1"/>
  <c r="I72" i="19" s="1"/>
  <c r="G79" i="19" s="1"/>
  <c r="G32" i="18"/>
  <c r="A162" i="18"/>
  <c r="C162" i="18" s="1"/>
  <c r="G143" i="18"/>
  <c r="G142" i="18"/>
  <c r="G141" i="18"/>
  <c r="G130" i="18"/>
  <c r="G123" i="18"/>
  <c r="G117" i="18"/>
  <c r="G106" i="18"/>
  <c r="G105" i="18"/>
  <c r="G104" i="18"/>
  <c r="G103" i="18"/>
  <c r="G102" i="18"/>
  <c r="G101" i="18"/>
  <c r="G107" i="18" s="1"/>
  <c r="G90" i="18"/>
  <c r="G92" i="18" s="1"/>
  <c r="H89" i="18"/>
  <c r="H87" i="18"/>
  <c r="I70" i="18"/>
  <c r="I69" i="18"/>
  <c r="I64" i="18"/>
  <c r="I63" i="18"/>
  <c r="I72" i="18" s="1"/>
  <c r="G79" i="18" s="1"/>
  <c r="G58" i="18"/>
  <c r="G44" i="18"/>
  <c r="G30" i="18"/>
  <c r="G34" i="18" s="1"/>
  <c r="I101" i="19" l="1"/>
  <c r="G84" i="19"/>
  <c r="G150" i="19"/>
  <c r="G98" i="19"/>
  <c r="G39" i="19"/>
  <c r="G108" i="19"/>
  <c r="G109" i="19" s="1"/>
  <c r="G108" i="18"/>
  <c r="G109" i="18" s="1"/>
  <c r="G150" i="18"/>
  <c r="G98" i="18"/>
  <c r="G39" i="18"/>
  <c r="G84" i="18"/>
  <c r="G91" i="18"/>
  <c r="G88" i="18"/>
  <c r="G93" i="18" s="1"/>
  <c r="G110" i="19" l="1"/>
  <c r="G111" i="19" s="1"/>
  <c r="I111" i="19" s="1"/>
  <c r="G122" i="19" s="1"/>
  <c r="G124" i="19" s="1"/>
  <c r="G153" i="19" s="1"/>
  <c r="I106" i="19"/>
  <c r="I102" i="19"/>
  <c r="I105" i="19"/>
  <c r="I103" i="19"/>
  <c r="I108" i="19"/>
  <c r="I104" i="19"/>
  <c r="I42" i="19"/>
  <c r="I43" i="19"/>
  <c r="I89" i="19"/>
  <c r="I91" i="19"/>
  <c r="I87" i="19"/>
  <c r="I90" i="19"/>
  <c r="I92" i="19"/>
  <c r="I88" i="19"/>
  <c r="G110" i="18"/>
  <c r="G111" i="18" s="1"/>
  <c r="I111" i="18" s="1"/>
  <c r="G122" i="18" s="1"/>
  <c r="G124" i="18" s="1"/>
  <c r="G153" i="18" s="1"/>
  <c r="I103" i="18"/>
  <c r="I110" i="18"/>
  <c r="I106" i="18"/>
  <c r="I102" i="18"/>
  <c r="I105" i="18"/>
  <c r="I108" i="18"/>
  <c r="I104" i="18"/>
  <c r="I92" i="18"/>
  <c r="I88" i="18"/>
  <c r="I91" i="18"/>
  <c r="I87" i="18"/>
  <c r="I90" i="18"/>
  <c r="I89" i="18"/>
  <c r="I101" i="18"/>
  <c r="I42" i="18"/>
  <c r="I43" i="18"/>
  <c r="I70" i="12"/>
  <c r="I70" i="11"/>
  <c r="I70" i="10"/>
  <c r="I70" i="9"/>
  <c r="I70" i="8"/>
  <c r="I71" i="7"/>
  <c r="I71" i="6"/>
  <c r="I70" i="2"/>
  <c r="I69" i="12"/>
  <c r="I69" i="11"/>
  <c r="I69" i="10"/>
  <c r="I69" i="9"/>
  <c r="I69" i="8"/>
  <c r="I70" i="7"/>
  <c r="I70" i="6"/>
  <c r="I69" i="2"/>
  <c r="I107" i="19" l="1"/>
  <c r="I109" i="19" s="1"/>
  <c r="I110" i="19"/>
  <c r="I44" i="19"/>
  <c r="I93" i="19"/>
  <c r="G152" i="19" s="1"/>
  <c r="I93" i="18"/>
  <c r="G152" i="18" s="1"/>
  <c r="I44" i="18"/>
  <c r="I107" i="18"/>
  <c r="I109" i="18" s="1"/>
  <c r="G77" i="19" l="1"/>
  <c r="G47" i="19"/>
  <c r="G77" i="18"/>
  <c r="G47" i="18"/>
  <c r="I160" i="12"/>
  <c r="I56" i="19" l="1"/>
  <c r="I54" i="19"/>
  <c r="I53" i="19"/>
  <c r="I51" i="19"/>
  <c r="I55" i="19"/>
  <c r="I50" i="19"/>
  <c r="I52" i="19"/>
  <c r="I57" i="19"/>
  <c r="I50" i="18"/>
  <c r="I57" i="18"/>
  <c r="I53" i="18"/>
  <c r="I56" i="18"/>
  <c r="I55" i="18"/>
  <c r="I54" i="18"/>
  <c r="I52" i="18"/>
  <c r="I51" i="18"/>
  <c r="I132" i="12"/>
  <c r="I138" i="12"/>
  <c r="I137" i="12"/>
  <c r="I136" i="12"/>
  <c r="I135" i="12"/>
  <c r="I134" i="12"/>
  <c r="I133" i="12"/>
  <c r="C146" i="12"/>
  <c r="D88" i="16"/>
  <c r="D87" i="16"/>
  <c r="D86" i="16"/>
  <c r="D85" i="16"/>
  <c r="D89" i="16" s="1"/>
  <c r="D84" i="16"/>
  <c r="D83" i="16"/>
  <c r="D72" i="16"/>
  <c r="D71" i="16"/>
  <c r="D70" i="16"/>
  <c r="D69" i="16"/>
  <c r="D68" i="16"/>
  <c r="D67" i="16"/>
  <c r="D66" i="16"/>
  <c r="D65" i="16"/>
  <c r="D64" i="16"/>
  <c r="D20" i="16"/>
  <c r="D19" i="16"/>
  <c r="I58" i="19" l="1"/>
  <c r="G78" i="19" s="1"/>
  <c r="G80" i="19" s="1"/>
  <c r="I58" i="18"/>
  <c r="G78" i="18" s="1"/>
  <c r="G80" i="18" s="1"/>
  <c r="I131" i="12"/>
  <c r="I139" i="12" s="1"/>
  <c r="D90" i="16"/>
  <c r="G151" i="19" l="1"/>
  <c r="G151" i="18"/>
  <c r="E90" i="16"/>
  <c r="D91" i="16" s="1"/>
  <c r="D49" i="4" l="1"/>
  <c r="D50" i="4"/>
  <c r="D51" i="4"/>
  <c r="D52" i="4"/>
  <c r="D53" i="4"/>
  <c r="D54" i="4"/>
  <c r="L54" i="4" s="1"/>
  <c r="D55" i="4"/>
  <c r="J55" i="4" s="1"/>
  <c r="D56" i="4"/>
  <c r="H56" i="4" s="1"/>
  <c r="D57" i="4"/>
  <c r="D58" i="4"/>
  <c r="D59" i="4"/>
  <c r="D60" i="4"/>
  <c r="D61" i="4"/>
  <c r="D62" i="4"/>
  <c r="L62" i="4" s="1"/>
  <c r="D63" i="4"/>
  <c r="J63" i="4" s="1"/>
  <c r="D64" i="4"/>
  <c r="H64" i="4" s="1"/>
  <c r="D65" i="4"/>
  <c r="D66" i="4"/>
  <c r="D67" i="4"/>
  <c r="D68" i="4"/>
  <c r="D69" i="4"/>
  <c r="D70" i="4"/>
  <c r="L70" i="4" s="1"/>
  <c r="D71" i="4"/>
  <c r="J71" i="4" s="1"/>
  <c r="D72" i="4"/>
  <c r="H72" i="4" s="1"/>
  <c r="D73" i="4"/>
  <c r="D74" i="4"/>
  <c r="D75" i="4"/>
  <c r="D76" i="4"/>
  <c r="D77" i="4"/>
  <c r="D78" i="4"/>
  <c r="L78" i="4" s="1"/>
  <c r="D79" i="4"/>
  <c r="J79" i="4" s="1"/>
  <c r="D80" i="4"/>
  <c r="H80" i="4" s="1"/>
  <c r="D81" i="4"/>
  <c r="D82" i="4"/>
  <c r="D83" i="4"/>
  <c r="D84" i="4"/>
  <c r="D85" i="4"/>
  <c r="D86" i="4"/>
  <c r="L86" i="4" s="1"/>
  <c r="D87" i="4"/>
  <c r="J87" i="4" s="1"/>
  <c r="D48" i="4"/>
  <c r="H48" i="4" s="1"/>
  <c r="H3" i="4"/>
  <c r="L49" i="4"/>
  <c r="L50" i="4"/>
  <c r="L51" i="4"/>
  <c r="L52" i="4"/>
  <c r="L53" i="4"/>
  <c r="L57" i="4"/>
  <c r="L58" i="4"/>
  <c r="L59" i="4"/>
  <c r="L60" i="4"/>
  <c r="L61" i="4"/>
  <c r="L65" i="4"/>
  <c r="L66" i="4"/>
  <c r="L67" i="4"/>
  <c r="L68" i="4"/>
  <c r="L69" i="4"/>
  <c r="L73" i="4"/>
  <c r="L74" i="4"/>
  <c r="L75" i="4"/>
  <c r="L76" i="4"/>
  <c r="L77" i="4"/>
  <c r="L81" i="4"/>
  <c r="L82" i="4"/>
  <c r="L83" i="4"/>
  <c r="L84" i="4"/>
  <c r="L85" i="4"/>
  <c r="J49" i="4"/>
  <c r="J50" i="4"/>
  <c r="J51" i="4"/>
  <c r="J52" i="4"/>
  <c r="J53" i="4"/>
  <c r="J54" i="4"/>
  <c r="J57" i="4"/>
  <c r="J58" i="4"/>
  <c r="J59" i="4"/>
  <c r="J60" i="4"/>
  <c r="J61" i="4"/>
  <c r="J62" i="4"/>
  <c r="J65" i="4"/>
  <c r="J66" i="4"/>
  <c r="J67" i="4"/>
  <c r="J68" i="4"/>
  <c r="J69" i="4"/>
  <c r="J70" i="4"/>
  <c r="J73" i="4"/>
  <c r="J74" i="4"/>
  <c r="J75" i="4"/>
  <c r="J76" i="4"/>
  <c r="J77" i="4"/>
  <c r="J78" i="4"/>
  <c r="J81" i="4"/>
  <c r="J82" i="4"/>
  <c r="J83" i="4"/>
  <c r="J84" i="4"/>
  <c r="J85" i="4"/>
  <c r="J86" i="4"/>
  <c r="H49" i="4"/>
  <c r="H50" i="4"/>
  <c r="H51" i="4"/>
  <c r="H52" i="4"/>
  <c r="H53" i="4"/>
  <c r="H54" i="4"/>
  <c r="H55" i="4"/>
  <c r="H57" i="4"/>
  <c r="H58" i="4"/>
  <c r="H59" i="4"/>
  <c r="H60" i="4"/>
  <c r="H61" i="4"/>
  <c r="H62" i="4"/>
  <c r="H63" i="4"/>
  <c r="H65" i="4"/>
  <c r="H66" i="4"/>
  <c r="H67" i="4"/>
  <c r="H68" i="4"/>
  <c r="H69" i="4"/>
  <c r="H70" i="4"/>
  <c r="H71" i="4"/>
  <c r="H73" i="4"/>
  <c r="H74" i="4"/>
  <c r="H75" i="4"/>
  <c r="H76" i="4"/>
  <c r="H77" i="4"/>
  <c r="H78" i="4"/>
  <c r="H79" i="4"/>
  <c r="H81" i="4"/>
  <c r="H82" i="4"/>
  <c r="H83" i="4"/>
  <c r="H84" i="4"/>
  <c r="H85" i="4"/>
  <c r="H86" i="4"/>
  <c r="H87" i="4"/>
  <c r="F49" i="4"/>
  <c r="F50" i="4"/>
  <c r="F51" i="4"/>
  <c r="F52" i="4"/>
  <c r="F53" i="4"/>
  <c r="F54" i="4"/>
  <c r="F55" i="4"/>
  <c r="F56" i="4"/>
  <c r="F57" i="4"/>
  <c r="F58" i="4"/>
  <c r="F59" i="4"/>
  <c r="F60" i="4"/>
  <c r="F61" i="4"/>
  <c r="F62" i="4"/>
  <c r="F63" i="4"/>
  <c r="F64" i="4"/>
  <c r="F65" i="4"/>
  <c r="F66" i="4"/>
  <c r="F67" i="4"/>
  <c r="F68" i="4"/>
  <c r="F69" i="4"/>
  <c r="F70" i="4"/>
  <c r="F71" i="4"/>
  <c r="F72" i="4"/>
  <c r="F73" i="4"/>
  <c r="F74" i="4"/>
  <c r="F75" i="4"/>
  <c r="F76" i="4"/>
  <c r="F77" i="4"/>
  <c r="F78" i="4"/>
  <c r="F79" i="4"/>
  <c r="F80" i="4"/>
  <c r="F81" i="4"/>
  <c r="F82" i="4"/>
  <c r="F83" i="4"/>
  <c r="F84" i="4"/>
  <c r="F85" i="4"/>
  <c r="F86" i="4"/>
  <c r="F87" i="4"/>
  <c r="H113" i="14"/>
  <c r="H112" i="14"/>
  <c r="H111" i="14"/>
  <c r="H110" i="14"/>
  <c r="H109" i="14"/>
  <c r="H108" i="14"/>
  <c r="H107" i="14"/>
  <c r="H106" i="14"/>
  <c r="H105" i="14"/>
  <c r="H104" i="14"/>
  <c r="H103" i="14"/>
  <c r="H102" i="14"/>
  <c r="H101" i="14"/>
  <c r="H100" i="14"/>
  <c r="H99" i="14"/>
  <c r="H98" i="14"/>
  <c r="H97" i="14"/>
  <c r="H96" i="14"/>
  <c r="H95" i="14"/>
  <c r="H94" i="14"/>
  <c r="H93" i="14"/>
  <c r="H92" i="14"/>
  <c r="H91" i="14"/>
  <c r="H90" i="14"/>
  <c r="H89" i="14"/>
  <c r="H88" i="14"/>
  <c r="H87" i="14"/>
  <c r="H86" i="14"/>
  <c r="H85" i="14"/>
  <c r="H84" i="14"/>
  <c r="H83" i="14"/>
  <c r="H82" i="14"/>
  <c r="H81" i="14"/>
  <c r="H80" i="14"/>
  <c r="H79" i="14"/>
  <c r="H78" i="14"/>
  <c r="H77" i="14"/>
  <c r="H76" i="14"/>
  <c r="H75" i="14"/>
  <c r="H74" i="14"/>
  <c r="D74" i="13"/>
  <c r="G141" i="2"/>
  <c r="L80" i="4" l="1"/>
  <c r="L72" i="4"/>
  <c r="L64" i="4"/>
  <c r="L56" i="4"/>
  <c r="J80" i="4"/>
  <c r="J72" i="4"/>
  <c r="J64" i="4"/>
  <c r="J56" i="4"/>
  <c r="L87" i="4"/>
  <c r="L79" i="4"/>
  <c r="L71" i="4"/>
  <c r="L63" i="4"/>
  <c r="L55" i="4"/>
  <c r="L48" i="4"/>
  <c r="G131" i="19" s="1"/>
  <c r="G132" i="19" s="1"/>
  <c r="J48" i="4"/>
  <c r="F48" i="4"/>
  <c r="F88" i="4" s="1"/>
  <c r="G180" i="12"/>
  <c r="G179" i="12"/>
  <c r="G143" i="11"/>
  <c r="G142" i="11"/>
  <c r="G143" i="10"/>
  <c r="G142" i="10"/>
  <c r="G143" i="9"/>
  <c r="G142" i="9"/>
  <c r="G143" i="8"/>
  <c r="G142" i="8"/>
  <c r="G144" i="7"/>
  <c r="G143" i="7"/>
  <c r="G144" i="6"/>
  <c r="G143" i="6"/>
  <c r="G154" i="19" l="1"/>
  <c r="G155" i="19" s="1"/>
  <c r="G135" i="19"/>
  <c r="I139" i="19" s="1"/>
  <c r="G136" i="19" s="1"/>
  <c r="G131" i="9"/>
  <c r="G132" i="7"/>
  <c r="G131" i="11"/>
  <c r="G132" i="6"/>
  <c r="G131" i="8"/>
  <c r="C163" i="7"/>
  <c r="C163" i="6"/>
  <c r="I140" i="19" l="1"/>
  <c r="G137" i="19" s="1"/>
  <c r="G131" i="10"/>
  <c r="G131" i="18"/>
  <c r="G132" i="18" s="1"/>
  <c r="I64" i="7"/>
  <c r="I64" i="6"/>
  <c r="I142" i="19" l="1"/>
  <c r="I141" i="19"/>
  <c r="I145" i="19" s="1"/>
  <c r="G156" i="19" s="1"/>
  <c r="G157" i="19" s="1"/>
  <c r="G162" i="19" s="1"/>
  <c r="I162" i="19" s="1"/>
  <c r="I144" i="19"/>
  <c r="I143" i="19"/>
  <c r="G154" i="18"/>
  <c r="G155" i="18" s="1"/>
  <c r="G135" i="18"/>
  <c r="I63" i="11"/>
  <c r="I63" i="10"/>
  <c r="I63" i="9"/>
  <c r="I63" i="8"/>
  <c r="I63" i="2"/>
  <c r="I139" i="18" l="1"/>
  <c r="G136" i="18" s="1"/>
  <c r="G33" i="7"/>
  <c r="I140" i="18" l="1"/>
  <c r="G137" i="18" s="1"/>
  <c r="I142" i="18" l="1"/>
  <c r="I144" i="18"/>
  <c r="I143" i="18"/>
  <c r="I141" i="18"/>
  <c r="I145" i="18" s="1"/>
  <c r="G156" i="18" s="1"/>
  <c r="G157" i="18" s="1"/>
  <c r="I162" i="18" s="1"/>
  <c r="E12" i="13"/>
  <c r="H4" i="4"/>
  <c r="H5" i="4"/>
  <c r="H6" i="4"/>
  <c r="H7" i="4"/>
  <c r="H8" i="4"/>
  <c r="H9" i="4"/>
  <c r="H11" i="4"/>
  <c r="H10" i="4"/>
  <c r="H12" i="4"/>
  <c r="H13" i="4"/>
  <c r="H14" i="4"/>
  <c r="H15" i="4"/>
  <c r="H16" i="4"/>
  <c r="H17" i="4"/>
  <c r="H18" i="4"/>
  <c r="H19" i="4"/>
  <c r="H20" i="4"/>
  <c r="H21" i="4"/>
  <c r="H23" i="4"/>
  <c r="H22" i="4"/>
  <c r="H24" i="4"/>
  <c r="H25" i="4"/>
  <c r="H26" i="4"/>
  <c r="H35" i="4"/>
  <c r="H29" i="4"/>
  <c r="H30" i="4"/>
  <c r="H31" i="4"/>
  <c r="H32" i="4"/>
  <c r="H33" i="4"/>
  <c r="H28" i="4"/>
  <c r="H27" i="4"/>
  <c r="H34" i="4"/>
  <c r="H36" i="4"/>
  <c r="H37" i="4"/>
  <c r="H38" i="4"/>
  <c r="H39" i="4"/>
  <c r="H40" i="4"/>
  <c r="H41" i="4"/>
  <c r="H42" i="4"/>
  <c r="H5" i="14"/>
  <c r="H6" i="14"/>
  <c r="H7" i="14"/>
  <c r="H8" i="14"/>
  <c r="H9" i="14"/>
  <c r="H10" i="14"/>
  <c r="H11" i="14"/>
  <c r="H12" i="14"/>
  <c r="H13" i="14"/>
  <c r="H14" i="14"/>
  <c r="H15" i="14"/>
  <c r="H16" i="14"/>
  <c r="H17" i="14"/>
  <c r="H18" i="14"/>
  <c r="H19" i="14"/>
  <c r="H20" i="14"/>
  <c r="H21" i="14"/>
  <c r="H22" i="14"/>
  <c r="H23" i="14"/>
  <c r="H24" i="14"/>
  <c r="H25" i="14"/>
  <c r="H26" i="14"/>
  <c r="H27" i="14"/>
  <c r="H28" i="14"/>
  <c r="H29" i="14"/>
  <c r="H30" i="14"/>
  <c r="H31" i="14"/>
  <c r="H32" i="14"/>
  <c r="H33" i="14"/>
  <c r="H34" i="14"/>
  <c r="H35" i="14"/>
  <c r="H36" i="14"/>
  <c r="H37" i="14"/>
  <c r="H38" i="14"/>
  <c r="H39" i="14"/>
  <c r="H40" i="14"/>
  <c r="H41" i="14"/>
  <c r="H42" i="14"/>
  <c r="H43" i="14"/>
  <c r="H44" i="14"/>
  <c r="H45" i="14"/>
  <c r="H46" i="14"/>
  <c r="H47" i="14"/>
  <c r="H48" i="14"/>
  <c r="H49" i="14"/>
  <c r="H50" i="14"/>
  <c r="H51" i="14"/>
  <c r="H52" i="14"/>
  <c r="H53" i="14"/>
  <c r="H54" i="14"/>
  <c r="H55" i="14"/>
  <c r="H56" i="14"/>
  <c r="H57" i="14"/>
  <c r="H58" i="14"/>
  <c r="H59" i="14"/>
  <c r="H60" i="14"/>
  <c r="H61" i="14"/>
  <c r="H62" i="14"/>
  <c r="H63" i="14"/>
  <c r="H64" i="14"/>
  <c r="H65" i="14"/>
  <c r="H66" i="14"/>
  <c r="H67" i="14"/>
  <c r="H68" i="14"/>
  <c r="H69" i="14"/>
  <c r="H4" i="14"/>
  <c r="I159" i="12"/>
  <c r="I158" i="12"/>
  <c r="I157" i="12" s="1"/>
  <c r="I152" i="12"/>
  <c r="I153" i="12"/>
  <c r="I154" i="12"/>
  <c r="I155" i="12"/>
  <c r="I156" i="12"/>
  <c r="I151" i="12" l="1"/>
  <c r="I161" i="12" s="1"/>
  <c r="G167" i="12" s="1"/>
  <c r="F4" i="13" l="1"/>
  <c r="F5" i="13"/>
  <c r="F6" i="13"/>
  <c r="F7" i="13"/>
  <c r="F8" i="13"/>
  <c r="F9" i="13"/>
  <c r="F10" i="13"/>
  <c r="F11" i="13"/>
  <c r="F12" i="13"/>
  <c r="F13" i="13"/>
  <c r="F14" i="13"/>
  <c r="F15" i="13"/>
  <c r="F16" i="13"/>
  <c r="F17" i="13"/>
  <c r="F18" i="13"/>
  <c r="F19" i="13"/>
  <c r="F20" i="13"/>
  <c r="F21" i="13"/>
  <c r="F22" i="13"/>
  <c r="F23" i="13"/>
  <c r="F24" i="13"/>
  <c r="F25" i="13"/>
  <c r="F26" i="13"/>
  <c r="F27" i="13"/>
  <c r="F28" i="13"/>
  <c r="F29" i="13"/>
  <c r="F30" i="13"/>
  <c r="F31" i="13"/>
  <c r="F32" i="13"/>
  <c r="F33" i="13"/>
  <c r="F34" i="13"/>
  <c r="F35" i="13"/>
  <c r="F36" i="13"/>
  <c r="F37" i="13"/>
  <c r="F38" i="13"/>
  <c r="F39" i="13"/>
  <c r="F40" i="13"/>
  <c r="F41" i="13"/>
  <c r="F42" i="13"/>
  <c r="F43" i="13"/>
  <c r="F44" i="13"/>
  <c r="F45" i="13"/>
  <c r="F46" i="13"/>
  <c r="F47" i="13"/>
  <c r="F48" i="13"/>
  <c r="F49" i="13"/>
  <c r="F50" i="13"/>
  <c r="F51" i="13"/>
  <c r="F52" i="13"/>
  <c r="F53" i="13"/>
  <c r="F54" i="13"/>
  <c r="F55" i="13"/>
  <c r="F56" i="13"/>
  <c r="F57" i="13"/>
  <c r="F58" i="13"/>
  <c r="F59" i="13"/>
  <c r="F60" i="13"/>
  <c r="F61" i="13"/>
  <c r="F62" i="13"/>
  <c r="F63" i="13"/>
  <c r="F64" i="13"/>
  <c r="F65" i="13"/>
  <c r="F66" i="13"/>
  <c r="F67" i="13"/>
  <c r="F68" i="13"/>
  <c r="F3" i="13"/>
  <c r="G178" i="12"/>
  <c r="E146" i="12"/>
  <c r="F146" i="12" s="1"/>
  <c r="G117" i="12"/>
  <c r="G123" i="12" s="1"/>
  <c r="G106" i="12"/>
  <c r="G105" i="12"/>
  <c r="G104" i="12"/>
  <c r="G103" i="12"/>
  <c r="G102" i="12"/>
  <c r="G101" i="12"/>
  <c r="G90" i="12"/>
  <c r="G92" i="12" s="1"/>
  <c r="H89" i="12"/>
  <c r="H87" i="12"/>
  <c r="G88" i="12" s="1"/>
  <c r="I64" i="12"/>
  <c r="G58" i="12"/>
  <c r="G44" i="12"/>
  <c r="G32" i="12"/>
  <c r="G30" i="12"/>
  <c r="I63" i="12" s="1"/>
  <c r="A162" i="11"/>
  <c r="C162" i="11" s="1"/>
  <c r="G141" i="11"/>
  <c r="G117" i="11"/>
  <c r="G123" i="11" s="1"/>
  <c r="G106" i="11"/>
  <c r="G105" i="11"/>
  <c r="G104" i="11"/>
  <c r="G103" i="11"/>
  <c r="G107" i="11" s="1"/>
  <c r="G102" i="11"/>
  <c r="G101" i="11"/>
  <c r="G92" i="11"/>
  <c r="G90" i="11"/>
  <c r="G91" i="11" s="1"/>
  <c r="G93" i="11" s="1"/>
  <c r="H89" i="11"/>
  <c r="G88" i="11"/>
  <c r="H87" i="11"/>
  <c r="I64" i="11"/>
  <c r="G58" i="11"/>
  <c r="G44" i="11"/>
  <c r="G32" i="11"/>
  <c r="G30" i="11"/>
  <c r="G32" i="10"/>
  <c r="G31" i="10"/>
  <c r="A162" i="10"/>
  <c r="C162" i="10" s="1"/>
  <c r="G141" i="10"/>
  <c r="G117" i="10"/>
  <c r="G123" i="10" s="1"/>
  <c r="G106" i="10"/>
  <c r="G105" i="10"/>
  <c r="G104" i="10"/>
  <c r="G103" i="10"/>
  <c r="G107" i="10" s="1"/>
  <c r="G102" i="10"/>
  <c r="G101" i="10"/>
  <c r="G92" i="10"/>
  <c r="G90" i="10"/>
  <c r="G91" i="10" s="1"/>
  <c r="H89" i="10"/>
  <c r="G88" i="10"/>
  <c r="G93" i="10" s="1"/>
  <c r="H87" i="10"/>
  <c r="I64" i="10"/>
  <c r="G58" i="10"/>
  <c r="G44" i="10"/>
  <c r="G30" i="10"/>
  <c r="G32" i="9"/>
  <c r="G32" i="7"/>
  <c r="A162" i="9"/>
  <c r="C162" i="9" s="1"/>
  <c r="G141" i="9"/>
  <c r="G117" i="9"/>
  <c r="G123" i="9" s="1"/>
  <c r="G106" i="9"/>
  <c r="G105" i="9"/>
  <c r="G104" i="9"/>
  <c r="G103" i="9"/>
  <c r="G102" i="9"/>
  <c r="G107" i="9" s="1"/>
  <c r="G101" i="9"/>
  <c r="G92" i="9"/>
  <c r="G91" i="9"/>
  <c r="G90" i="9"/>
  <c r="H89" i="9"/>
  <c r="H87" i="9"/>
  <c r="I64" i="9"/>
  <c r="G58" i="9"/>
  <c r="G44" i="9"/>
  <c r="G30" i="9"/>
  <c r="I72" i="9" s="1"/>
  <c r="G79" i="9" s="1"/>
  <c r="F69" i="13" l="1"/>
  <c r="I72" i="12"/>
  <c r="G79" i="12" s="1"/>
  <c r="G91" i="12"/>
  <c r="G93" i="12" s="1"/>
  <c r="G107" i="12"/>
  <c r="G108" i="12" s="1"/>
  <c r="G109" i="12" s="1"/>
  <c r="G31" i="12"/>
  <c r="G34" i="12" s="1"/>
  <c r="I72" i="11"/>
  <c r="G79" i="11" s="1"/>
  <c r="G109" i="11"/>
  <c r="G108" i="11"/>
  <c r="G31" i="11"/>
  <c r="G34" i="11" s="1"/>
  <c r="I72" i="10"/>
  <c r="G79" i="10" s="1"/>
  <c r="G108" i="10"/>
  <c r="G109" i="10" s="1"/>
  <c r="G34" i="10"/>
  <c r="G108" i="9"/>
  <c r="G109" i="9" s="1"/>
  <c r="G88" i="9"/>
  <c r="G93" i="9" s="1"/>
  <c r="G31" i="9"/>
  <c r="G34" i="9" s="1"/>
  <c r="G141" i="8"/>
  <c r="G117" i="8"/>
  <c r="G123" i="8" s="1"/>
  <c r="G106" i="8"/>
  <c r="G105" i="8"/>
  <c r="G104" i="8"/>
  <c r="G103" i="8"/>
  <c r="G102" i="8"/>
  <c r="G101" i="8"/>
  <c r="G92" i="8"/>
  <c r="G90" i="8"/>
  <c r="H89" i="8"/>
  <c r="H87" i="8"/>
  <c r="G88" i="8" s="1"/>
  <c r="I64" i="8"/>
  <c r="G58" i="8"/>
  <c r="G44" i="8"/>
  <c r="G30" i="8"/>
  <c r="G31" i="7"/>
  <c r="A163" i="7"/>
  <c r="G142" i="7"/>
  <c r="G118" i="7"/>
  <c r="G124" i="7" s="1"/>
  <c r="G107" i="7"/>
  <c r="G106" i="7"/>
  <c r="G105" i="7"/>
  <c r="G104" i="7"/>
  <c r="G103" i="7"/>
  <c r="G102" i="7"/>
  <c r="G108" i="7" s="1"/>
  <c r="G93" i="7"/>
  <c r="G92" i="7"/>
  <c r="G91" i="7"/>
  <c r="H90" i="7"/>
  <c r="H88" i="7"/>
  <c r="I65" i="7"/>
  <c r="G59" i="7"/>
  <c r="G45" i="7"/>
  <c r="G30" i="7"/>
  <c r="I73" i="7" s="1"/>
  <c r="G80" i="7" s="1"/>
  <c r="A163" i="6"/>
  <c r="G142" i="6"/>
  <c r="G118" i="6"/>
  <c r="G124" i="6" s="1"/>
  <c r="G107" i="6"/>
  <c r="G106" i="6"/>
  <c r="G105" i="6"/>
  <c r="G104" i="6"/>
  <c r="G103" i="6"/>
  <c r="G108" i="6" s="1"/>
  <c r="G102" i="6"/>
  <c r="G92" i="6"/>
  <c r="G91" i="6"/>
  <c r="G93" i="6" s="1"/>
  <c r="H90" i="6"/>
  <c r="H88" i="6"/>
  <c r="I65" i="6"/>
  <c r="G59" i="6"/>
  <c r="G45" i="6"/>
  <c r="G30" i="6"/>
  <c r="I73" i="6" s="1"/>
  <c r="G80" i="6" s="1"/>
  <c r="F70" i="13" l="1"/>
  <c r="E73" i="13"/>
  <c r="E74" i="13" s="1"/>
  <c r="G39" i="12"/>
  <c r="G84" i="12"/>
  <c r="G98" i="12"/>
  <c r="G110" i="12"/>
  <c r="G111" i="12"/>
  <c r="G84" i="11"/>
  <c r="G150" i="11"/>
  <c r="G98" i="11"/>
  <c r="G39" i="11"/>
  <c r="G110" i="11"/>
  <c r="G111" i="11"/>
  <c r="G110" i="10"/>
  <c r="G111" i="10"/>
  <c r="G84" i="10"/>
  <c r="G150" i="10"/>
  <c r="G98" i="10"/>
  <c r="G39" i="10"/>
  <c r="G84" i="9"/>
  <c r="G150" i="9"/>
  <c r="G98" i="9"/>
  <c r="G39" i="9"/>
  <c r="G110" i="9"/>
  <c r="G111" i="9" s="1"/>
  <c r="G91" i="8"/>
  <c r="G93" i="8" s="1"/>
  <c r="I72" i="8"/>
  <c r="G79" i="8" s="1"/>
  <c r="G31" i="8"/>
  <c r="G107" i="8"/>
  <c r="G34" i="8"/>
  <c r="G35" i="7"/>
  <c r="G85" i="7" s="1"/>
  <c r="G94" i="7"/>
  <c r="G109" i="7"/>
  <c r="G110" i="7" s="1"/>
  <c r="G89" i="7"/>
  <c r="G109" i="6"/>
  <c r="G110" i="6" s="1"/>
  <c r="G35" i="6"/>
  <c r="G89" i="6"/>
  <c r="G94" i="6" s="1"/>
  <c r="G31" i="6"/>
  <c r="E76" i="13" l="1"/>
  <c r="I104" i="12"/>
  <c r="I105" i="12"/>
  <c r="I101" i="12"/>
  <c r="I108" i="12"/>
  <c r="I102" i="12"/>
  <c r="I110" i="12"/>
  <c r="I106" i="12"/>
  <c r="I111" i="12"/>
  <c r="G122" i="12" s="1"/>
  <c r="G124" i="12" s="1"/>
  <c r="I103" i="12"/>
  <c r="I91" i="12"/>
  <c r="I87" i="12"/>
  <c r="I90" i="12"/>
  <c r="I89" i="12"/>
  <c r="I92" i="12"/>
  <c r="I88" i="12"/>
  <c r="I43" i="12"/>
  <c r="I42" i="12"/>
  <c r="I43" i="11"/>
  <c r="I42" i="11"/>
  <c r="I44" i="11" s="1"/>
  <c r="I105" i="11"/>
  <c r="I111" i="11"/>
  <c r="G122" i="11" s="1"/>
  <c r="G124" i="11" s="1"/>
  <c r="G153" i="11" s="1"/>
  <c r="I103" i="11"/>
  <c r="I108" i="11"/>
  <c r="I104" i="11"/>
  <c r="I110" i="11"/>
  <c r="I106" i="11"/>
  <c r="I102" i="11"/>
  <c r="I101" i="11"/>
  <c r="I91" i="11"/>
  <c r="I87" i="11"/>
  <c r="I90" i="11"/>
  <c r="I89" i="11"/>
  <c r="I92" i="11"/>
  <c r="I88" i="11"/>
  <c r="I43" i="10"/>
  <c r="I42" i="10"/>
  <c r="I106" i="10"/>
  <c r="I105" i="10"/>
  <c r="I108" i="10"/>
  <c r="I104" i="10"/>
  <c r="I110" i="10"/>
  <c r="I111" i="10"/>
  <c r="G122" i="10" s="1"/>
  <c r="G124" i="10" s="1"/>
  <c r="G153" i="10" s="1"/>
  <c r="I103" i="10"/>
  <c r="I102" i="10"/>
  <c r="I101" i="10"/>
  <c r="I91" i="10"/>
  <c r="I87" i="10"/>
  <c r="I90" i="10"/>
  <c r="I92" i="10"/>
  <c r="I89" i="10"/>
  <c r="I88" i="10"/>
  <c r="I42" i="9"/>
  <c r="I43" i="9"/>
  <c r="I111" i="9"/>
  <c r="G122" i="9" s="1"/>
  <c r="G124" i="9" s="1"/>
  <c r="G153" i="9" s="1"/>
  <c r="I101" i="9"/>
  <c r="I108" i="9"/>
  <c r="I104" i="9"/>
  <c r="I103" i="9"/>
  <c r="I110" i="9"/>
  <c r="I106" i="9"/>
  <c r="I102" i="9"/>
  <c r="I105" i="9"/>
  <c r="I90" i="9"/>
  <c r="I91" i="9"/>
  <c r="I92" i="9"/>
  <c r="I87" i="9"/>
  <c r="I89" i="9"/>
  <c r="I88" i="9"/>
  <c r="G84" i="8"/>
  <c r="G150" i="8"/>
  <c r="G98" i="8"/>
  <c r="G39" i="8"/>
  <c r="G108" i="8"/>
  <c r="G109" i="8" s="1"/>
  <c r="G40" i="7"/>
  <c r="I43" i="7" s="1"/>
  <c r="G99" i="7"/>
  <c r="I111" i="7" s="1"/>
  <c r="G151" i="7"/>
  <c r="G111" i="7"/>
  <c r="G112" i="7"/>
  <c r="I92" i="7"/>
  <c r="I88" i="7"/>
  <c r="I91" i="7"/>
  <c r="I90" i="7"/>
  <c r="I93" i="7"/>
  <c r="I89" i="7"/>
  <c r="G111" i="6"/>
  <c r="G112" i="6" s="1"/>
  <c r="G85" i="6"/>
  <c r="G151" i="6"/>
  <c r="G99" i="6"/>
  <c r="G40" i="6"/>
  <c r="E75" i="13" l="1"/>
  <c r="H8" i="15" s="1"/>
  <c r="I8" i="15" s="1"/>
  <c r="E77" i="13"/>
  <c r="I107" i="7"/>
  <c r="I106" i="7"/>
  <c r="I93" i="12"/>
  <c r="I44" i="12"/>
  <c r="G77" i="12"/>
  <c r="G47" i="12"/>
  <c r="I107" i="12"/>
  <c r="I109" i="12" s="1"/>
  <c r="I93" i="11"/>
  <c r="G152" i="11" s="1"/>
  <c r="I107" i="11"/>
  <c r="I109" i="11" s="1"/>
  <c r="G77" i="11"/>
  <c r="G47" i="11"/>
  <c r="I93" i="10"/>
  <c r="G152" i="10" s="1"/>
  <c r="I107" i="10"/>
  <c r="I109" i="10" s="1"/>
  <c r="I44" i="10"/>
  <c r="I93" i="9"/>
  <c r="G152" i="9" s="1"/>
  <c r="I104" i="7"/>
  <c r="I102" i="7"/>
  <c r="I105" i="7"/>
  <c r="I112" i="7"/>
  <c r="G123" i="7" s="1"/>
  <c r="G125" i="7" s="1"/>
  <c r="G154" i="7" s="1"/>
  <c r="I109" i="7"/>
  <c r="I103" i="7"/>
  <c r="I44" i="9"/>
  <c r="G77" i="9" s="1"/>
  <c r="I107" i="9"/>
  <c r="I109" i="9" s="1"/>
  <c r="G110" i="8"/>
  <c r="I110" i="8" s="1"/>
  <c r="I105" i="8"/>
  <c r="I108" i="8"/>
  <c r="I104" i="8"/>
  <c r="I106" i="8"/>
  <c r="I103" i="8"/>
  <c r="I102" i="8"/>
  <c r="I101" i="8"/>
  <c r="I90" i="8"/>
  <c r="I87" i="8"/>
  <c r="I89" i="8"/>
  <c r="I91" i="8"/>
  <c r="I92" i="8"/>
  <c r="I88" i="8"/>
  <c r="I43" i="8"/>
  <c r="I42" i="8"/>
  <c r="I44" i="7"/>
  <c r="I45" i="7" s="1"/>
  <c r="I94" i="7"/>
  <c r="G153" i="7" s="1"/>
  <c r="I109" i="6"/>
  <c r="I105" i="6"/>
  <c r="I106" i="6"/>
  <c r="I112" i="6"/>
  <c r="G123" i="6" s="1"/>
  <c r="G125" i="6" s="1"/>
  <c r="G154" i="6" s="1"/>
  <c r="I104" i="6"/>
  <c r="I111" i="6"/>
  <c r="I103" i="6"/>
  <c r="I102" i="6"/>
  <c r="I107" i="6"/>
  <c r="I91" i="6"/>
  <c r="I90" i="6"/>
  <c r="I88" i="6"/>
  <c r="I93" i="6"/>
  <c r="I89" i="6"/>
  <c r="I92" i="6"/>
  <c r="I43" i="6"/>
  <c r="I44" i="6"/>
  <c r="I108" i="7" l="1"/>
  <c r="I110" i="7" s="1"/>
  <c r="I55" i="12"/>
  <c r="I54" i="12"/>
  <c r="I56" i="12"/>
  <c r="I53" i="12"/>
  <c r="I52" i="12"/>
  <c r="I51" i="12"/>
  <c r="I50" i="12"/>
  <c r="I57" i="12"/>
  <c r="I55" i="11"/>
  <c r="I50" i="11"/>
  <c r="I54" i="11"/>
  <c r="I53" i="11"/>
  <c r="I52" i="11"/>
  <c r="I51" i="11"/>
  <c r="I57" i="11"/>
  <c r="I56" i="11"/>
  <c r="G77" i="10"/>
  <c r="G47" i="10"/>
  <c r="G47" i="9"/>
  <c r="I54" i="9" s="1"/>
  <c r="G111" i="8"/>
  <c r="I111" i="8" s="1"/>
  <c r="G122" i="8" s="1"/>
  <c r="G124" i="8" s="1"/>
  <c r="G153" i="8" s="1"/>
  <c r="I107" i="8"/>
  <c r="I109" i="8" s="1"/>
  <c r="I93" i="8"/>
  <c r="G152" i="8" s="1"/>
  <c r="I44" i="8"/>
  <c r="G78" i="7"/>
  <c r="G48" i="7"/>
  <c r="I45" i="6"/>
  <c r="I108" i="6"/>
  <c r="I110" i="6" s="1"/>
  <c r="I94" i="6"/>
  <c r="G153" i="6" s="1"/>
  <c r="I58" i="12" l="1"/>
  <c r="G78" i="12" s="1"/>
  <c r="G80" i="12" s="1"/>
  <c r="I58" i="11"/>
  <c r="G78" i="11" s="1"/>
  <c r="G80" i="11" s="1"/>
  <c r="I55" i="10"/>
  <c r="I50" i="10"/>
  <c r="I54" i="10"/>
  <c r="I56" i="10"/>
  <c r="I53" i="10"/>
  <c r="I52" i="10"/>
  <c r="I57" i="10"/>
  <c r="I51" i="10"/>
  <c r="I56" i="9"/>
  <c r="I50" i="9"/>
  <c r="I53" i="9"/>
  <c r="I52" i="9"/>
  <c r="I57" i="9"/>
  <c r="I51" i="9"/>
  <c r="I55" i="9"/>
  <c r="I58" i="9" s="1"/>
  <c r="G78" i="9" s="1"/>
  <c r="G80" i="9" s="1"/>
  <c r="G77" i="8"/>
  <c r="G47" i="8"/>
  <c r="I56" i="7"/>
  <c r="I54" i="7"/>
  <c r="I53" i="7"/>
  <c r="I52" i="7"/>
  <c r="I51" i="7"/>
  <c r="I57" i="7"/>
  <c r="I55" i="7"/>
  <c r="I58" i="7"/>
  <c r="G78" i="6"/>
  <c r="G48" i="6"/>
  <c r="G151" i="11" l="1"/>
  <c r="I58" i="10"/>
  <c r="G78" i="10" s="1"/>
  <c r="G80" i="10" s="1"/>
  <c r="G151" i="9"/>
  <c r="I54" i="8"/>
  <c r="I53" i="8"/>
  <c r="I55" i="8"/>
  <c r="I52" i="8"/>
  <c r="I56" i="8"/>
  <c r="I51" i="8"/>
  <c r="I50" i="8"/>
  <c r="I57" i="8"/>
  <c r="I59" i="7"/>
  <c r="G79" i="7" s="1"/>
  <c r="G81" i="7" s="1"/>
  <c r="I54" i="6"/>
  <c r="I53" i="6"/>
  <c r="I52" i="6"/>
  <c r="I51" i="6"/>
  <c r="I57" i="6"/>
  <c r="I56" i="6"/>
  <c r="I58" i="6"/>
  <c r="I55" i="6"/>
  <c r="G151" i="10" l="1"/>
  <c r="I58" i="8"/>
  <c r="G78" i="8" s="1"/>
  <c r="G80" i="8" s="1"/>
  <c r="G151" i="8" s="1"/>
  <c r="G152" i="7"/>
  <c r="I59" i="6"/>
  <c r="G79" i="6" s="1"/>
  <c r="G81" i="6" s="1"/>
  <c r="G152" i="6" l="1"/>
  <c r="H87" i="2" l="1"/>
  <c r="G88" i="2" s="1"/>
  <c r="H89" i="2"/>
  <c r="C162" i="2"/>
  <c r="F22" i="3"/>
  <c r="F21" i="3"/>
  <c r="F20" i="3"/>
  <c r="F19" i="3"/>
  <c r="F18" i="3"/>
  <c r="F17" i="3"/>
  <c r="F16" i="3"/>
  <c r="F15" i="3"/>
  <c r="F8" i="3"/>
  <c r="F7" i="3"/>
  <c r="F6" i="3"/>
  <c r="F5" i="3"/>
  <c r="F4" i="3"/>
  <c r="F3" i="3"/>
  <c r="I64" i="2"/>
  <c r="G30" i="2"/>
  <c r="F9" i="3" l="1"/>
  <c r="F10" i="3" s="1"/>
  <c r="G130" i="2" s="1"/>
  <c r="G132" i="2" s="1"/>
  <c r="G154" i="2" s="1"/>
  <c r="F23" i="3"/>
  <c r="F24" i="3" s="1"/>
  <c r="G131" i="7" s="1"/>
  <c r="G133" i="7" s="1"/>
  <c r="I72" i="2"/>
  <c r="G79" i="2" s="1"/>
  <c r="G31" i="2"/>
  <c r="H43" i="4"/>
  <c r="G117" i="2"/>
  <c r="G123" i="2" s="1"/>
  <c r="G106" i="2"/>
  <c r="G105" i="2"/>
  <c r="G104" i="2"/>
  <c r="G103" i="2"/>
  <c r="G102" i="2"/>
  <c r="G101" i="2"/>
  <c r="G90" i="2"/>
  <c r="G58" i="2"/>
  <c r="G44" i="2"/>
  <c r="G91" i="2" l="1"/>
  <c r="G92" i="2"/>
  <c r="G130" i="11"/>
  <c r="G132" i="11" s="1"/>
  <c r="G154" i="11" s="1"/>
  <c r="G155" i="11" s="1"/>
  <c r="G130" i="10"/>
  <c r="G132" i="10" s="1"/>
  <c r="G154" i="10" s="1"/>
  <c r="G155" i="10" s="1"/>
  <c r="G130" i="9"/>
  <c r="G132" i="9" s="1"/>
  <c r="G154" i="9" s="1"/>
  <c r="G155" i="9" s="1"/>
  <c r="G130" i="8"/>
  <c r="G132" i="8" s="1"/>
  <c r="G154" i="8" s="1"/>
  <c r="G155" i="8" s="1"/>
  <c r="G131" i="6"/>
  <c r="G133" i="6" s="1"/>
  <c r="G155" i="6" s="1"/>
  <c r="G156" i="6" s="1"/>
  <c r="I130" i="12"/>
  <c r="G155" i="7"/>
  <c r="G156" i="7" s="1"/>
  <c r="G136" i="7"/>
  <c r="I140" i="7" s="1"/>
  <c r="G137" i="7" s="1"/>
  <c r="I141" i="7" s="1"/>
  <c r="G138" i="7" s="1"/>
  <c r="G107" i="2"/>
  <c r="G108" i="2" s="1"/>
  <c r="G109" i="2" s="1"/>
  <c r="G93" i="2"/>
  <c r="G34" i="2"/>
  <c r="G142" i="12" l="1"/>
  <c r="G146" i="12" s="1"/>
  <c r="I146" i="12" s="1"/>
  <c r="G166" i="12" s="1"/>
  <c r="G168" i="12" s="1"/>
  <c r="G172" i="12" s="1"/>
  <c r="I176" i="12" s="1"/>
  <c r="G173" i="12" s="1"/>
  <c r="I177" i="12" s="1"/>
  <c r="G174" i="12" s="1"/>
  <c r="G135" i="8"/>
  <c r="I139" i="8" s="1"/>
  <c r="G136" i="8" s="1"/>
  <c r="I140" i="8" s="1"/>
  <c r="G137" i="8" s="1"/>
  <c r="G135" i="9"/>
  <c r="I139" i="9" s="1"/>
  <c r="G136" i="9" s="1"/>
  <c r="I140" i="9" s="1"/>
  <c r="G137" i="9" s="1"/>
  <c r="G135" i="11"/>
  <c r="I139" i="11" s="1"/>
  <c r="G136" i="11" s="1"/>
  <c r="G135" i="10"/>
  <c r="I139" i="10" s="1"/>
  <c r="G136" i="10" s="1"/>
  <c r="I140" i="10" s="1"/>
  <c r="G137" i="10" s="1"/>
  <c r="I143" i="10" s="1"/>
  <c r="G136" i="6"/>
  <c r="G150" i="2"/>
  <c r="G84" i="2"/>
  <c r="I142" i="7"/>
  <c r="I146" i="7" s="1"/>
  <c r="G157" i="7" s="1"/>
  <c r="G158" i="7" s="1"/>
  <c r="G163" i="7" s="1"/>
  <c r="I163" i="7" s="1"/>
  <c r="I143" i="7"/>
  <c r="I145" i="7"/>
  <c r="I144" i="7"/>
  <c r="G110" i="2"/>
  <c r="G111" i="2" s="1"/>
  <c r="G98" i="2"/>
  <c r="G39" i="2"/>
  <c r="I179" i="12" l="1"/>
  <c r="I178" i="12"/>
  <c r="I182" i="12" s="1"/>
  <c r="G7" i="15"/>
  <c r="I7" i="15" s="1"/>
  <c r="I181" i="12"/>
  <c r="I180" i="12"/>
  <c r="I140" i="11"/>
  <c r="G137" i="11" s="1"/>
  <c r="I142" i="11" s="1"/>
  <c r="I141" i="10"/>
  <c r="I145" i="10" s="1"/>
  <c r="G156" i="10" s="1"/>
  <c r="G157" i="10" s="1"/>
  <c r="G162" i="10" s="1"/>
  <c r="I162" i="10" s="1"/>
  <c r="I144" i="10"/>
  <c r="I142" i="10"/>
  <c r="I140" i="6"/>
  <c r="G137" i="6" s="1"/>
  <c r="I141" i="6" s="1"/>
  <c r="G138" i="6" s="1"/>
  <c r="I141" i="8"/>
  <c r="I145" i="8" s="1"/>
  <c r="G156" i="8" s="1"/>
  <c r="G157" i="8" s="1"/>
  <c r="G159" i="8" s="1"/>
  <c r="I142" i="8"/>
  <c r="I144" i="8"/>
  <c r="I143" i="8"/>
  <c r="I141" i="9"/>
  <c r="I145" i="9" s="1"/>
  <c r="G156" i="9" s="1"/>
  <c r="G157" i="9" s="1"/>
  <c r="G162" i="9" s="1"/>
  <c r="I143" i="9"/>
  <c r="I142" i="9"/>
  <c r="I144" i="9"/>
  <c r="I42" i="2"/>
  <c r="I43" i="2"/>
  <c r="I101" i="2"/>
  <c r="I108" i="2"/>
  <c r="I104" i="2"/>
  <c r="I110" i="2"/>
  <c r="I106" i="2"/>
  <c r="I105" i="2"/>
  <c r="I111" i="2"/>
  <c r="G122" i="2" s="1"/>
  <c r="G124" i="2" s="1"/>
  <c r="G153" i="2" s="1"/>
  <c r="I103" i="2"/>
  <c r="I102" i="2"/>
  <c r="G5" i="15" l="1"/>
  <c r="H5" i="15" s="1"/>
  <c r="I5" i="15" s="1"/>
  <c r="I162" i="9"/>
  <c r="I144" i="11"/>
  <c r="I143" i="11"/>
  <c r="I141" i="11"/>
  <c r="I145" i="11" s="1"/>
  <c r="G156" i="11" s="1"/>
  <c r="G157" i="11" s="1"/>
  <c r="G162" i="11" s="1"/>
  <c r="I162" i="11" s="1"/>
  <c r="G160" i="8"/>
  <c r="H3" i="15"/>
  <c r="I3" i="15" s="1"/>
  <c r="I142" i="6"/>
  <c r="I146" i="6" s="1"/>
  <c r="G157" i="6" s="1"/>
  <c r="G158" i="6" s="1"/>
  <c r="G163" i="6" s="1"/>
  <c r="I163" i="6" s="1"/>
  <c r="I144" i="6"/>
  <c r="I143" i="6"/>
  <c r="I145" i="6"/>
  <c r="I44" i="2"/>
  <c r="I107" i="2"/>
  <c r="I109" i="2" s="1"/>
  <c r="H4" i="15" l="1"/>
  <c r="I4" i="15" s="1"/>
  <c r="G6" i="15"/>
  <c r="G47" i="2"/>
  <c r="G77" i="2"/>
  <c r="H6" i="15" l="1"/>
  <c r="I6" i="15" s="1"/>
  <c r="I9" i="15" s="1"/>
  <c r="I91" i="2"/>
  <c r="I88" i="2"/>
  <c r="I90" i="2"/>
  <c r="I89" i="2"/>
  <c r="I87" i="2"/>
  <c r="I92" i="2"/>
  <c r="I54" i="2"/>
  <c r="I53" i="2"/>
  <c r="I52" i="2"/>
  <c r="I51" i="2"/>
  <c r="I56" i="2"/>
  <c r="I50" i="2"/>
  <c r="I57" i="2"/>
  <c r="I55" i="2"/>
  <c r="I93" i="2" l="1"/>
  <c r="G152" i="2" s="1"/>
  <c r="I58" i="2"/>
  <c r="G78" i="2" s="1"/>
  <c r="G80" i="2" s="1"/>
  <c r="G151" i="2" s="1"/>
  <c r="G155" i="2" l="1"/>
  <c r="G135" i="2"/>
  <c r="I139" i="2" l="1"/>
  <c r="G136" i="2" s="1"/>
  <c r="I140" i="2" l="1"/>
  <c r="G137" i="2" s="1"/>
  <c r="I143" i="2" l="1"/>
  <c r="I144" i="2"/>
  <c r="I142" i="2"/>
  <c r="I141" i="2"/>
  <c r="I145" i="2" s="1"/>
  <c r="G156" i="2" s="1"/>
  <c r="G157" i="2" s="1"/>
  <c r="G162" i="2" s="1"/>
  <c r="I162" i="2" s="1"/>
  <c r="G2" i="15" s="1"/>
  <c r="H2" i="15" l="1"/>
  <c r="I2" i="15" s="1"/>
</calcChain>
</file>

<file path=xl/sharedStrings.xml><?xml version="1.0" encoding="utf-8"?>
<sst xmlns="http://schemas.openxmlformats.org/spreadsheetml/2006/main" count="3253" uniqueCount="543">
  <si>
    <t>PLANILHA DE CUSTOS E FORMAÇÃO DE PREÇOS</t>
  </si>
  <si>
    <t>MODELO PARA A CONSOLIDAÇÃO E APRESENTAÇÃO DE PROPOSTAS (IN SEGES/ME 05/2017)</t>
  </si>
  <si>
    <t>Discriminação dos Serviços (dados referentes à contratação)</t>
  </si>
  <si>
    <t>A</t>
  </si>
  <si>
    <t>Data de apresentação da proposta (dia/mês/ano):</t>
  </si>
  <si>
    <t>B</t>
  </si>
  <si>
    <t>Município/UF:</t>
  </si>
  <si>
    <t>SR/PF/ES e NEPOM - Vila Velha e Vitória/ES</t>
  </si>
  <si>
    <t>C</t>
  </si>
  <si>
    <t>Ano do Acordo, Convenção ou Dissídio Coletivo:</t>
  </si>
  <si>
    <t>D</t>
  </si>
  <si>
    <t>Número de meses de execução contratual</t>
  </si>
  <si>
    <t>24 (vinte e quatro) meses</t>
  </si>
  <si>
    <t>Identificação do Serviço</t>
  </si>
  <si>
    <t>Tipo de serviço</t>
  </si>
  <si>
    <t xml:space="preserve">Unidade de Medida </t>
  </si>
  <si>
    <t>Quantidade (em função da unidade de medida)</t>
  </si>
  <si>
    <t>Encarregado</t>
  </si>
  <si>
    <t>m²</t>
  </si>
  <si>
    <t>Dados para composição dos custos referentes a mão de obra</t>
  </si>
  <si>
    <t>I</t>
  </si>
  <si>
    <t>Tipo de Serviço (mesmo serviço com características distintas)</t>
  </si>
  <si>
    <t>II</t>
  </si>
  <si>
    <t>Classificação Brasileira de Ocupações (CBO)</t>
  </si>
  <si>
    <t>4101-05</t>
  </si>
  <si>
    <t>III</t>
  </si>
  <si>
    <t>Salário Normativo da Categoria Profissional</t>
  </si>
  <si>
    <t>IV</t>
  </si>
  <si>
    <t>Categoria Profissional (vinculada à execução contratual)</t>
  </si>
  <si>
    <t>Limpeza, Conservação e Asseio</t>
  </si>
  <si>
    <t>V</t>
  </si>
  <si>
    <t>Data-Base da Categoria (dia/mês/ano)</t>
  </si>
  <si>
    <t>Módulo 1 - Composição da Remuneração</t>
  </si>
  <si>
    <t>Composição da Remuneração</t>
  </si>
  <si>
    <t>Valor (R$)</t>
  </si>
  <si>
    <t>Salário-Base</t>
  </si>
  <si>
    <t>Adicional de Periculosidade</t>
  </si>
  <si>
    <t>Adicional de Insalubridade</t>
  </si>
  <si>
    <t>Outros (especificar)</t>
  </si>
  <si>
    <t>Total</t>
  </si>
  <si>
    <t>Módulo 2 - Encargos e Benefícios Anuais, Mensais e Diários</t>
  </si>
  <si>
    <t>Submódulo 2.1 - 13º (décimo terceiro) Salário, Férias e Adicional de Férias</t>
  </si>
  <si>
    <t>Base de Cálculo do Submódulo 2.1 (Módulo 1) =</t>
  </si>
  <si>
    <t>2.1</t>
  </si>
  <si>
    <t>13º (décimo terceiro) Salário, Férias e Adicional de Férias</t>
  </si>
  <si>
    <t>Percentual (%)</t>
  </si>
  <si>
    <t>13º (décimo terceiro) Salário</t>
  </si>
  <si>
    <t>Adicional de Férias</t>
  </si>
  <si>
    <t>Submódulo 2.2 - Encargos Previdenciários (GPS), Fundo de Garantia por Tempo de Serviço (FGTS) e outras contribuições.</t>
  </si>
  <si>
    <t>Base de Cálculo do Submódulo 2.2 (Módulo 1 + Submódulo 2.1 ) =</t>
  </si>
  <si>
    <t>2.2</t>
  </si>
  <si>
    <t>GPS, FGTS e outras contribuições</t>
  </si>
  <si>
    <t>INSS</t>
  </si>
  <si>
    <t>Salário Educação</t>
  </si>
  <si>
    <t xml:space="preserve">SAT </t>
  </si>
  <si>
    <t>SESC ou SESI</t>
  </si>
  <si>
    <t>E</t>
  </si>
  <si>
    <t>SENAI - SENAC</t>
  </si>
  <si>
    <t>F</t>
  </si>
  <si>
    <t>SEBRAE</t>
  </si>
  <si>
    <t>G</t>
  </si>
  <si>
    <t>INCRA</t>
  </si>
  <si>
    <t>H</t>
  </si>
  <si>
    <t>FGTS</t>
  </si>
  <si>
    <t xml:space="preserve">Total </t>
  </si>
  <si>
    <t>Submódulo 2.3 - Benefícios Mensais e Diários.</t>
  </si>
  <si>
    <t>2.3</t>
  </si>
  <si>
    <t>Benefícios Mensais e Diários</t>
  </si>
  <si>
    <t>Transporte</t>
  </si>
  <si>
    <t>Auxílio-Refeição/Alimentação</t>
  </si>
  <si>
    <t>Plano de Assistência Médica</t>
  </si>
  <si>
    <t>Seguro de Vida</t>
  </si>
  <si>
    <t>Assistência Odontológica</t>
  </si>
  <si>
    <t>IDESBRE</t>
  </si>
  <si>
    <t>Auxílio Creche</t>
  </si>
  <si>
    <t>Gratificação por Aposentadoria</t>
  </si>
  <si>
    <t>Quadro-Resumo do Módulo 2 - Encargos e Benefícios anuais, mensais e diários</t>
  </si>
  <si>
    <t>Encargos e Benefícios Anuais, Mensais e Diários</t>
  </si>
  <si>
    <t>Módulo 3 - Provisão para Rescisão</t>
  </si>
  <si>
    <t>Base de Cálculo do Módulo 3 (Módulo 1) =</t>
  </si>
  <si>
    <t>Provisão para Rescisão</t>
  </si>
  <si>
    <t>Aviso Prévio Indenizado</t>
  </si>
  <si>
    <t>Incidência do FGTS sobre o Aviso Prévio Indenizado</t>
  </si>
  <si>
    <t>Aviso Prévio Trabalhado</t>
  </si>
  <si>
    <t>Incidência de GPS, FGTS e outras contribuições sobre o Aviso Prévio Trabalhado</t>
  </si>
  <si>
    <t>Módulo 4 - Custo de Reposição do Profissional Ausente</t>
  </si>
  <si>
    <t>Submódulo 4.1 - Ausências Legais</t>
  </si>
  <si>
    <t>Base de Cálculo do Módulo 4.1 (Módulo 1) =</t>
  </si>
  <si>
    <t>4.1</t>
  </si>
  <si>
    <t>Ausências Legais</t>
  </si>
  <si>
    <t>%</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</si>
  <si>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</si>
  <si>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</si>
  <si>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</si>
  <si>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</si>
  <si>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</si>
  <si>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</si>
  <si>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Subtotal antes da incidência de proporcional de férias, 1/3 e 13º sobre custo de reposição</t>
  </si>
  <si>
    <t>Proporcional de férias, 1/3 e 13º sobre custo de reposição (exceto afastamento maternidade)</t>
  </si>
  <si>
    <t>Subtotal antes da incidência do submódulo 2.2 sobre custo de reposição</t>
  </si>
  <si>
    <t>Incidência do submódulo 2.2 sobre custo de reposição</t>
  </si>
  <si>
    <t>Submódulo 4.2 - Intrajornada</t>
  </si>
  <si>
    <t>4.2</t>
  </si>
  <si>
    <t>Intrajornada</t>
  </si>
  <si>
    <t>Substituto na cobertura de Intervalo para repouso ou alimentação</t>
  </si>
  <si>
    <t>Quadro-Resumo do Módulo 4 - Custo de Reposição do Profissional Ausente</t>
  </si>
  <si>
    <t>Custo de Reposição do Profissional Ausente</t>
  </si>
  <si>
    <t xml:space="preserve">Substituto nas Ausências Legais </t>
  </si>
  <si>
    <t xml:space="preserve">Substituto na Intrajornada </t>
  </si>
  <si>
    <t>Módulo 5 - Insumos Diversos</t>
  </si>
  <si>
    <t>Insumos Diversos</t>
  </si>
  <si>
    <t>Uniformes</t>
  </si>
  <si>
    <t>Módulo 6 - Custos Indiretos, Tributos e Lucro</t>
  </si>
  <si>
    <r>
      <t>Base de cálculo dos custos indiretos - BCCI = ( M1+M2+M3+M4+M5) =</t>
    </r>
    <r>
      <rPr>
        <sz val="10"/>
        <rFont val="Times New Roman"/>
        <family val="1"/>
      </rPr>
      <t xml:space="preserve"> </t>
    </r>
  </si>
  <si>
    <t>Base de cálculo do lucro - BCL = (BCCI + Custos Indiretos) =</t>
  </si>
  <si>
    <t>Base de cálculo dos tributos - BCT = (BCL+Lucro) / (1- (Somatório da % de tributos)) =</t>
  </si>
  <si>
    <t>Custos Indiretos, Tributos e Lucro</t>
  </si>
  <si>
    <t>Custos Indiretos</t>
  </si>
  <si>
    <t>Lucro</t>
  </si>
  <si>
    <t>Tributos</t>
  </si>
  <si>
    <t>C.1</t>
  </si>
  <si>
    <t>Tributos Federais (COFINS - Regime Não-Cumulativo)</t>
  </si>
  <si>
    <t>C.2</t>
  </si>
  <si>
    <t>Tributos Federais (PIS - Regime Não Cumulativo)</t>
  </si>
  <si>
    <t>C.3</t>
  </si>
  <si>
    <t>Tributos Municipais (ISS)</t>
  </si>
  <si>
    <t>2. QUADRO-RESUMO DO CUSTO POR EMPREGADO</t>
  </si>
  <si>
    <t>Mão de obra vinculada à execução contratual (valor por empregado)</t>
  </si>
  <si>
    <t>Subtotal (A + B +C+ D+E)</t>
  </si>
  <si>
    <t>Módulo 6 – Custos Indiretos, Tributos e Lucro</t>
  </si>
  <si>
    <t xml:space="preserve">Valor Total por Empregado </t>
  </si>
  <si>
    <t>Quantidade de empregados previstos na licitação</t>
  </si>
  <si>
    <t>Produtividade</t>
  </si>
  <si>
    <t>Quantidade de Empregados</t>
  </si>
  <si>
    <t>Preço Homem-Mês (R$)</t>
  </si>
  <si>
    <t>SubTotal (R$ x M²)</t>
  </si>
  <si>
    <t>ES000118/2024</t>
  </si>
  <si>
    <t>Limpeza, Conservação e Asseio (Encarregado)</t>
  </si>
  <si>
    <t>Percentual/Desconto</t>
  </si>
  <si>
    <t>-</t>
  </si>
  <si>
    <t>Pregão Eletrônico nº XX/2024 - SR/PF/ES (UASG 200352)</t>
  </si>
  <si>
    <t>DETALHAMENTO VALOR DO CONJUNTO DE UNIFORME PARA ENCARREGADO</t>
  </si>
  <si>
    <t>ITEM</t>
  </si>
  <si>
    <t>DESCRIÇÃO</t>
  </si>
  <si>
    <t>UNIDADE</t>
  </si>
  <si>
    <t>QUANTIDADE</t>
  </si>
  <si>
    <t xml:space="preserve">VALOR UNITÁRIO </t>
  </si>
  <si>
    <t xml:space="preserve">VALOR ANUAL </t>
  </si>
  <si>
    <t>Agasalho de frio</t>
  </si>
  <si>
    <t xml:space="preserve">Peça </t>
  </si>
  <si>
    <t>Calça comprida social, com 2 bolsos frontais embutidos e 2 bolsos traseiros, cós total e passantes de cinto.</t>
  </si>
  <si>
    <t>Camisa social de botão, manga curta</t>
  </si>
  <si>
    <t>Crachá contendo a identificação do empregado</t>
  </si>
  <si>
    <t>Unidade</t>
  </si>
  <si>
    <t>Par de meias brancas, cano médio, confeccionado em malha de algodão, poliamida e elastano</t>
  </si>
  <si>
    <t>Par</t>
  </si>
  <si>
    <t>Par de sapato social, cor preta, solado em borracha antiderrapante</t>
  </si>
  <si>
    <t>TOTAL ANUAL</t>
  </si>
  <si>
    <t>TOTAL MENSAL POR EMPREGADO</t>
  </si>
  <si>
    <t>DETALHAMENTO VALOR DO CONJUNTO DE UNIFORME PARA TODOS OS POSTOS, EXCETO ENCARREGADO</t>
  </si>
  <si>
    <t xml:space="preserve">VALOR TOTAL </t>
  </si>
  <si>
    <t>Calça comprida, com 2 bolsos frontais embutidos e 2 bolsos traseiros, cós total e passantes de cinto.</t>
  </si>
  <si>
    <t>Camiseta de manga curta</t>
  </si>
  <si>
    <t xml:space="preserve">Chapéu, com proteção UV com avas removível com cobertura ao pescoço </t>
  </si>
  <si>
    <t>Óculos, com proteção aos raios solares para trabalho externo</t>
  </si>
  <si>
    <t>Par de sapato ou botina, cor preta, em couro, solado em borracha antiderrapante</t>
  </si>
  <si>
    <t>TOTAL ANUAL POR EMPREGADO</t>
  </si>
  <si>
    <t>VALOR UNITÁRIO</t>
  </si>
  <si>
    <t>SR/PF/ES E NEPOM</t>
  </si>
  <si>
    <t>DELEMIG/DREX/SR/PF/ES</t>
  </si>
  <si>
    <t>DPF/SMT/ES</t>
  </si>
  <si>
    <t>DPF/CIT/ES</t>
  </si>
  <si>
    <t>Aspirador de pó e água 1000 watts, 110/220v</t>
  </si>
  <si>
    <t>Bico de torneira de 1/2 polegada</t>
  </si>
  <si>
    <t xml:space="preserve">Cabo pp 3x2,50 com comprimento de 50 mt  </t>
  </si>
  <si>
    <t xml:space="preserve">Cortador de grama eletrico tipo carrinho Sl 350 </t>
  </si>
  <si>
    <t>Desentupidor de pia</t>
  </si>
  <si>
    <t>Desentupidor de vaso</t>
  </si>
  <si>
    <t xml:space="preserve">Enceradeira 1000 watts, 110/220v  CL 500 </t>
  </si>
  <si>
    <t>Enxada com cabo, largura de 2,5 cm</t>
  </si>
  <si>
    <t>Escada de aluminio com 7 degraus</t>
  </si>
  <si>
    <t xml:space="preserve">Extensão telescópica 9m (3 estágios) com acessórios </t>
  </si>
  <si>
    <t>Lava jato profissional móvel 1850 libras</t>
  </si>
  <si>
    <t>Lixeira de plástico de 40l, na cor preta</t>
  </si>
  <si>
    <t>Mangueira lonada reforçada 1/2 polegada, 50m</t>
  </si>
  <si>
    <t>Pá de bico com cabo n° 4</t>
  </si>
  <si>
    <t xml:space="preserve">Placa sinalizadora para piso molhado </t>
  </si>
  <si>
    <t>Porta papel higiênico para papel interfolhado (dispensador)</t>
  </si>
  <si>
    <t>Porta papel toalha (dispensador)</t>
  </si>
  <si>
    <t>Porta sabonete (dispensador)</t>
  </si>
  <si>
    <t>Pulverizador costal (48 cm x 34 cm x 18 cm pressão máxima 3 bar)</t>
  </si>
  <si>
    <t>Pulverizador manual 1,5 litros p/ quartenário de amônia (pressão prévia acumulada bico cônio regulável de metal)</t>
  </si>
  <si>
    <t xml:space="preserve">Plug fêmea 20A </t>
  </si>
  <si>
    <t>Regador plástico com crivo (bico) recipiente de 7 litros</t>
  </si>
  <si>
    <t xml:space="preserve">Rodo de alumínio com borracha dupla e base de 60 cm </t>
  </si>
  <si>
    <t>Sacho tipo coração com cabo de madeira 43 cm</t>
  </si>
  <si>
    <t>Tesoura de poda</t>
  </si>
  <si>
    <t>Tesourão</t>
  </si>
  <si>
    <t>Vassoura metálica regulável para grama com cabo de madeira, ancinho</t>
  </si>
  <si>
    <t>Capacete de Segurança para trabalho em altura</t>
  </si>
  <si>
    <t>Conjunto cinturão e talabarte para trabalho em altura</t>
  </si>
  <si>
    <t>Trava queda retrátil para trabalho em altura</t>
  </si>
  <si>
    <t>Equipamentos</t>
  </si>
  <si>
    <t>Multa do FGTS sobre o Aviso Prévio Indenizado</t>
  </si>
  <si>
    <t>Multa do FGTS sobre o Aviso Prévio Trabalhado</t>
  </si>
  <si>
    <t>Limpeza, Conservação e Asseio (ASG)</t>
  </si>
  <si>
    <t>5143-20</t>
  </si>
  <si>
    <t>Auxiliar de Serviços Gerais</t>
  </si>
  <si>
    <t>Produtividade (1/P)</t>
  </si>
  <si>
    <t>Processo SEI nº 08285.002801/2024-58</t>
  </si>
  <si>
    <t>Auxiliar de Serviços Gerais - Banheirista</t>
  </si>
  <si>
    <t>SR/PF/ES - Vila Velha</t>
  </si>
  <si>
    <t>Posto/mês</t>
  </si>
  <si>
    <t>5199-35</t>
  </si>
  <si>
    <t>Lavador de Veículos Pesados</t>
  </si>
  <si>
    <t>Valor mensal</t>
  </si>
  <si>
    <t>Valor anual</t>
  </si>
  <si>
    <t>DELEMIG - Vila Velha e Vitória/ES</t>
  </si>
  <si>
    <t>DPF - São Mateus/ES</t>
  </si>
  <si>
    <t>Módulo 6 - Produtividade e outros custos</t>
  </si>
  <si>
    <t>Submódulo 6.1 - Produtividade</t>
  </si>
  <si>
    <t>Frequência Anual (horas)</t>
  </si>
  <si>
    <t>Jornada de Trabalho Anual (horas)</t>
  </si>
  <si>
    <t>Ke</t>
  </si>
  <si>
    <t>SubTotal (R$/M²)</t>
  </si>
  <si>
    <t>Submódulo 6.2 - Outros Custos</t>
  </si>
  <si>
    <t>Materiais</t>
  </si>
  <si>
    <t>Locação de Caminhão Munck</t>
  </si>
  <si>
    <t>Quadro-Resumo do Módulo 6 - Produtividade e Outros Custos</t>
  </si>
  <si>
    <t>Outros custos</t>
  </si>
  <si>
    <t>Módulo 7 - Custos Indiretos, Tributos e Lucro</t>
  </si>
  <si>
    <r>
      <t>Base de cálculo dos custos indiretos - BCCI = M6</t>
    </r>
    <r>
      <rPr>
        <sz val="10"/>
        <rFont val="Times New Roman"/>
        <family val="1"/>
      </rPr>
      <t xml:space="preserve"> </t>
    </r>
  </si>
  <si>
    <t>SR/PF/ES - Vila Velha/ES</t>
  </si>
  <si>
    <t>Módulo 5 - Uniforme</t>
  </si>
  <si>
    <r>
      <t>Base de cálculo da produtividade = ( M1+M2+M3+M4+M5) =</t>
    </r>
    <r>
      <rPr>
        <sz val="10"/>
        <rFont val="Times New Roman"/>
        <family val="1"/>
      </rPr>
      <t xml:space="preserve"> </t>
    </r>
  </si>
  <si>
    <t>QUANTIDADE ESTIMADA</t>
  </si>
  <si>
    <t>SR/PF/ES</t>
  </si>
  <si>
    <t>TOTAL</t>
  </si>
  <si>
    <t>Galão 5l</t>
  </si>
  <si>
    <t>Álcool etílico hidratado 92,8º INPM (96 GL), recipiente com 1 litro. Marca de referência: Tupi ou similar</t>
  </si>
  <si>
    <t>Litro</t>
  </si>
  <si>
    <t>Álcool gel antisséptico, frasco de 500 ml. Marca de referência: Tupi ou similar</t>
  </si>
  <si>
    <t>Frasco de 500ml</t>
  </si>
  <si>
    <t>Amolador para tesourão</t>
  </si>
  <si>
    <t>Balde plástico reforçado com alça, de primeira qualidade, sem tampa, capacidade 20 litros.</t>
  </si>
  <si>
    <t>Cera de carnaúba comaplicador pasta de uso automotivo, pote de 200 gramas. Marca de referência: Grand Prix ou similar.</t>
  </si>
  <si>
    <t>Pote de 200gr</t>
  </si>
  <si>
    <t>Detergente desengraxante para uso profissional, ecológico e biodegradável, com alta concentração de ativos, removedor de limpeza pesada. Galão de 5 litros. Marca de referência: Renko ou similar</t>
  </si>
  <si>
    <t>Desengraxante líquido super concentrado, próprio para limpeza automotiva. Galão de 5 litros.</t>
  </si>
  <si>
    <t>Desinfetante líquido com ação germicida e bactericida (uso doméstico), fragrâncias eucalipto, floral ou lavanda, para lavagem de superfícies, banheiros e utensílios. Galão de 5l. Marca de referência: Cordex ou similar</t>
  </si>
  <si>
    <t>Desodorizador de ar, spray, frasco de no mínimo 360 ml. Composto por ingrediente ativo, solubilizantes coadjuvantes ebutano/propano, cloreto alquil dimetil benzil, amônia; solubizantes, coadjuvantes, perfume, butano e propano. Fragrância: lavanda, florais ou cítricas. Marca de referência: Glade ou similar.</t>
  </si>
  <si>
    <t>Frasco de 360ml</t>
  </si>
  <si>
    <t>Detergente desincrustante alcalino, limpa pedras, uso profissional, recipiente galão com 5 litros. Marca de referência: L. A. max ou similar.</t>
  </si>
  <si>
    <t>Detergente desincrustante ácido, próprio para limpeza automotiva de remoção de graxa e óleo de peças. Galão de 5l. Marca de referência: Vonix ou similar.</t>
  </si>
  <si>
    <t>Detergente líquido neutro concentrado (uso doméstico), para remoção de resíduos gordurosos e sujidades em geral, com enxágue rápido, com rótulo contendo as informações obrigatórias. Galão de 5 litros. Marca de Referência Ypê ou similar.</t>
  </si>
  <si>
    <t>Disco limpador branco para enceradeira</t>
  </si>
  <si>
    <t>Disco limpador preto para enceradeira</t>
  </si>
  <si>
    <t>Disco limpador verde para enceradeira</t>
  </si>
  <si>
    <t>Escova oval nylon grande, dimensões mínimas de 6,8x4,1x13,2cm.</t>
  </si>
  <si>
    <t>Esponja dupla face (amarela e rosa ) ambos os lados macio, dimensões mínimas de 100x70x20mm. Marca de referência: Scoth brite ou similar.</t>
  </si>
  <si>
    <t>Esponja dupla face antibactériana, dimensões mínimas de 100x71x18mm. Marca de referência: Scoth brite ou similar.</t>
  </si>
  <si>
    <t>Espuma para limpeza geral super macia, dimensões mínimas 190x50x3cm. Lavagem de veículos. Marca de referência: Impaktcom ou similar</t>
  </si>
  <si>
    <t>Espuma de limpeza geral e de estofados, spray, limpeza profissional. Frasco de 300ml.</t>
  </si>
  <si>
    <t>Frasco 300ml</t>
  </si>
  <si>
    <t>Fertilizante granulado NPK 10 10 10 adubação floração, embalagem de 500 gramas. Marca de referência: Agroadubo ou similar</t>
  </si>
  <si>
    <t>Embalagem de 500gr</t>
  </si>
  <si>
    <t>Fibra abrasiva (verde ou preta), dimensão mínima de 22x10cm. Marca de referência: Scoth brite ou similar.</t>
  </si>
  <si>
    <t>Flanela branca, 40x60cm, 100% algodão.</t>
  </si>
  <si>
    <t>Hidratante, óleo de silicone automotivo para couro, frasco de 500ml. Marca de referência: Qlimpe ou similar.</t>
  </si>
  <si>
    <t>Impermeabilizante alto brilho e antiderrapante para pisos resgate ou com caracteristicas iguais e qualidade. Galão de 5l.</t>
  </si>
  <si>
    <t>Inseticida para jardim piretróide K-OTHRlNE SC25 ou com características iguais e qualidade equivalente recipiente com 30 ml</t>
  </si>
  <si>
    <t>Frasco de 30ml</t>
  </si>
  <si>
    <t>Isca Formicida (para formigas cortadeiras, saúvas e quequém), recipiente com 50 gramas. Marca de referência: Straik ou similar.</t>
  </si>
  <si>
    <t>Embalagem 50gr</t>
  </si>
  <si>
    <t>Limpa vidro, com proteção contra mancha de chuva, frasco com 500ml. Marca de referência: Veja ou similar.</t>
  </si>
  <si>
    <t>Limpa-Carpete (para limpeza de carpetes e tapetes), galão com 5 litros. Marca de referência: Audax ou similar.</t>
  </si>
  <si>
    <t>Limpador Multiuso 1ª qualidade, Frasco com 500 ml. Marca de referência: Veja, Ypê ou similar.</t>
  </si>
  <si>
    <t>Lustra-móveis, com bico econômico. Emulsão cremosa, perfumada, para aplicação em móveis e superfícies, com rótulo. Frasco com 500 ml. Marca de referência: Poliflor ou similar.</t>
  </si>
  <si>
    <t>Luva de borracha, cano longo, par, palma antiderrapante flexível</t>
  </si>
  <si>
    <t>Luva de borracha, cano médio, par, palma antiderrapante</t>
  </si>
  <si>
    <t>Luva de segurança, confeccionada em couro tipo raspa, par, com reforço interno na região da face palmar e dos dedos.</t>
  </si>
  <si>
    <t>Massa de polir a base d´água, embalagem de 1kg, para uso automotivo</t>
  </si>
  <si>
    <t>Embalagem de 1kg</t>
  </si>
  <si>
    <t>Multi-inseticida doméstico, frasco de 300 ml, spray ou aerossol. Marca de referência: Bombril, Baygon, SBP ou similar</t>
  </si>
  <si>
    <t>Nylon para aparador de grama e de mato. Carretel de fio de Nylon 1,8mm x 8m. Marca de referência: Tramontina ou similar.</t>
  </si>
  <si>
    <t>Óleo lub motor 2T, embalagem de 200ml. Marca de referência: Lubrax ou similar.</t>
  </si>
  <si>
    <t>Embalagem de 200ml</t>
  </si>
  <si>
    <t>Pá para lixo cano longo</t>
  </si>
  <si>
    <t>Pano de chão, alvejado, tipo saco, tamanho mínimo de 55x80cm. Marca de referência: Limppano ou similar.</t>
  </si>
  <si>
    <t>Pano de prato 100% algodão, tamanho mínimo de 50x65cm.</t>
  </si>
  <si>
    <t>Papel higiênico, interfolhado, folha dupla, branco, 1ª qualidade (21,6 cm x 11,0 cm). Caixa com 8.000 folhas. Marca de referência: Fanther ou similar.</t>
  </si>
  <si>
    <t>Caixa</t>
  </si>
  <si>
    <t>Papel toalha, interfolhado, duas dobras, branco, 1ª qualidade. Pacote 2.000 folhas. Marca de referência: Plumax ou similar.</t>
  </si>
  <si>
    <t>Pacote</t>
  </si>
  <si>
    <t>Pretinho, próprio para uso automotivo em pneu, tipo baba de camelo, frasco com 500ml.</t>
  </si>
  <si>
    <t>Protetor Solar Fps 60, frasco de 200ml.</t>
  </si>
  <si>
    <t>Frasco 200ml</t>
  </si>
  <si>
    <t>Removedor de cera de 1ª qualidade e de uso profissional. Galão em 5 litros</t>
  </si>
  <si>
    <t>Rodo de plástico com borracha dupla e base de 40cm. Cabo de no mínimo 1,2m de comprimento.</t>
  </si>
  <si>
    <t>Sabão em barra glicerinado, de 200gr. Pacote com 5 unidades. Marca de referência: Ypê ou similar.</t>
  </si>
  <si>
    <t>Pacote com 5 unidades</t>
  </si>
  <si>
    <t>Sabão em pó com Bio Ativo de 1ª qualidade, Caixa de 1 Kg. Marca de referência: Omo ou similar.</t>
  </si>
  <si>
    <t>Caixa de 1kg</t>
  </si>
  <si>
    <t>Sabonete em barra. Embalagem de 90gr. Marca de referência: Dove, Lux ou similar.</t>
  </si>
  <si>
    <t>Sabonete liquido, branco, 1ª qualidade. Galão com 5 litros.</t>
  </si>
  <si>
    <t>Saco para lixo com capacidade de 100 litros, pacote com 100 unidades. Marca de referência: Doverrol ou similar</t>
  </si>
  <si>
    <t>Pacote com 100</t>
  </si>
  <si>
    <t>Saco para lixo com capacidade de 200 litros, pacote com 100 unidades. Marca de referência: Doverrol ou similar</t>
  </si>
  <si>
    <t>Saco para lixo com capacidade de 60 litros, pacote com 100 unidades. Marca de referência: Doverrol ou similar</t>
  </si>
  <si>
    <t>Saponáceo cremoso, frasco com 300 ml. Marca de referência: Bombril ou similar.</t>
  </si>
  <si>
    <t>Frasco de 300ml</t>
  </si>
  <si>
    <t>Selador acrílico para piso (uso profissional). Galão 5 litros</t>
  </si>
  <si>
    <t>Tela odorizante, perfumada, para mictório de 28 gramas. Marca de referência: Nobre ou similar.</t>
  </si>
  <si>
    <t>Terra vegetal, Pacote com 25 kg.</t>
  </si>
  <si>
    <t>Pacote de 25kg</t>
  </si>
  <si>
    <t>Toalha de microfibra para secagem automotiva, dimensões mínimas de 40x60cm.</t>
  </si>
  <si>
    <t>Vassoura de limpar vaso com cabo curto, cerdas brancas de plástico/polipropileno, com reservatório para encaixe.</t>
  </si>
  <si>
    <t>Vassoura de nylon varre canto, cepa de 40x7,5cm, Cabo de no mínimo 1,2m de comprimento.</t>
  </si>
  <si>
    <t>Vassoura de pelo de uso doméstico, cepa de 40x7,5cm, Cabo de no mínimo 1,2m de comprimento.</t>
  </si>
  <si>
    <t>Vassoura de piaçava, cepa de 40cm, cerdas de 9cm. Cabo de no mínimo 1,2m de comprimento.</t>
  </si>
  <si>
    <t>Xampu automotivo concentrado. Galão de 5 litros. Marca de Referência: Qlimpe ou similar.</t>
  </si>
  <si>
    <t>VALOR TOTAL</t>
  </si>
  <si>
    <t>Total Estimado Anual</t>
  </si>
  <si>
    <t>B.1</t>
  </si>
  <si>
    <t>A.1</t>
  </si>
  <si>
    <t>A.2</t>
  </si>
  <si>
    <t>Valor Unitário (R$)</t>
  </si>
  <si>
    <t>Quantidade</t>
  </si>
  <si>
    <t>Valor Total (R$)</t>
  </si>
  <si>
    <t>A.3</t>
  </si>
  <si>
    <t>A.4</t>
  </si>
  <si>
    <t>A.5</t>
  </si>
  <si>
    <t>B.2</t>
  </si>
  <si>
    <t>B.3</t>
  </si>
  <si>
    <t>B.4</t>
  </si>
  <si>
    <t>B.5</t>
  </si>
  <si>
    <t>Cabo pp 3x2,50 com comprimento de 50mt</t>
  </si>
  <si>
    <t xml:space="preserve">Extensão telecóspica 9m (3 estágios) com acessórios </t>
  </si>
  <si>
    <t>B.6</t>
  </si>
  <si>
    <t>B.7</t>
  </si>
  <si>
    <t>Total (R$/M²)</t>
  </si>
  <si>
    <t xml:space="preserve">Subtotal </t>
  </si>
  <si>
    <t>Locação de Caminhão Munck com cesto duplo e alcance da distância de 12m comprimento por 14m de altura.</t>
  </si>
  <si>
    <t>Operador de Caminhão Munck</t>
  </si>
  <si>
    <t>MATERIAL DE LIMPEZA E HIGIENE PESSOAL</t>
  </si>
  <si>
    <t>FREQUÊNCIA</t>
  </si>
  <si>
    <t>Água sanitária com cloro ativo 2,0% a 2,5% (uso doméstico), registrado na ANVISA, recipiente galão com 5 litros. Marca de referência: Arkilux ou similar.</t>
  </si>
  <si>
    <t>Calda bordalesa em pó micronutrientes sulfato de cobre +zinco fertilizante foliar mineral misto, com rótulo contendo as informações do produto e fabricante. Embalagem de 250 gramas. Marca de referência: Cuprofix ou similar</t>
  </si>
  <si>
    <t xml:space="preserve">Desengraxante líquido super concentrado, próprio para limpeza automotiva. Galão de 5 litros. </t>
  </si>
  <si>
    <t>Desodorizador de ar, spray, frasco de no mínimo 360 ml. Composto por ingrediente ativo, solubilizantes coadjuvantes ebutano/propano, cloreto alquil dimetil benzil, amônia; solubizantes, coadjuvantes, perfume, butano e propano. Fragrância: lavanda, florais ou cítricas. Marca de referência: Glade ou similar.</t>
  </si>
  <si>
    <t xml:space="preserve">Escova oval nylon grande, dimensões mínimas de 6,8x4,1x13,2cm. </t>
  </si>
  <si>
    <t xml:space="preserve">Impermeabilizante alto brilho e antiderrapante para pisos resgate ou com caracteristicas iguais e qualidade. Galão de 5l. </t>
  </si>
  <si>
    <t>Papel higiênico, interfolhado, folha dupla, branco, 1ª qualidade (21,6  cm x 11,0 cm). Caixa com 8.000 folhas. Marca de referência: Fanther ou similar.</t>
  </si>
  <si>
    <t>QUANTIDADES</t>
  </si>
  <si>
    <t>QUANTIDADES ESTIMADAS</t>
  </si>
  <si>
    <t>DETALHAMENTO DO MATERIAL DE LIMPEZA DISTRIBUÍDO</t>
  </si>
  <si>
    <t>DETALHAMENTO DOS EQUIPAMENTOS DISTRIBUÍDOS</t>
  </si>
  <si>
    <t>Calda bordalesa em pó micronutrientes sulfato de cobre+zinco fertilizante foliar mineral misto, com rótulo contendo as informações do produto e fabricante. Embalagem 250gr. Marca de referência: Cuprofix ou similar</t>
  </si>
  <si>
    <t>Embalagem 250gr</t>
  </si>
  <si>
    <t>Detergente desincrostante alcalino, limpa pedras, uso profissional, recipiente galão com 5 litros. Marca de referência: L. A. max ou similar.</t>
  </si>
  <si>
    <t>Papel toalha, interfolhado, duas dobras, branco, 1ª qualidade. Pacote 2.000 folhas. 100% celulose virgem. Comprimento 20cm, largura 21cm, cor branca. Marca de referência: Plumax ou similar.</t>
  </si>
  <si>
    <t>Limpa pneu, próprio para uso automotivo, frasco com 500ml.</t>
  </si>
  <si>
    <t>Sabão em pó com Bio Ativo de 1ª qualidade, Caixa de 1 Kg. Marca de referência: Tixan Ypê ou similar.</t>
  </si>
  <si>
    <t>Carrinho de mão de pneu com câmara, caçamba de 100L</t>
  </si>
  <si>
    <t>Carro funcional para higiene e trânsporte de resíduos, de polipropileno, destinado ao trânsporte de utensílios e produtos. Com quatro rodízios. Bolsa de 90L com zíper abertura lateral</t>
  </si>
  <si>
    <t>Aparador de grama elétrico 1300w, 110/220v</t>
  </si>
  <si>
    <t>Cavadeira de ferro articulada</t>
  </si>
  <si>
    <t>Corta galhos, sem serrote, para poda</t>
  </si>
  <si>
    <t>Foice com cabo de madeira de 1,10 M de comprimento</t>
  </si>
  <si>
    <t>Lava jato profissional móvel LR -14 ,vazão 800 litros por horas e pressão de 2.175 PSI, cabo mínimo de 7 M, tipo industrial, modelo monofásico, frequência de 60 hz</t>
  </si>
  <si>
    <t>Lixeira de plástico de 10 L, com basculante para banheiro</t>
  </si>
  <si>
    <t>Plugue macho de 20A</t>
  </si>
  <si>
    <t>Relógio de Ponto Biométrico, homologado pelo MTE.</t>
  </si>
  <si>
    <t>Porta sabonete líquido (dispensador)</t>
  </si>
  <si>
    <t>Suporte de rosca para fibras abrasivas, com cabo de alumínio</t>
  </si>
  <si>
    <t>Adicional de Hora Extra (domingos e feriados)</t>
  </si>
  <si>
    <t>Grupo</t>
  </si>
  <si>
    <t>Item</t>
  </si>
  <si>
    <t>Tipo de Serviço</t>
  </si>
  <si>
    <t>CATSER</t>
  </si>
  <si>
    <t>Unidade de Medida</t>
  </si>
  <si>
    <t>Valor Unitário</t>
  </si>
  <si>
    <t>Valor Mensal</t>
  </si>
  <si>
    <t>Limpeza SR/PF/ES e NEPOM/DREX/SR/PF/ES (Σ Encarregado, ASG e ASG banheirista)</t>
  </si>
  <si>
    <t>Lavador de Veículos - SR/PF/ES</t>
  </si>
  <si>
    <t>Limpeza DELEMIG/DREX/SR/PF/ES</t>
  </si>
  <si>
    <t>Limpeza DPF/SMT/ES</t>
  </si>
  <si>
    <t>Limpeza DPF/CIT/ES</t>
  </si>
  <si>
    <t>Limpeza de fachada envidraçada de 242m² SR/PF/ES</t>
  </si>
  <si>
    <t>Fornecimento de Materiais de Limpeza e Higiene</t>
  </si>
  <si>
    <t>mês</t>
  </si>
  <si>
    <t>unidade</t>
  </si>
  <si>
    <t>posto/mês</t>
  </si>
  <si>
    <t>Lucro Bruto + Despesas Administrativas e Indiretas (LDI)</t>
  </si>
  <si>
    <t>Percentual</t>
  </si>
  <si>
    <t>Valor</t>
  </si>
  <si>
    <t>Tributos sobre o faturamento</t>
  </si>
  <si>
    <t>Total Médio Mensal</t>
  </si>
  <si>
    <t>Subtotal Estimado Anual</t>
  </si>
  <si>
    <t>Subtotal Médio Mensal</t>
  </si>
  <si>
    <t>Total Estimado em 24 (vinte e quatro) meses</t>
  </si>
  <si>
    <t>Extrator para erva daninha, arrancador de inço</t>
  </si>
  <si>
    <t xml:space="preserve">Roçadeira de mato a gasolina potente </t>
  </si>
  <si>
    <t>Corta galhos</t>
  </si>
  <si>
    <t>Lixeira de plástico de 10l, com basculante para banheiro</t>
  </si>
  <si>
    <t>Plug macho de 20A</t>
  </si>
  <si>
    <t>Roçadeira de mato a gasolina potente</t>
  </si>
  <si>
    <t>Descrição</t>
  </si>
  <si>
    <t>Totais por Funcionários</t>
  </si>
  <si>
    <t>Item 3</t>
  </si>
  <si>
    <t>Item 1 e 2</t>
  </si>
  <si>
    <t>DPF - Cachoeiro de Itapemirim/ES</t>
  </si>
  <si>
    <t>Item 4</t>
  </si>
  <si>
    <t>Item 5</t>
  </si>
  <si>
    <t>Valor Residual</t>
  </si>
  <si>
    <t>Vida Útil em Anos</t>
  </si>
  <si>
    <t>Depreciação Mensal</t>
  </si>
  <si>
    <t>Total de Depreciação Mensal</t>
  </si>
  <si>
    <t>Equipamentos (sem equipamentos)</t>
  </si>
  <si>
    <t>Depreciação  Unitário</t>
  </si>
  <si>
    <t>Planilha Analítica de Custos e Formação de Preços</t>
  </si>
  <si>
    <t>NOTAS EXPLICATIVAS</t>
  </si>
  <si>
    <t>Memória de Cálculo</t>
  </si>
  <si>
    <t>Fundamento</t>
  </si>
  <si>
    <t>Salário Base (SB)</t>
  </si>
  <si>
    <t>Artigo 457 e 458 da CLT</t>
  </si>
  <si>
    <t>Artigo 193 da CLT</t>
  </si>
  <si>
    <t>Outros</t>
  </si>
  <si>
    <r>
      <t xml:space="preserve">O </t>
    </r>
    <r>
      <rPr>
        <b/>
        <sz val="11"/>
        <color theme="1"/>
        <rFont val="Times New Roman"/>
        <family val="1"/>
      </rPr>
      <t>módulo 1</t>
    </r>
    <r>
      <rPr>
        <sz val="11"/>
        <color theme="1"/>
        <rFont val="Times New Roman"/>
        <family val="1"/>
      </rPr>
      <t xml:space="preserve"> refere-se ao valor mensal devido ao empregado pela prestação dos serviços.</t>
    </r>
  </si>
  <si>
    <r>
      <rPr>
        <b/>
        <sz val="11"/>
        <color theme="1"/>
        <rFont val="Times New Roman"/>
        <family val="1"/>
      </rPr>
      <t>Salário Base:</t>
    </r>
    <r>
      <rPr>
        <sz val="11"/>
        <color theme="1"/>
        <rFont val="Times New Roman"/>
        <family val="1"/>
      </rPr>
      <t xml:space="preserve"> salário mensal definido em acordo, dissídio ou convenção coletiva de trabalho. A planilha de custos é baseada em empregados mensalistas, logo, consideram-se já remunerados os dias de repouso semanal no salário mensal nos termos do §2º, do art. 7º, da Lei 605/1949.</t>
    </r>
  </si>
  <si>
    <r>
      <rPr>
        <b/>
        <sz val="11"/>
        <color theme="1"/>
        <rFont val="Times New Roman"/>
        <family val="1"/>
      </rPr>
      <t>Adicional de Periculosidade:</t>
    </r>
    <r>
      <rPr>
        <sz val="11"/>
        <color theme="1"/>
        <rFont val="Times New Roman"/>
        <family val="1"/>
      </rPr>
      <t xml:space="preserve"> para os serviços prestados na SR/PF/ES, DPF/CIT/ES e DPF/SMT/ES devido à existência de Laudo de Periculosidade, salvo para os postos que percebem adicional de insalubridade.</t>
    </r>
  </si>
  <si>
    <r>
      <rPr>
        <b/>
        <sz val="11"/>
        <color theme="1"/>
        <rFont val="Times New Roman"/>
        <family val="1"/>
      </rPr>
      <t xml:space="preserve">Adicional de Insalubridade: </t>
    </r>
    <r>
      <rPr>
        <sz val="11"/>
        <color theme="1"/>
        <rFont val="Times New Roman"/>
        <family val="1"/>
      </rPr>
      <t>em grau máximo para os postos de auxiliares de serviços gerais banheiristas. De acordo com o TST, os empregados que realizam a higienização de banheiros de grande circulação, ainda que recebam todos os EPIs, têm direito ao adicional de insalubridade no percentual de 40%.  Esse mesmo tribunal já se manifestou reiteradamente no sentido de que as instalações sanitárias utilizadas por 25 ou mais empregados ou, eventuais visitantes, configuram-se como banheiros de uso coletivo e de grande circulação, atraindo a incidência da Súmula nº 448, II do TST. (TST; Ag-AIRR 1000225-93.2020.5.02.0010; Primeira Turma; Rel. Min. Amaury Rodrigues Pinto Junior; DEJT 10/03/2023; Pág. 260).</t>
    </r>
  </si>
  <si>
    <t>((1/12) x 100) ≅ 8,33%</t>
  </si>
  <si>
    <t>Art. 7º, VIII, CF/88. Decreto n. 10.854/2021. Lei nº 4.090/1962. Lei nº 4.749/1965</t>
  </si>
  <si>
    <t>((1/3) x (1/12) x 100) ≅ 2,78%</t>
  </si>
  <si>
    <t>Art. 7º, XVII, CF/88.</t>
  </si>
  <si>
    <r>
      <rPr>
        <sz val="11"/>
        <color theme="1"/>
        <rFont val="Times New Roman"/>
        <family val="1"/>
      </rPr>
      <t xml:space="preserve">O </t>
    </r>
    <r>
      <rPr>
        <b/>
        <sz val="11"/>
        <color theme="1"/>
        <rFont val="Times New Roman"/>
        <family val="1"/>
      </rPr>
      <t xml:space="preserve">submódulo 2.1 </t>
    </r>
    <r>
      <rPr>
        <sz val="11"/>
        <color theme="1"/>
        <rFont val="Times New Roman"/>
        <family val="1"/>
      </rPr>
      <t>refere-se à provisão mensal de 1/12 (um doze avos) dos valores correspondentes à gratificação natalina e adicional de férias. As férias são aprovisionadas na substituição.</t>
    </r>
  </si>
  <si>
    <r>
      <rPr>
        <b/>
        <sz val="11"/>
        <color theme="1"/>
        <rFont val="Times New Roman"/>
        <family val="1"/>
      </rPr>
      <t>Adicional de Férias:</t>
    </r>
    <r>
      <rPr>
        <sz val="11"/>
        <color theme="1"/>
        <rFont val="Times New Roman"/>
        <family val="1"/>
      </rPr>
      <t xml:space="preserve"> corresponde a 1/3 (um terço) da remuneração que por sua vez é divido por 12 (doze).</t>
    </r>
  </si>
  <si>
    <t>INSS (0% no caso de opção pela CPRB)</t>
  </si>
  <si>
    <r>
      <t>Art. 22, Inciso I, da Lei nº 8.212/91.</t>
    </r>
    <r>
      <rPr>
        <b/>
        <sz val="11"/>
        <rFont val="Times New Roman"/>
        <family val="1"/>
      </rPr>
      <t xml:space="preserve"> (3) Lei 13.161/2015 - Contribuição Previdenciária sobre a Receita Bruta (CPRB)</t>
    </r>
  </si>
  <si>
    <t>Anexo II da IN RFB n. 2.110/22; art. 3°, inciso I do Decreto n° 87.043/1982; art. 15 – Lei nº 9.424/96; art. 1º § 1º - Decreto Nº 6.003/2006; art. 212 § 5º da Constituição Federal; Súmula Nº 732 do STF.</t>
  </si>
  <si>
    <t>SAT (GILL/RAT ou RAT Ajustado)</t>
  </si>
  <si>
    <t>%SAT = RAT (1% a 3%) x FAT (0,5 a 2,00)</t>
  </si>
  <si>
    <t>Anexo V do Regulamento da Previdência Social – RPS (Decreto n. 3.048/1999) e regras de enquadramento dispostas na Instrução Normativa RFB n. 2.110/2022 e/ou legislação superveniente. Súmula 351 do STJ.</t>
  </si>
  <si>
    <t>Anexo II da IN RFB n. 2.110/22; art. 30 da Lei n° 8.036/90; art. 1°da Lei n° 8.154/90; art. 240 da Constituição Federal.</t>
  </si>
  <si>
    <t>Anexo II da IN RFB n. 2.110/22; Decreto n.º 2.318/86</t>
  </si>
  <si>
    <t>Anexo II da IN RFB n. 2.110/22. Art. 8º, Lei n.º 8.029/90 e Lei n.º 8154/90</t>
  </si>
  <si>
    <t>Anexo II da IN RFB n. 2.110/22; Lei n.º 7.787/89; DL n.º 1.146/70; Lei Complementar nº 11/71.</t>
  </si>
  <si>
    <t>Art. 15, Lei nº 8.036/90 e Art. 7º, III,</t>
  </si>
  <si>
    <t>PIS sobre a Folha de Pagamento</t>
  </si>
  <si>
    <t>Art. 2º, I, "a", do Decreto 4.524/2002. Solução de Consulta COSIT/RFB n.  6.013/2017.</t>
  </si>
  <si>
    <r>
      <t xml:space="preserve">O </t>
    </r>
    <r>
      <rPr>
        <b/>
        <sz val="11"/>
        <color theme="1"/>
        <rFont val="Times New Roman"/>
        <family val="1"/>
      </rPr>
      <t>submódulo 2.2</t>
    </r>
    <r>
      <rPr>
        <sz val="11"/>
        <color theme="1"/>
        <rFont val="Times New Roman"/>
        <family val="1"/>
      </rPr>
      <t xml:space="preserve"> é calculado sobre os totais do Módulo 1  e submódulo 2.1, mantendo o padrão da IN SEGES/ME nº 05/2017.</t>
    </r>
  </si>
  <si>
    <r>
      <rPr>
        <b/>
        <sz val="11"/>
        <rFont val="Times New Roman"/>
        <family val="1"/>
      </rPr>
      <t>Contribuição Previdenciária sobre a Receita Bruta (CPRB):</t>
    </r>
    <r>
      <rPr>
        <sz val="11"/>
        <rFont val="Times New Roman"/>
        <family val="1"/>
      </rPr>
      <t xml:space="preserve"> Devido a aplicação da Lei 13.161/2015 (Desoneração da folha de pagamento), a contribuição previdenciária patronal (INSS) poderá não ser calculada no Submódulo 2.2, sendo substituída por alíquota diferenciada de acordo com a atividade, incidindo sobre o faturamento (compondo o módulo 6).</t>
    </r>
  </si>
  <si>
    <r>
      <rPr>
        <b/>
        <sz val="11"/>
        <rFont val="Times New Roman"/>
        <family val="1"/>
      </rPr>
      <t>GILL/RAT:</t>
    </r>
    <r>
      <rPr>
        <sz val="11"/>
        <rFont val="Times New Roman"/>
        <family val="1"/>
      </rPr>
      <t xml:space="preserve"> é a sigla correspondente à Contribuição do Grau de Incidência de Incapacidade Laborativa decorrente dos Riscos Ambientais do Trabalho (o antigo</t>
    </r>
    <r>
      <rPr>
        <b/>
        <sz val="11"/>
        <rFont val="Times New Roman"/>
        <family val="1"/>
      </rPr>
      <t xml:space="preserve"> Seguro de Acidente de Trabalho - SAT</t>
    </r>
    <r>
      <rPr>
        <sz val="11"/>
        <rFont val="Times New Roman"/>
        <family val="1"/>
      </rPr>
      <t xml:space="preserve">). A contribuição GILL/RAT é apurada por meio de um indicador criado pela Receita Federal: o </t>
    </r>
    <r>
      <rPr>
        <b/>
        <sz val="11"/>
        <rFont val="Times New Roman"/>
        <family val="1"/>
      </rPr>
      <t>RAT Ajustado</t>
    </r>
    <r>
      <rPr>
        <sz val="11"/>
        <rFont val="Times New Roman"/>
        <family val="1"/>
      </rPr>
      <t xml:space="preserve">. Sendo assim, em regra, considera-se para fins de definição da planilha modelo que </t>
    </r>
    <r>
      <rPr>
        <b/>
        <sz val="11"/>
        <rFont val="Times New Roman"/>
        <family val="1"/>
      </rPr>
      <t>GILL/RAT = SAT = RAT Ajustado</t>
    </r>
    <r>
      <rPr>
        <sz val="11"/>
        <rFont val="Times New Roman"/>
        <family val="1"/>
      </rPr>
      <t>. O cálculo do RAT ajustado é feito mediante aplicação da fórmula: RAT ajustado = RAT x FAP. A aplicação mínima ou máxima do FAP (0,5 a 2,00) sobre as alíquotas do RAT (1% a 3%) levará o percentual ajustado do RAT a uma variação entre 0,5% a 6%. A licitante deve preencher com o valor de seu RAT ajustado comprovando o percentual indicado no momento da apresentação da proposta na forma prescrita no edital e nestas notas explicativas.</t>
    </r>
  </si>
  <si>
    <r>
      <rPr>
        <b/>
        <sz val="11"/>
        <rFont val="Times New Roman"/>
        <family val="1"/>
      </rPr>
      <t>RAT</t>
    </r>
    <r>
      <rPr>
        <sz val="11"/>
        <rFont val="Times New Roman"/>
        <family val="1"/>
      </rPr>
      <t xml:space="preserve"> </t>
    </r>
    <r>
      <rPr>
        <b/>
        <sz val="11"/>
        <rFont val="Times New Roman"/>
        <family val="1"/>
      </rPr>
      <t xml:space="preserve">(Riscos Ambientais do Trabalho): </t>
    </r>
    <r>
      <rPr>
        <sz val="11"/>
        <rFont val="Times New Roman"/>
        <family val="1"/>
      </rPr>
      <t>contém as alíquotas de 1%, 2% ou 3%, apurada com base na atividade preponderante da empresa (CNAE), deverá ser esclarecida e comprovada quando solicitado pelo pregoeiro, conforme Anexo V do Regulamento da Previdência Social – RPS (Decreto n. 3.048/1999) e regras de  enquadramento dispostas na Instrução Normativa RFB n. 2.110/2022 e/ou legislação superveniente.</t>
    </r>
  </si>
  <si>
    <r>
      <rPr>
        <b/>
        <sz val="11"/>
        <rFont val="Times New Roman"/>
        <family val="1"/>
      </rPr>
      <t xml:space="preserve"> FAP (Fator Acidentário de Prevenção): </t>
    </r>
    <r>
      <rPr>
        <sz val="11"/>
        <rFont val="Times New Roman"/>
        <family val="1"/>
      </rPr>
      <t>multiplicador variável num intervalo de 0,5 a 2,00 calculado anualmente pelo INSS considerando o número de acidentes do trabalho e doenças profissionais de cada empresa (Decreto nº 6.957/2009). Essa alíquota deverá ser comprovada mediante a apresentação do multiplicador FAP (FapWeb) vigente no momento da contratação, cujo valor é obtido no site da previdência social por meio de acesso individual da proponente.</t>
    </r>
  </si>
  <si>
    <r>
      <rPr>
        <b/>
        <sz val="11"/>
        <rFont val="Times New Roman"/>
        <family val="1"/>
      </rPr>
      <t>Entidade sem fins lucrativos:</t>
    </r>
    <r>
      <rPr>
        <sz val="11"/>
        <rFont val="Times New Roman"/>
        <family val="1"/>
      </rPr>
      <t xml:space="preserve"> Para essas organizações, não há recolhimento de PIS e COFINS sobre as receitas referentes às atividades próprias. No que diz respeito ao PIS há recolhimento de 1% sobre a folha de salários, devendo esta alíquota ser incluída no Submódulo 2.2. Em relação à Cofins, caso a entidade auferir outras receitas que não seja resultado da atividade própria sobre este valor terá de calcular 7,6%. Esta receita deve ser tributada com base no sistema não cumulativo da contribuição (Lei nº 10.833/2003). Assim, uma associação sem Fins Lucrativos terá de apurar:
a) 1% - a título de PIS-Sobre folha; e
b) 7,6% de Cofins não cumulativo, sobre as receitas não derivadas de atividades próprias da associação. Isto porque as atividades próprias gozam de isenção.
No caso de entidade que goza de imunidade, a mesma deverá possuir a certificação das entidades beneficentes de assistência social (CEBAS), nos termos da Lei n. 12.101, de 27 de novembro de 2009. A referida certificação será necessária para comprovar a imunidade de diversos tributos, tais como PIS, COFINS, INSS, GILL/RAT, Terceiras Entidades.</t>
    </r>
  </si>
  <si>
    <t>Submódulo 2.3 - Benefícios Mensais e Diários</t>
  </si>
  <si>
    <t xml:space="preserve">Artigo 4º, § único, da Lei nº 7.418/85 e art. 9º do Decreto nº  10854/2021. </t>
  </si>
  <si>
    <t>Artigo 458, §§ 2º e 3º, da CLT, Lei nº 6.321/76, Decreto nº 5/91 e CCT.</t>
  </si>
  <si>
    <t>Benefício Social e Amparo a Família (IDESBRE)</t>
  </si>
  <si>
    <t>Gratificação de Aposentadoria</t>
  </si>
  <si>
    <r>
      <t xml:space="preserve">No </t>
    </r>
    <r>
      <rPr>
        <b/>
        <sz val="11"/>
        <color theme="1"/>
        <rFont val="Times New Roman"/>
        <family val="1"/>
      </rPr>
      <t xml:space="preserve">submódulo 2.3, </t>
    </r>
    <r>
      <rPr>
        <sz val="11"/>
        <color theme="1"/>
        <rFont val="Times New Roman"/>
        <family val="1"/>
      </rPr>
      <t xml:space="preserve"> o valor informado deverá ser o custo real do benefício (descontado o valor eventualmente pago pelo empregado).</t>
    </r>
  </si>
  <si>
    <r>
      <t xml:space="preserve">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 É vedado ao órgão e entidade vincular-se às disposições previstas nos Acordos, Convenções ou Dissídios Coletivos de Trabalho que tratem de obrigações e direitos que somente se aplicam aos contratos com a Administração Pública. (art. 6º, </t>
    </r>
    <r>
      <rPr>
        <i/>
        <sz val="11"/>
        <rFont val="Times New Roman"/>
        <family val="1"/>
      </rPr>
      <t>caput</t>
    </r>
    <r>
      <rPr>
        <sz val="11"/>
        <rFont val="Times New Roman"/>
        <family val="1"/>
      </rPr>
      <t>, e p.único, da IN SEGES/ME 05/2017)</t>
    </r>
  </si>
  <si>
    <r>
      <rPr>
        <b/>
        <sz val="11"/>
        <rFont val="Times New Roman"/>
        <family val="1"/>
      </rPr>
      <t xml:space="preserve">Auxílio Creche: </t>
    </r>
    <r>
      <rPr>
        <sz val="11"/>
        <rFont val="Times New Roman"/>
        <family val="1"/>
      </rPr>
      <t xml:space="preserve">estimativa de 0,02607 empregadas afastadas no Espírito Santo em 2021. Para licença maternidade foram previstos seis meses de afastamento, assim, serão provisionados 4 meses para recebimento do auxílio creche, uma vez que é pago apenas até o 10º mês.  </t>
    </r>
  </si>
  <si>
    <r>
      <rPr>
        <b/>
        <sz val="11"/>
        <rFont val="Times New Roman"/>
        <family val="1"/>
      </rPr>
      <t>Gratificação de Aposentadoria:</t>
    </r>
    <r>
      <rPr>
        <sz val="11"/>
        <rFont val="Times New Roman"/>
        <family val="1"/>
      </rPr>
      <t xml:space="preserve"> estimativa de 0,01042 aposentados no Espírito Santo em 2021. No cálculo da estimativa foram adotados os dados obtidos no Anuário Estatístico da Previdência Social de 2021, do RAIS e realizado o seguinte cálculo: 9812/941986.</t>
    </r>
  </si>
  <si>
    <t xml:space="preserve">Deve ser observado o instrumento coletivo para a fixação do percentual de desconto do empregado na hipótese do auxílio-alimentação e vale-transporte. No caso de auxílio-alimentação, deve ser exigido o comprovante de inscrição no Programa de Alimentação do Trabalhador - PAT. A OJ  na Seção de Dissídios Individuais I (SDI 1) n. 133 reza que a alimentação fornecida via PAT não integra o salário para nenhum efeito legal. </t>
  </si>
  <si>
    <t>[0,05 x (1/12) x 100] ≅ 0,42%</t>
  </si>
  <si>
    <t>Art. 7º, XXI, CF/88. Art. 477, 487 e 491 da CLT. Lei n. 12.506/2011.</t>
  </si>
  <si>
    <t>[(0,08 x 0,0042) x 100] ≅ 0,03%</t>
  </si>
  <si>
    <t>Súmula 305 TST.</t>
  </si>
  <si>
    <t>Multa do FGTS e contribuição social sobre o Aviso Prévio Indenizado</t>
  </si>
  <si>
    <t>0,08 x 0,4 x 0,9 x [1 + 1/12 + 1/12 + (1/3 x 1/12)] ≅ 3,44%</t>
  </si>
  <si>
    <t>Art. 18 da Lei 8.036/90. Art. 12 da Lei 13.932/2019. Art. 5º, inciso III, da IN STJG/GDG n. 14/2020.</t>
  </si>
  <si>
    <t>{[(7/30) + (7/30 x 0,1)] / 24}  x 100) ≅  1,07%</t>
  </si>
  <si>
    <t xml:space="preserve">Art. 7º, XXI, CF/88, 477,487 e 491 CLT. Acórdãos n. 1904/2007-TCU-Plenário e n. 3006/2010-TCU-Plenário </t>
  </si>
  <si>
    <t>D.1</t>
  </si>
  <si>
    <t>Aviso Prévio Trabalhado após 24 meses de vigência (prorrogação)</t>
  </si>
  <si>
    <t>{[(7/30) x 0,1] /12  ≅ 0,194%</t>
  </si>
  <si>
    <t>Lei 12.506/2011. Acórdão n. 1186/2017-TCU-Plenário</t>
  </si>
  <si>
    <t>((0,3680 x 0,0107) x 100) ≅  0,39%</t>
  </si>
  <si>
    <t xml:space="preserve">Acórdãos n. 1904/2007-TCU-Plenário e n. 3006/2010-TCU-Plenário </t>
  </si>
  <si>
    <t>E.1</t>
  </si>
  <si>
    <t>Incidência de GPS, FGTS e outras contribuições sobre o Aviso Prévio Trabalhado após 24 meses de vigência (prorrogação)</t>
  </si>
  <si>
    <t>((0,3680 x 0,00194) x 100) ≅  0,07%</t>
  </si>
  <si>
    <t>((0,0107 x 0,08) x 0,4 x 100) ≅  0,034%</t>
  </si>
  <si>
    <t xml:space="preserve">Art. 12 da Lei 13.932/2019. Acórdãos n. 1904/2007-TCU-Plenário e n. 3006/2010-TCU-Plenário </t>
  </si>
  <si>
    <t>F.1</t>
  </si>
  <si>
    <t>Multa do FGTS sobre o Aviso Prévio Trabalhado após 24 meses de vigência (prorrogação)</t>
  </si>
  <si>
    <t>((0,00194 x 0,08) x 0,4 x 100) ≅  0,006%</t>
  </si>
  <si>
    <r>
      <rPr>
        <b/>
        <sz val="11"/>
        <rFont val="Times New Roman"/>
        <family val="1"/>
      </rPr>
      <t>Aviso Prévio Indenizado</t>
    </r>
    <r>
      <rPr>
        <sz val="11"/>
        <rFont val="Times New Roman"/>
        <family val="1"/>
      </rPr>
      <t>: de acordo com levantamento efetuado em diversos contratos, cerca de 5% do pessoal é demitido pelo empregador, antes do término do contrato de trabalho.</t>
    </r>
  </si>
  <si>
    <r>
      <rPr>
        <b/>
        <sz val="11"/>
        <rFont val="Times New Roman"/>
        <family val="1"/>
      </rPr>
      <t xml:space="preserve">Multa do FGTS sobre o Aviso Prévio Indenizado: </t>
    </r>
    <r>
      <rPr>
        <sz val="11"/>
        <rFont val="Times New Roman"/>
        <family val="1"/>
      </rPr>
      <t>rescisão sem justa causa: considera-se que 10% dos empregados pedem contas, portanto, essa penalidade recai sobre os 90% remanescentes. Logo o pagamento da multa para os valores depositados relativos a salários, férias e 13º salário recai sobre 90%.</t>
    </r>
  </si>
  <si>
    <r>
      <rPr>
        <b/>
        <sz val="11"/>
        <rFont val="Times New Roman"/>
        <family val="1"/>
      </rPr>
      <t>Aviso Prévio Trabalhado:</t>
    </r>
    <r>
      <rPr>
        <sz val="11"/>
        <rFont val="Times New Roman"/>
        <family val="1"/>
      </rPr>
      <t xml:space="preserve"> redução de 7 dias ou de 2h por dia. Após o primeiro ano, o percentual corresponderá ao acréscimo de 3 dias de aviso prévio ou 0,7 dias de ausências por ano de serviço prestado até o máximo de 60 dias. Ou seja, um décimo do valor máximo admitido pelo Acórdão 3006/2010-TCU-Plenário. </t>
    </r>
  </si>
  <si>
    <r>
      <rPr>
        <b/>
        <sz val="11"/>
        <rFont val="Times New Roman"/>
        <family val="1"/>
      </rPr>
      <t>Multa do FGTS do aviso prévio trabalhado</t>
    </r>
    <r>
      <rPr>
        <sz val="11"/>
        <rFont val="Times New Roman"/>
        <family val="1"/>
      </rPr>
      <t>: o custo do aviso prévio trabalhado é acrescido da multa do FGTS (40%) que incide sobre a alíquota do FGTS (8%) aplicada sobre o custo de referência para o aviso trabalhado.</t>
    </r>
  </si>
  <si>
    <t>O art. 12 da Lei n. 13.932/2019 extiguiu a cobraça da contribuição de 10% devida pelos empregadores em caso de despedida sem justa causa (art. 1º da Lei Complementar 110/2001). Sendo assim, o adicional que era previsto nos itens "C" e "F" com o título "Multa do FGTS e contribuição social sobre Aviso Prévio [...]" passou a ser denominado somente de "Multa do FGTS sobre Aviso Prévio [..]"</t>
  </si>
  <si>
    <t xml:space="preserve">Os valores das rubricas D, E e F, por ser custos não renováveis, serão reduzidos a partir da primeira prorrogação de vigência do contrato conforme itens D.1, E.1 e F.1 da memória de cálculo nos termos do Acórdão 1.186/2017 - TCU-Plenário. </t>
  </si>
  <si>
    <t>(1/12) x 100 ≅ 8,33%</t>
  </si>
  <si>
    <t>Art. 129 e 130 CLT.</t>
  </si>
  <si>
    <t>(1/30) /12 x 100 ≅ 0,28%</t>
  </si>
  <si>
    <t>Art. 82 e 473 da CLT</t>
  </si>
  <si>
    <t>[(5/30) /12] x 0,015 x 100 ≅ 0,02%</t>
  </si>
  <si>
    <t>Art. 7º, inciso XIX da CF. §1º do artigo 10 do ADCT. Lei n. 13.527/2016</t>
  </si>
  <si>
    <t>[(30/30) /12] x 0,0078 x 100 ≅ 0,07%</t>
  </si>
  <si>
    <t>Art. 27 do Dec. 89312/84, Art. 131 da CLT e MP. 664/2014</t>
  </si>
  <si>
    <t xml:space="preserve"> [(1/12) + (1/3 x 1/12)] x 0,02607 x 6/12 ≅ 0,14%</t>
  </si>
  <si>
    <t>Art. 7º inc. XVIII, CF, Lei 8.213/91, art. 72 e Lei 11770/2008. Lei n. 13.527/2016.</t>
  </si>
  <si>
    <t>[(5/30) /12] x 100 ≅ 1,39%</t>
  </si>
  <si>
    <t>Art.131 , inciso III, da CLT. Art. 476 da CLT, art. 6º, §1º, alínea "f", da Lei n. 605, de 1949, e  art. 12, alínea "f", do Decreto n. 27.048, de 1949.</t>
  </si>
  <si>
    <r>
      <t xml:space="preserve">O </t>
    </r>
    <r>
      <rPr>
        <b/>
        <sz val="11"/>
        <color theme="1"/>
        <rFont val="Times New Roman"/>
        <family val="1"/>
      </rPr>
      <t>submódulo 4.1</t>
    </r>
    <r>
      <rPr>
        <sz val="11"/>
        <color theme="1"/>
        <rFont val="Times New Roman"/>
        <family val="1"/>
      </rPr>
      <t xml:space="preserve"> refere-se ao custo que será pago ao repositor pelos dias trabalhados quando da necessidade de substituir a mão de obra alocada na prestação do serviço.</t>
    </r>
  </si>
  <si>
    <t>Haverá substituição do empregado em férias. Por isso, para que o posto não fique descoberto a empresa deverá repor o profissional ausente por meio de profissional subtituto ao qual deverá retribuir com a mesma remuneração do titular. No último período de vigência contratual, essa rubrica supre a necessidade do pagamento das férias remuneradas do titular em vez de suportar a cobertura de férias.</t>
  </si>
  <si>
    <r>
      <rPr>
        <b/>
        <sz val="11"/>
        <color theme="1"/>
        <rFont val="Times New Roman"/>
        <family val="1"/>
      </rPr>
      <t>Ausências legais:</t>
    </r>
    <r>
      <rPr>
        <sz val="11"/>
        <color theme="1"/>
        <rFont val="Times New Roman"/>
        <family val="1"/>
      </rPr>
      <t xml:space="preserve"> estimativa de 1 (uma) licença por ano.</t>
    </r>
  </si>
  <si>
    <r>
      <rPr>
        <b/>
        <sz val="11"/>
        <color theme="1"/>
        <rFont val="Times New Roman"/>
        <family val="1"/>
      </rPr>
      <t>Licença-Paternidade:</t>
    </r>
    <r>
      <rPr>
        <sz val="11"/>
        <color theme="1"/>
        <rFont val="Times New Roman"/>
        <family val="1"/>
      </rPr>
      <t xml:space="preserve"> estimativa de 1,5% (um inteiro e cinco décimos por cento) dos empregados usufruindo 5 (cinco) dias da licença por ano.</t>
    </r>
  </si>
  <si>
    <r>
      <rPr>
        <b/>
        <sz val="11"/>
        <color theme="1"/>
        <rFont val="Times New Roman"/>
        <family val="1"/>
      </rPr>
      <t>Ausência por acidente de trabalho:</t>
    </r>
    <r>
      <rPr>
        <sz val="11"/>
        <color theme="1"/>
        <rFont val="Times New Roman"/>
        <family val="1"/>
      </rPr>
      <t xml:space="preserve"> estimativa de 1 (uma) licença de 30 (trinta) dias por ano para 0,78% (setenta e oito décimos por cento) dos empregados</t>
    </r>
  </si>
  <si>
    <r>
      <rPr>
        <b/>
        <sz val="11"/>
        <color theme="1"/>
        <rFont val="Times New Roman"/>
        <family val="1"/>
      </rPr>
      <t>Afastamento maternidade:</t>
    </r>
    <r>
      <rPr>
        <sz val="11"/>
        <color theme="1"/>
        <rFont val="Times New Roman"/>
        <family val="1"/>
      </rPr>
      <t xml:space="preserve"> estimativa de 0,02607 empregadas afastadas no Espírito Santo. No cálculo da estimativa foram adotados os dados obtidos no Anuário Estatístico da Previdência Social de 2021 e realizado o seguinte cálculo: 24.562/408.263 x 408263/941986 = 0,02607. Onde: 24.562 = nº de licenças maternidade concedidas no ES; 408.263 = nº de mulheres no mercado de trabalho no ES; 941.986 = nº total de trabalhadores no ES.</t>
    </r>
  </si>
  <si>
    <r>
      <t xml:space="preserve">Ausência por doença: </t>
    </r>
    <r>
      <rPr>
        <sz val="11"/>
        <color theme="1"/>
        <rFont val="Times New Roman"/>
        <family val="1"/>
      </rPr>
      <t>estimativa de 5 (cinco) dias de licenças por ano.</t>
    </r>
  </si>
  <si>
    <r>
      <t>Do proporcional de férias, 1/3 e 13º sobre custo de reposição foi excluído o afastamento maternidade</t>
    </r>
    <r>
      <rPr>
        <sz val="11"/>
        <color theme="1"/>
        <rFont val="Times New Roman"/>
        <family val="1"/>
      </rPr>
      <t>, primeiro porque o salário maternidade e a parcela do 13º salário durante o período da licença são custeados pelo INSS, e segundo porque as férias e o respectivo 1/3, já estão inclusos no próprio cálculo percentual dessa ausência.</t>
    </r>
  </si>
  <si>
    <t>Não haverá necessidade de reposição de um empregado durante sua ausência nos casos de intervalo para repouso ou alimentação</t>
  </si>
  <si>
    <t>Módulo 5 - Insumos diversos</t>
  </si>
  <si>
    <t>Uniforme</t>
  </si>
  <si>
    <t>Macrofunção 02.03.30 do SIAFI</t>
  </si>
  <si>
    <r>
      <t xml:space="preserve">No </t>
    </r>
    <r>
      <rPr>
        <b/>
        <sz val="11"/>
        <color theme="1"/>
        <rFont val="Times New Roman"/>
        <family val="1"/>
      </rPr>
      <t>módulo 5</t>
    </r>
    <r>
      <rPr>
        <sz val="11"/>
        <color theme="1"/>
        <rFont val="Times New Roman"/>
        <family val="1"/>
      </rPr>
      <t>, ocorre o rateio dos valores pela quantidade de empregados previstos.</t>
    </r>
  </si>
  <si>
    <r>
      <rPr>
        <b/>
        <sz val="11"/>
        <color theme="1"/>
        <rFont val="Times New Roman"/>
        <family val="1"/>
      </rPr>
      <t xml:space="preserve">Uniforme: </t>
    </r>
    <r>
      <rPr>
        <sz val="11"/>
        <color theme="1"/>
        <rFont val="Times New Roman"/>
        <family val="1"/>
      </rPr>
      <t>foi cotado o conjunto do uniforme que deverá ser entregue anualmente para cada empregado.</t>
    </r>
  </si>
  <si>
    <r>
      <rPr>
        <b/>
        <sz val="11"/>
        <color theme="1"/>
        <rFont val="Times New Roman"/>
        <family val="1"/>
      </rPr>
      <t>Equipamento</t>
    </r>
    <r>
      <rPr>
        <sz val="11"/>
        <color theme="1"/>
        <rFont val="Times New Roman"/>
        <family val="1"/>
      </rPr>
      <t>: o custo será da depreciação, uma vez que ao final da vigência do contrato, verterá ao patrimônio da empresa. Foi adotado o método de depreciação, utilizando-se a  Macrofunção 02.03.30 do SIAFI para se obter estimativas de vida útil e do valor residual dos bens depreciáveis.</t>
    </r>
  </si>
  <si>
    <t xml:space="preserve"> Base de Cálculo = M1+M2+M3+M4+M5</t>
  </si>
  <si>
    <t xml:space="preserve"> Base de Cálculo = M1+M2+M3+M4+M5+Custos Indiretos</t>
  </si>
  <si>
    <t>Base de Cálculo =  M1+M2+M3+M4+M5+Custos Indiretos+Lucro/ (1- (Somatório da % de tributos))</t>
  </si>
  <si>
    <t>Os Custos Indiretos, Tributos e Lucro é por empregado.</t>
  </si>
  <si>
    <t>O valor referente a tributos é obtido aplicando-se o percentual sobre o valor do faturamento.</t>
  </si>
  <si>
    <r>
      <rPr>
        <sz val="11"/>
        <rFont val="Times New Roman"/>
        <family val="1"/>
      </rPr>
      <t>É vedada a inclusão de tributos diretos (tais como IRPJ e a CSLL), porquanto estreitamente vinculados ao resultado final líquido da empresa, não guardando relação específica com a contratação.</t>
    </r>
    <r>
      <rPr>
        <b/>
        <sz val="11"/>
        <rFont val="Times New Roman"/>
        <family val="1"/>
      </rPr>
      <t xml:space="preserve"> (Súmula nº 254 - TCU)</t>
    </r>
  </si>
  <si>
    <t>A licitante deve elaborar sua proposta e, por conseguinte, sua planilha com base no regime de tributação ao qual estará submetida durante a execução do contrato conforme Acórdão TCU-Plenário n. 2.647/2009.</t>
  </si>
  <si>
    <t>Como comprovante, a licitante deverá apresentar declaração pública de que os percentuais do PIS e do COFINS cotados correspondem à média dos recolhimentos dos últimos doze meses, apurada com base nos dados da Escrituração Fiscal Digital da Contribuição para o PIS/PASEP e para a COFINS (EFD-Contribuições), cujos respectivos registros deverão ser remetidos juntamente com a proposta e as planilhas. Caso a licitante tenha recolhido tributos pelo regime de incidência não-cumulativa em apenas alguns meses do período que deve ser considerado para o cálculo do percentual médio efetivo (12 meses anteriores à data da proposta), poderá apresentar o cálculo considerando apenas os meses em que houve recolhimento.</t>
  </si>
  <si>
    <t>Devido a aplicação da Lei 13.161/2015 (Desoneração da folha de pagamento), a contribuição previdenciária patronal (INSS) poderá não ser calculada no Submódulo 2.2, sendo substituída pela contribuição previdenciária sobre a receita bruta (CPRB) por meio de alíquota diferenciada de acordo com a atividade, incidindo sobre o faturamento (compondo o módulo 5).</t>
  </si>
  <si>
    <r>
      <rPr>
        <b/>
        <sz val="11"/>
        <rFont val="Times New Roman"/>
        <family val="1"/>
      </rPr>
      <t>Entidades sem fins lucrativos:</t>
    </r>
    <r>
      <rPr>
        <sz val="11"/>
        <rFont val="Times New Roman"/>
        <family val="1"/>
      </rPr>
      <t xml:space="preserve"> proceder ao ajuste na nomenclarura de "lucro" para "superávit" conforme orientações presentes no item 10, 11, 15, 23 da Norma Brasileira de Contabilidade ITG 2002 e Capítulo 5.7.2 do Manual de Preenchimento do Modelo de Planilhas de Custos e de Formação de Preços do STJ.</t>
    </r>
  </si>
  <si>
    <t>Adicional de Hora Extra</t>
  </si>
  <si>
    <t>Artigo 192, da CLT e Súmula n. 448 do TST</t>
  </si>
  <si>
    <t>Artigo 59 da CLT</t>
  </si>
  <si>
    <r>
      <t xml:space="preserve">Adicional de Hora Extra: </t>
    </r>
    <r>
      <rPr>
        <sz val="11"/>
        <color theme="1"/>
        <rFont val="Times New Roman"/>
        <family val="1"/>
      </rPr>
      <t>há previsão de horas extras para domingos e feriados, para dois postos de trabalho, sendo um auxiliar de serviços gerais e outro de auxiliar de serviços gerais - banheirista</t>
    </r>
  </si>
  <si>
    <t>Depreciação dos Equipamentos</t>
  </si>
  <si>
    <t>Luva de borracha, cano longo, par, palma antiderrapante flexível, com CA</t>
  </si>
  <si>
    <t>Luva de borracha, cano médio, par, palma antiderrapante, com CA</t>
  </si>
  <si>
    <t xml:space="preserve">DETALHAMENTO DO CUSTO DOS EQUIPAMENTOS </t>
  </si>
  <si>
    <r>
      <rPr>
        <b/>
        <sz val="11"/>
        <rFont val="Times New Roman"/>
        <family val="1"/>
      </rPr>
      <t xml:space="preserve">Transporte: </t>
    </r>
    <r>
      <rPr>
        <sz val="11"/>
        <rFont val="Times New Roman"/>
        <family val="1"/>
      </rPr>
      <t>a tarifa atual do transporte coletivo na Região Metropolitana da Grande Vitória é R$ 4,70 (quatro reais e setenta centavos) de segunda a sábado e aos domingos a tarifa é reduzida para R$ 4,10 (quatro reais e dez centavos). No município de São Mateus é R$ 4,50 (quatro reais e cinquenta centavos) e em Cachoeiro de Itapemirim/ES é R$ 3,50 (três reais e cinquenta centavos), com a utilização do Cartão Melhor Cidadão.</t>
    </r>
  </si>
  <si>
    <t>Valor Total (24 meses)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</si>
</sst>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quot;R$&quot;\ #,##0.00"/>
    <numFmt numFmtId="165" formatCode="0.000%"/>
    <numFmt numFmtId="166" formatCode="0.000000000"/>
    <numFmt numFmtId="167" formatCode="&quot;R$&quot;\ #,##0.000"/>
    <numFmt numFmtId="168" formatCode="&quot;R$&quot;\ #,##0.0000"/>
    <numFmt numFmtId="169" formatCode="0.0"/>
    <numFmt numFmtId="170" formatCode="_(&quot;R$ &quot;* #,##0.00_);_(&quot;R$ &quot;* \(#,##0.00\);_(&quot;R$ &quot;* &quot;-&quot;??_);_(@_)"/>
    <numFmt numFmtId="171" formatCode="0.0000000000000"/>
    <numFmt numFmtId="172" formatCode="0.00000000000000"/>
    <numFmt numFmtId="173" formatCode="0.000000000000000"/>
    <numFmt numFmtId="174" formatCode="0.0000000000000000"/>
    <numFmt numFmtId="175" formatCode="0.00000000000000000"/>
    <numFmt numFmtId="176" formatCode="0.000000000000000000"/>
    <numFmt numFmtId="177" formatCode="0.0000000000000000000"/>
    <numFmt numFmtId="178" formatCode="0.000000000000000000000"/>
  </numFmts>
  <fonts count="19" x14ac:knownFonts="1">
    <font>
      <sz val="11"/>
      <color theme="1"/>
      <name val="Calibri"/>
      <family val="2"/>
      <scheme val="minor"/>
    </font>
    <font>
      <b/>
      <sz val="10"/>
      <color theme="1"/>
      <name val="Times New Roman"/>
      <family val="1"/>
    </font>
    <font>
      <sz val="10"/>
      <color theme="1"/>
      <name val="Times New Roman"/>
      <family val="1"/>
    </font>
    <font>
      <b/>
      <sz val="10"/>
      <name val="Times New Roman"/>
      <family val="1"/>
    </font>
    <font>
      <sz val="10"/>
      <name val="Times New Roman"/>
      <family val="1"/>
    </font>
    <font>
      <b/>
      <i/>
      <sz val="10"/>
      <color theme="1"/>
      <name val="Times New Roman"/>
      <family val="1"/>
    </font>
    <font>
      <sz val="10"/>
      <color rgb="FFFF0000"/>
      <name val="Times New Roman"/>
      <family val="1"/>
    </font>
    <font>
      <i/>
      <sz val="10"/>
      <name val="Times New Roman"/>
      <family val="1"/>
    </font>
    <font>
      <sz val="11"/>
      <color theme="1"/>
      <name val="Calibri"/>
      <family val="2"/>
      <scheme val="minor"/>
    </font>
    <font>
      <b/>
      <sz val="11"/>
      <color theme="1"/>
      <name val="Times New Roman"/>
      <family val="1"/>
    </font>
    <font>
      <sz val="11"/>
      <color theme="1"/>
      <name val="Times New Roman"/>
      <family val="1"/>
    </font>
    <font>
      <b/>
      <sz val="12"/>
      <color theme="1"/>
      <name val="Times New Roman"/>
      <family val="1"/>
    </font>
    <font>
      <b/>
      <sz val="15"/>
      <color theme="1"/>
      <name val="Times New Roman"/>
      <family val="1"/>
    </font>
    <font>
      <sz val="11"/>
      <name val="Times New Roman"/>
      <family val="1"/>
    </font>
    <font>
      <b/>
      <sz val="11"/>
      <name val="Times New Roman"/>
      <family val="1"/>
    </font>
    <font>
      <i/>
      <sz val="11"/>
      <color theme="1"/>
      <name val="Times New Roman"/>
      <family val="1"/>
    </font>
    <font>
      <i/>
      <sz val="11"/>
      <name val="Times New Roman"/>
      <family val="1"/>
    </font>
    <font>
      <sz val="11"/>
      <color indexed="8"/>
      <name val="Calibri"/>
      <family val="2"/>
    </font>
    <font>
      <b/>
      <i/>
      <sz val="11"/>
      <color theme="1"/>
      <name val="Times New Roman"/>
      <family val="1"/>
    </font>
  </fonts>
  <fills count="14">
    <fill>
      <patternFill patternType="none"/>
    </fill>
    <fill>
      <patternFill patternType="gray125"/>
    </fill>
    <fill>
      <patternFill patternType="solid">
        <fgColor theme="9" tint="0.39997558519241921"/>
        <bgColor indexed="64"/>
      </patternFill>
    </fill>
    <fill>
      <patternFill patternType="solid">
        <fgColor rgb="FFFFFFFF"/>
        <bgColor indexed="64"/>
      </patternFill>
    </fill>
    <fill>
      <patternFill patternType="solid">
        <fgColor theme="9" tint="0.59999389629810485"/>
        <bgColor indexed="64"/>
      </patternFill>
    </fill>
    <fill>
      <patternFill patternType="solid">
        <fgColor theme="0"/>
        <bgColor indexed="64"/>
      </patternFill>
    </fill>
    <fill>
      <patternFill patternType="solid">
        <fgColor theme="8" tint="0.79998168889431442"/>
        <bgColor indexed="64"/>
      </patternFill>
    </fill>
    <fill>
      <patternFill patternType="solid">
        <fgColor theme="3" tint="0.59999389629810485"/>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7" tint="0.399975585192419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3">
    <xf numFmtId="0" fontId="0" fillId="0" borderId="0"/>
    <xf numFmtId="9" fontId="8" fillId="0" borderId="0" applyFont="0" applyFill="0" applyBorder="0" applyAlignment="0" applyProtection="0"/>
    <xf numFmtId="170" fontId="17" fillId="0" borderId="0" applyFont="0" applyFill="0" applyBorder="0" applyAlignment="0" applyProtection="0"/>
  </cellStyleXfs>
  <cellXfs count="512">
    <xf numFmtId="0" fontId="0" fillId="0" borderId="0" xfId="0"/>
    <xf numFmtId="0" fontId="2" fillId="0" borderId="0" xfId="0" applyFont="1" applyAlignment="1">
      <alignment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vertical="center" wrapText="1"/>
    </xf>
    <xf numFmtId="0" fontId="6" fillId="0" borderId="0" xfId="0" applyFont="1" applyAlignment="1">
      <alignment vertical="center"/>
    </xf>
    <xf numFmtId="0" fontId="7" fillId="0" borderId="1" xfId="0" applyFont="1" applyBorder="1" applyAlignment="1">
      <alignment horizontal="right" vertical="center" wrapText="1"/>
    </xf>
    <xf numFmtId="0" fontId="1" fillId="0" borderId="1" xfId="0" applyFont="1" applyBorder="1" applyAlignment="1" applyProtection="1">
      <alignment horizontal="center" vertical="center" wrapText="1"/>
      <protection locked="0"/>
    </xf>
    <xf numFmtId="0" fontId="0" fillId="0" borderId="0" xfId="0" applyProtection="1">
      <protection locked="0"/>
    </xf>
    <xf numFmtId="0" fontId="2" fillId="0" borderId="0" xfId="0" applyFont="1" applyAlignment="1" applyProtection="1">
      <alignment vertical="center"/>
      <protection locked="0"/>
    </xf>
    <xf numFmtId="0" fontId="2" fillId="0" borderId="0" xfId="0" applyFont="1" applyBorder="1" applyAlignment="1" applyProtection="1">
      <alignment vertical="center"/>
      <protection locked="0"/>
    </xf>
    <xf numFmtId="0" fontId="2" fillId="0" borderId="1"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1" fillId="3" borderId="6" xfId="0" applyFont="1" applyFill="1" applyBorder="1" applyAlignment="1" applyProtection="1">
      <alignment horizontal="right" vertical="center"/>
      <protection locked="0"/>
    </xf>
    <xf numFmtId="0" fontId="1" fillId="0" borderId="0" xfId="0" applyFont="1" applyBorder="1" applyAlignment="1" applyProtection="1">
      <alignment horizontal="center" vertical="center"/>
      <protection locked="0"/>
    </xf>
    <xf numFmtId="0" fontId="4" fillId="0" borderId="0" xfId="0" applyFont="1" applyAlignment="1" applyProtection="1">
      <alignment vertical="center"/>
      <protection locked="0"/>
    </xf>
    <xf numFmtId="0" fontId="6" fillId="0" borderId="0" xfId="0" applyFont="1" applyAlignment="1" applyProtection="1">
      <alignment vertical="center"/>
      <protection locked="0"/>
    </xf>
    <xf numFmtId="0" fontId="1" fillId="0" borderId="1" xfId="0" applyFont="1" applyBorder="1" applyAlignment="1" applyProtection="1">
      <alignment horizontal="center" vertical="center" wrapText="1"/>
    </xf>
    <xf numFmtId="0" fontId="3" fillId="0" borderId="1" xfId="0" applyFont="1" applyBorder="1" applyAlignment="1" applyProtection="1">
      <alignment horizontal="center" vertical="center" wrapText="1"/>
    </xf>
    <xf numFmtId="0" fontId="4" fillId="0" borderId="1" xfId="0" applyFont="1" applyBorder="1" applyAlignment="1" applyProtection="1">
      <alignment horizontal="center" vertical="center" wrapText="1"/>
    </xf>
    <xf numFmtId="0" fontId="2" fillId="0" borderId="1" xfId="0" applyFont="1" applyBorder="1" applyAlignment="1" applyProtection="1">
      <alignment horizontal="center" vertical="center" wrapText="1"/>
    </xf>
    <xf numFmtId="10" fontId="2" fillId="3" borderId="1" xfId="0" applyNumberFormat="1" applyFont="1" applyFill="1" applyBorder="1" applyAlignment="1" applyProtection="1">
      <alignment vertical="center" wrapText="1"/>
    </xf>
    <xf numFmtId="167" fontId="0" fillId="0" borderId="0" xfId="0" applyNumberFormat="1" applyProtection="1">
      <protection locked="0"/>
    </xf>
    <xf numFmtId="0" fontId="2" fillId="0" borderId="1" xfId="0" applyFont="1" applyBorder="1" applyAlignment="1" applyProtection="1">
      <alignment horizontal="center"/>
    </xf>
    <xf numFmtId="0" fontId="7" fillId="0" borderId="1" xfId="0" applyFont="1" applyBorder="1" applyAlignment="1" applyProtection="1">
      <alignment horizontal="right" vertical="center" wrapText="1"/>
    </xf>
    <xf numFmtId="0" fontId="1" fillId="0" borderId="7" xfId="0" applyFont="1" applyBorder="1" applyAlignment="1" applyProtection="1">
      <alignment horizontal="center" vertical="center" wrapText="1"/>
    </xf>
    <xf numFmtId="164" fontId="0" fillId="0" borderId="0" xfId="0" applyNumberFormat="1"/>
    <xf numFmtId="9" fontId="1" fillId="6" borderId="0" xfId="0" applyNumberFormat="1" applyFont="1" applyFill="1" applyProtection="1">
      <protection locked="0"/>
    </xf>
    <xf numFmtId="166" fontId="2" fillId="0" borderId="1" xfId="0" applyNumberFormat="1" applyFont="1" applyBorder="1" applyAlignment="1">
      <alignment horizontal="center" vertical="center"/>
    </xf>
    <xf numFmtId="169" fontId="2" fillId="0" borderId="1" xfId="0" applyNumberFormat="1" applyFont="1" applyBorder="1" applyAlignment="1">
      <alignment horizontal="center" vertical="center"/>
    </xf>
    <xf numFmtId="0" fontId="2" fillId="0" borderId="1" xfId="0" applyFont="1" applyBorder="1" applyAlignment="1">
      <alignment horizontal="center" vertical="center"/>
    </xf>
    <xf numFmtId="164" fontId="2" fillId="0" borderId="1" xfId="0" applyNumberFormat="1" applyFont="1" applyBorder="1" applyAlignment="1">
      <alignment horizontal="center" vertical="center"/>
    </xf>
    <xf numFmtId="0" fontId="0" fillId="0" borderId="0" xfId="0" applyAlignment="1">
      <alignment wrapText="1"/>
    </xf>
    <xf numFmtId="0" fontId="1" fillId="7" borderId="1" xfId="0" applyFont="1" applyFill="1" applyBorder="1" applyAlignment="1">
      <alignment horizontal="center" vertical="center"/>
    </xf>
    <xf numFmtId="0" fontId="1" fillId="7" borderId="1" xfId="0" applyFont="1" applyFill="1" applyBorder="1" applyAlignment="1">
      <alignment horizontal="center" vertical="top"/>
    </xf>
    <xf numFmtId="0" fontId="1" fillId="7" borderId="1" xfId="0" applyFont="1" applyFill="1" applyBorder="1" applyAlignment="1">
      <alignment horizontal="center" vertical="top" wrapText="1"/>
    </xf>
    <xf numFmtId="0" fontId="2" fillId="0" borderId="1" xfId="0" applyFont="1" applyFill="1" applyBorder="1" applyAlignment="1">
      <alignment horizontal="center" vertical="top"/>
    </xf>
    <xf numFmtId="0" fontId="2" fillId="0" borderId="1" xfId="0" applyFont="1" applyFill="1" applyBorder="1" applyAlignment="1">
      <alignment horizontal="center" vertical="top" wrapText="1"/>
    </xf>
    <xf numFmtId="164" fontId="2" fillId="0" borderId="1" xfId="0" applyNumberFormat="1" applyFont="1" applyFill="1" applyBorder="1" applyAlignment="1">
      <alignment vertical="top"/>
    </xf>
    <xf numFmtId="164" fontId="3" fillId="7" borderId="1" xfId="0" applyNumberFormat="1" applyFont="1" applyFill="1" applyBorder="1" applyAlignment="1">
      <alignment vertical="top"/>
    </xf>
    <xf numFmtId="0" fontId="2" fillId="0" borderId="0" xfId="0" applyFont="1" applyFill="1" applyAlignment="1">
      <alignment vertical="top"/>
    </xf>
    <xf numFmtId="164" fontId="1" fillId="7" borderId="1" xfId="0" applyNumberFormat="1" applyFont="1" applyFill="1" applyBorder="1" applyAlignment="1">
      <alignment vertical="top"/>
    </xf>
    <xf numFmtId="164" fontId="1" fillId="7" borderId="1" xfId="0" applyNumberFormat="1" applyFont="1" applyFill="1" applyBorder="1" applyAlignment="1">
      <alignment horizontal="center" vertical="center"/>
    </xf>
    <xf numFmtId="9" fontId="2" fillId="0" borderId="1" xfId="1"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9" fontId="4" fillId="0" borderId="1" xfId="1" applyFont="1" applyFill="1" applyBorder="1" applyAlignment="1">
      <alignment horizontal="center" vertical="center"/>
    </xf>
    <xf numFmtId="0" fontId="4" fillId="0" borderId="1" xfId="0" applyFont="1" applyFill="1" applyBorder="1" applyAlignment="1">
      <alignment horizontal="center" vertical="center"/>
    </xf>
    <xf numFmtId="2" fontId="7" fillId="0" borderId="1" xfId="0" applyNumberFormat="1" applyFont="1" applyBorder="1" applyAlignment="1">
      <alignment vertical="center" wrapText="1"/>
    </xf>
    <xf numFmtId="2" fontId="2" fillId="0" borderId="1" xfId="1" applyNumberFormat="1" applyFont="1" applyBorder="1" applyAlignment="1">
      <alignment horizontal="center" vertical="center"/>
    </xf>
    <xf numFmtId="2" fontId="2" fillId="0" borderId="1" xfId="1" applyNumberFormat="1" applyFont="1" applyFill="1" applyBorder="1" applyAlignment="1">
      <alignment horizontal="center" vertical="center"/>
    </xf>
    <xf numFmtId="164" fontId="2" fillId="6" borderId="1" xfId="0" applyNumberFormat="1" applyFont="1" applyFill="1" applyBorder="1" applyAlignment="1" applyProtection="1">
      <alignment horizontal="center" vertical="center"/>
      <protection locked="0"/>
    </xf>
    <xf numFmtId="0" fontId="2" fillId="0" borderId="1" xfId="0" applyFont="1" applyBorder="1" applyAlignment="1" applyProtection="1">
      <alignment horizontal="center" vertical="center"/>
    </xf>
    <xf numFmtId="164" fontId="2" fillId="0" borderId="1" xfId="0" applyNumberFormat="1" applyFont="1" applyBorder="1" applyAlignment="1" applyProtection="1">
      <alignment horizontal="center" vertical="center"/>
    </xf>
    <xf numFmtId="0" fontId="1" fillId="0" borderId="1" xfId="0" applyFont="1" applyBorder="1" applyAlignment="1" applyProtection="1">
      <alignment horizontal="center" vertical="center"/>
    </xf>
    <xf numFmtId="0" fontId="2" fillId="0" borderId="1" xfId="0" applyFont="1" applyBorder="1" applyAlignment="1">
      <alignment horizontal="center" vertical="center"/>
    </xf>
    <xf numFmtId="0" fontId="1" fillId="7" borderId="1" xfId="0" applyFont="1" applyFill="1" applyBorder="1" applyAlignment="1">
      <alignment horizontal="center" vertical="center"/>
    </xf>
    <xf numFmtId="0" fontId="1" fillId="7" borderId="1" xfId="0" applyFont="1" applyFill="1" applyBorder="1" applyAlignment="1">
      <alignment horizontal="center" vertical="center" wrapText="1"/>
    </xf>
    <xf numFmtId="0" fontId="1" fillId="4" borderId="1" xfId="0" applyFont="1" applyFill="1" applyBorder="1" applyAlignment="1" applyProtection="1">
      <alignment horizontal="center" vertical="center"/>
    </xf>
    <xf numFmtId="0" fontId="1" fillId="4" borderId="1" xfId="0" applyFont="1" applyFill="1" applyBorder="1" applyAlignment="1" applyProtection="1">
      <alignment horizontal="center" vertical="center" wrapText="1"/>
    </xf>
    <xf numFmtId="164" fontId="1" fillId="9" borderId="1" xfId="0" applyNumberFormat="1" applyFont="1" applyFill="1" applyBorder="1" applyAlignment="1">
      <alignment horizontal="center" vertical="center"/>
    </xf>
    <xf numFmtId="164" fontId="4" fillId="6" borderId="1" xfId="0" applyNumberFormat="1" applyFont="1" applyFill="1" applyBorder="1" applyAlignment="1" applyProtection="1">
      <alignment vertical="top"/>
      <protection locked="0"/>
    </xf>
    <xf numFmtId="164" fontId="4" fillId="6" borderId="1" xfId="0" applyNumberFormat="1" applyFont="1" applyFill="1" applyBorder="1" applyAlignment="1" applyProtection="1">
      <alignment horizontal="center" vertical="center"/>
      <protection locked="0"/>
    </xf>
    <xf numFmtId="0" fontId="2" fillId="0" borderId="1" xfId="0"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0" fontId="3" fillId="0" borderId="1" xfId="0" applyFont="1" applyBorder="1" applyAlignment="1" applyProtection="1">
      <alignment horizontal="center" vertical="center" wrapText="1"/>
    </xf>
    <xf numFmtId="0" fontId="2" fillId="0" borderId="1" xfId="0" applyFont="1" applyBorder="1" applyAlignment="1" applyProtection="1">
      <alignment horizontal="center"/>
    </xf>
    <xf numFmtId="0" fontId="2" fillId="0" borderId="1" xfId="0" applyFont="1" applyBorder="1" applyAlignment="1">
      <alignment horizontal="center" vertical="center"/>
    </xf>
    <xf numFmtId="164" fontId="2" fillId="0" borderId="1" xfId="0" applyNumberFormat="1" applyFont="1" applyBorder="1" applyAlignment="1">
      <alignment horizontal="center" vertical="center"/>
    </xf>
    <xf numFmtId="0" fontId="1" fillId="7" borderId="1" xfId="0" applyFont="1" applyFill="1" applyBorder="1" applyAlignment="1">
      <alignment horizontal="center" vertical="center"/>
    </xf>
    <xf numFmtId="0" fontId="10" fillId="0" borderId="1" xfId="0" applyFont="1" applyBorder="1" applyAlignment="1">
      <alignment horizontal="center" vertical="center"/>
    </xf>
    <xf numFmtId="2" fontId="10" fillId="0" borderId="1" xfId="0" applyNumberFormat="1" applyFont="1" applyBorder="1" applyAlignment="1">
      <alignment horizontal="center" vertical="center"/>
    </xf>
    <xf numFmtId="164" fontId="10" fillId="0" borderId="1" xfId="0" applyNumberFormat="1" applyFont="1" applyBorder="1" applyAlignment="1">
      <alignment horizontal="center" vertical="center"/>
    </xf>
    <xf numFmtId="168" fontId="0" fillId="0" borderId="0" xfId="0" applyNumberFormat="1"/>
    <xf numFmtId="2" fontId="0" fillId="0" borderId="0" xfId="0" applyNumberFormat="1" applyProtection="1">
      <protection locked="0"/>
    </xf>
    <xf numFmtId="0" fontId="3" fillId="4" borderId="1" xfId="0" applyFont="1" applyFill="1" applyBorder="1" applyAlignment="1">
      <alignment horizontal="center" vertical="center"/>
    </xf>
    <xf numFmtId="0" fontId="2" fillId="0" borderId="1" xfId="0" applyFont="1" applyBorder="1" applyAlignment="1">
      <alignment horizontal="center"/>
    </xf>
    <xf numFmtId="10" fontId="2" fillId="0" borderId="1" xfId="0" applyNumberFormat="1" applyFont="1" applyBorder="1" applyAlignment="1">
      <alignment horizontal="center"/>
    </xf>
    <xf numFmtId="164" fontId="2" fillId="10" borderId="1" xfId="0" applyNumberFormat="1" applyFont="1" applyFill="1" applyBorder="1" applyAlignment="1" applyProtection="1">
      <alignment horizontal="center" vertical="center"/>
    </xf>
    <xf numFmtId="164" fontId="2" fillId="10" borderId="1" xfId="0" applyNumberFormat="1" applyFont="1" applyFill="1" applyBorder="1" applyAlignment="1" applyProtection="1">
      <alignment horizontal="center"/>
    </xf>
    <xf numFmtId="9" fontId="2" fillId="6" borderId="1" xfId="1" applyFont="1" applyFill="1" applyBorder="1" applyAlignment="1" applyProtection="1">
      <alignment horizontal="center"/>
      <protection locked="0"/>
    </xf>
    <xf numFmtId="0" fontId="9" fillId="11" borderId="1" xfId="0" applyFont="1" applyFill="1" applyBorder="1" applyAlignment="1">
      <alignment horizontal="center" vertical="center"/>
    </xf>
    <xf numFmtId="164" fontId="9" fillId="11" borderId="1" xfId="0" applyNumberFormat="1" applyFont="1" applyFill="1" applyBorder="1" applyAlignment="1">
      <alignment horizontal="center" vertical="center"/>
    </xf>
    <xf numFmtId="164" fontId="1" fillId="9" borderId="1" xfId="0" applyNumberFormat="1" applyFont="1" applyFill="1" applyBorder="1" applyAlignment="1">
      <alignment horizontal="center"/>
    </xf>
    <xf numFmtId="0" fontId="1" fillId="7" borderId="1" xfId="0" applyFont="1" applyFill="1" applyBorder="1" applyAlignment="1">
      <alignment horizontal="center"/>
    </xf>
    <xf numFmtId="0" fontId="2" fillId="0" borderId="0" xfId="0" applyFont="1" applyAlignment="1" applyProtection="1">
      <alignment vertical="center"/>
    </xf>
    <xf numFmtId="0" fontId="4" fillId="0" borderId="0" xfId="0" applyFont="1" applyAlignment="1" applyProtection="1">
      <alignment vertical="center"/>
    </xf>
    <xf numFmtId="0" fontId="6" fillId="0" borderId="0" xfId="0" applyFont="1" applyAlignment="1" applyProtection="1">
      <alignment vertical="center"/>
    </xf>
    <xf numFmtId="0" fontId="10" fillId="0" borderId="0" xfId="0" applyFont="1" applyAlignment="1">
      <alignment horizontal="center" vertical="center"/>
    </xf>
    <xf numFmtId="10" fontId="10" fillId="0" borderId="0" xfId="1" applyNumberFormat="1" applyFont="1" applyAlignment="1">
      <alignment horizontal="center" vertical="center"/>
    </xf>
    <xf numFmtId="0" fontId="10" fillId="0" borderId="0" xfId="0" applyFont="1" applyAlignment="1">
      <alignment horizontal="center" vertical="center" wrapText="1"/>
    </xf>
    <xf numFmtId="10" fontId="9" fillId="11" borderId="1" xfId="1" applyNumberFormat="1" applyFont="1" applyFill="1" applyBorder="1" applyAlignment="1">
      <alignment horizontal="center" vertical="center"/>
    </xf>
    <xf numFmtId="0" fontId="9" fillId="11" borderId="1" xfId="0" applyFont="1" applyFill="1" applyBorder="1" applyAlignment="1">
      <alignment horizontal="center" vertical="center" wrapText="1"/>
    </xf>
    <xf numFmtId="10" fontId="10" fillId="0" borderId="1" xfId="1" applyNumberFormat="1" applyFont="1" applyBorder="1" applyAlignment="1">
      <alignment horizontal="center" vertical="center"/>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7" xfId="0" applyFont="1" applyBorder="1" applyAlignment="1">
      <alignment horizontal="center" vertical="center"/>
    </xf>
    <xf numFmtId="0" fontId="13" fillId="5" borderId="2" xfId="0" applyFont="1" applyFill="1" applyBorder="1" applyAlignment="1">
      <alignment vertical="center"/>
    </xf>
    <xf numFmtId="0" fontId="13" fillId="5" borderId="1" xfId="0" applyFont="1" applyFill="1" applyBorder="1" applyAlignment="1">
      <alignment vertical="center" wrapText="1"/>
    </xf>
    <xf numFmtId="0" fontId="9" fillId="0" borderId="0" xfId="0" applyFont="1" applyAlignment="1">
      <alignment vertical="center"/>
    </xf>
    <xf numFmtId="0" fontId="9" fillId="0" borderId="0" xfId="0" applyFont="1" applyAlignment="1">
      <alignment vertical="center" wrapText="1"/>
    </xf>
    <xf numFmtId="10" fontId="10" fillId="0" borderId="1" xfId="0" applyNumberFormat="1" applyFont="1" applyBorder="1" applyAlignment="1">
      <alignment horizontal="center" vertical="center" wrapText="1"/>
    </xf>
    <xf numFmtId="10" fontId="10" fillId="0" borderId="1" xfId="0" applyNumberFormat="1" applyFont="1" applyBorder="1" applyAlignment="1">
      <alignment horizontal="center" vertical="center"/>
    </xf>
    <xf numFmtId="0" fontId="13" fillId="5" borderId="1" xfId="0" applyFont="1" applyFill="1" applyBorder="1" applyAlignment="1">
      <alignment horizontal="left" vertical="center" wrapText="1"/>
    </xf>
    <xf numFmtId="0" fontId="9" fillId="0" borderId="1" xfId="0" applyFont="1" applyBorder="1" applyAlignment="1">
      <alignment horizontal="center" vertical="center" wrapText="1"/>
    </xf>
    <xf numFmtId="9" fontId="14"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5" fillId="0" borderId="1" xfId="0" applyFont="1" applyBorder="1" applyAlignment="1">
      <alignment horizontal="center" vertical="center" wrapText="1"/>
    </xf>
    <xf numFmtId="10" fontId="15" fillId="0" borderId="1" xfId="0" applyNumberFormat="1" applyFont="1" applyBorder="1" applyAlignment="1">
      <alignment horizontal="center" vertical="center" wrapText="1"/>
    </xf>
    <xf numFmtId="0" fontId="16" fillId="5" borderId="1" xfId="0" applyFont="1" applyFill="1" applyBorder="1" applyAlignment="1">
      <alignment horizontal="left" vertical="center" wrapText="1"/>
    </xf>
    <xf numFmtId="0" fontId="13" fillId="0" borderId="1" xfId="0" applyFont="1" applyBorder="1" applyAlignment="1">
      <alignment vertical="center" wrapText="1"/>
    </xf>
    <xf numFmtId="0" fontId="13" fillId="0" borderId="1" xfId="0" applyFont="1" applyBorder="1" applyAlignment="1">
      <alignment vertical="center"/>
    </xf>
    <xf numFmtId="0" fontId="13" fillId="0" borderId="1" xfId="0" applyFont="1" applyBorder="1"/>
    <xf numFmtId="0" fontId="10" fillId="0" borderId="1" xfId="0" applyFont="1" applyBorder="1" applyAlignment="1">
      <alignment vertical="center" wrapText="1"/>
    </xf>
    <xf numFmtId="0" fontId="13" fillId="0" borderId="1" xfId="0" applyFont="1" applyBorder="1" applyAlignment="1" applyProtection="1">
      <alignment vertical="center"/>
      <protection hidden="1"/>
    </xf>
    <xf numFmtId="0" fontId="13" fillId="0" borderId="1" xfId="0" applyFont="1" applyBorder="1" applyAlignment="1" applyProtection="1">
      <alignment vertical="center" wrapText="1"/>
      <protection hidden="1"/>
    </xf>
    <xf numFmtId="0" fontId="13" fillId="5" borderId="1" xfId="0" applyFont="1" applyFill="1" applyBorder="1" applyAlignment="1" applyProtection="1">
      <alignment vertical="center"/>
      <protection hidden="1"/>
    </xf>
    <xf numFmtId="0" fontId="15" fillId="0" borderId="1" xfId="0" applyFont="1" applyBorder="1" applyAlignment="1">
      <alignment horizontal="right" vertical="center" wrapText="1"/>
    </xf>
    <xf numFmtId="165" fontId="15" fillId="0" borderId="1" xfId="1" applyNumberFormat="1" applyFont="1" applyBorder="1" applyAlignment="1">
      <alignment horizontal="center" vertical="center"/>
    </xf>
    <xf numFmtId="0" fontId="16" fillId="0" borderId="1" xfId="0" applyFont="1" applyBorder="1" applyAlignment="1" applyProtection="1">
      <alignment vertical="center"/>
      <protection hidden="1"/>
    </xf>
    <xf numFmtId="0" fontId="16" fillId="0" borderId="1" xfId="0" applyFont="1" applyBorder="1" applyAlignment="1" applyProtection="1">
      <alignment horizontal="right" vertical="center" wrapText="1"/>
      <protection hidden="1"/>
    </xf>
    <xf numFmtId="10" fontId="15" fillId="0" borderId="1" xfId="1" applyNumberFormat="1" applyFont="1" applyBorder="1" applyAlignment="1">
      <alignment horizontal="center" vertical="center"/>
    </xf>
    <xf numFmtId="165" fontId="10" fillId="0" borderId="1" xfId="1" applyNumberFormat="1" applyFont="1" applyBorder="1" applyAlignment="1">
      <alignment horizontal="center" vertical="center"/>
    </xf>
    <xf numFmtId="4" fontId="16" fillId="0" borderId="1" xfId="2" applyNumberFormat="1" applyFont="1" applyFill="1" applyBorder="1" applyAlignment="1" applyProtection="1">
      <alignment vertical="center"/>
      <protection hidden="1"/>
    </xf>
    <xf numFmtId="10" fontId="10" fillId="3" borderId="1" xfId="0" applyNumberFormat="1" applyFont="1" applyFill="1" applyBorder="1" applyAlignment="1">
      <alignment horizontal="center" vertical="center" wrapText="1"/>
    </xf>
    <xf numFmtId="0" fontId="13" fillId="5" borderId="2" xfId="0" applyFont="1" applyFill="1" applyBorder="1" applyAlignment="1">
      <alignment horizontal="left" vertical="center"/>
    </xf>
    <xf numFmtId="0" fontId="13" fillId="5" borderId="1" xfId="0" applyFont="1" applyFill="1" applyBorder="1" applyAlignment="1">
      <alignment vertical="center"/>
    </xf>
    <xf numFmtId="4" fontId="13" fillId="0" borderId="1" xfId="2" applyNumberFormat="1" applyFont="1" applyBorder="1" applyAlignment="1" applyProtection="1">
      <alignment horizontal="left" vertical="center"/>
    </xf>
    <xf numFmtId="0" fontId="10" fillId="0" borderId="1" xfId="0" applyFont="1" applyBorder="1" applyAlignment="1">
      <alignment horizontal="left" vertical="center"/>
    </xf>
    <xf numFmtId="10" fontId="18" fillId="0" borderId="1" xfId="0" applyNumberFormat="1" applyFont="1" applyBorder="1" applyAlignment="1">
      <alignment horizontal="center" vertical="center" wrapText="1"/>
    </xf>
    <xf numFmtId="0" fontId="10" fillId="0" borderId="1" xfId="0" applyFont="1" applyBorder="1" applyAlignment="1">
      <alignment horizontal="center" wrapText="1"/>
    </xf>
    <xf numFmtId="0" fontId="10" fillId="0" borderId="1" xfId="0" applyFont="1" applyBorder="1" applyAlignment="1">
      <alignment horizontal="left" wrapText="1"/>
    </xf>
    <xf numFmtId="10" fontId="10" fillId="0" borderId="1" xfId="0" applyNumberFormat="1" applyFont="1" applyBorder="1" applyAlignment="1">
      <alignment horizontal="center" wrapText="1"/>
    </xf>
    <xf numFmtId="0" fontId="13" fillId="0" borderId="1" xfId="0" applyFont="1" applyBorder="1" applyAlignment="1">
      <alignment horizontal="left" vertical="center"/>
    </xf>
    <xf numFmtId="0" fontId="13" fillId="0" borderId="1" xfId="0" applyFont="1" applyBorder="1" applyAlignment="1">
      <alignment horizontal="center" vertical="center"/>
    </xf>
    <xf numFmtId="10" fontId="18" fillId="0" borderId="1" xfId="0" applyNumberFormat="1" applyFont="1" applyBorder="1" applyAlignment="1">
      <alignment horizontal="center" wrapText="1"/>
    </xf>
    <xf numFmtId="0" fontId="10" fillId="0" borderId="7" xfId="0" applyFont="1" applyBorder="1" applyAlignment="1">
      <alignment horizontal="center" vertical="center" wrapText="1"/>
    </xf>
    <xf numFmtId="0" fontId="10" fillId="0" borderId="7" xfId="0" applyFont="1" applyBorder="1" applyAlignment="1">
      <alignment vertical="center" wrapText="1"/>
    </xf>
    <xf numFmtId="0" fontId="10" fillId="0" borderId="8" xfId="0" applyFont="1" applyBorder="1" applyAlignment="1">
      <alignment horizontal="center" vertical="center"/>
    </xf>
    <xf numFmtId="10" fontId="10" fillId="0" borderId="8" xfId="1" applyNumberFormat="1" applyFont="1" applyBorder="1" applyAlignment="1">
      <alignment horizontal="center" vertical="center"/>
    </xf>
    <xf numFmtId="0" fontId="13" fillId="3" borderId="1" xfId="0" applyFont="1" applyFill="1" applyBorder="1" applyAlignment="1">
      <alignment vertical="center"/>
    </xf>
    <xf numFmtId="10" fontId="13" fillId="0" borderId="1" xfId="0" applyNumberFormat="1" applyFont="1" applyBorder="1" applyAlignment="1">
      <alignment horizontal="center" vertical="center" wrapText="1"/>
    </xf>
    <xf numFmtId="0" fontId="16" fillId="0" borderId="1" xfId="0" applyFont="1" applyBorder="1" applyAlignment="1">
      <alignment horizontal="right" vertical="center" wrapText="1"/>
    </xf>
    <xf numFmtId="0" fontId="16" fillId="0" borderId="1" xfId="0" applyFont="1" applyBorder="1" applyAlignment="1">
      <alignment vertical="center" wrapText="1"/>
    </xf>
    <xf numFmtId="10" fontId="16" fillId="0" borderId="1" xfId="0" applyNumberFormat="1" applyFont="1" applyBorder="1" applyAlignment="1">
      <alignment horizontal="center" vertical="center" wrapText="1"/>
    </xf>
    <xf numFmtId="0" fontId="16" fillId="0" borderId="8" xfId="0" applyFont="1" applyBorder="1" applyAlignment="1">
      <alignment horizontal="right" vertical="center" wrapText="1"/>
    </xf>
    <xf numFmtId="0" fontId="16" fillId="0" borderId="8" xfId="0" applyFont="1" applyBorder="1" applyAlignment="1">
      <alignment vertical="center" wrapText="1"/>
    </xf>
    <xf numFmtId="10" fontId="16" fillId="0" borderId="8" xfId="0" applyNumberFormat="1" applyFont="1" applyBorder="1" applyAlignment="1">
      <alignment horizontal="center" vertical="center" wrapText="1"/>
    </xf>
    <xf numFmtId="0" fontId="10" fillId="0" borderId="8" xfId="0" applyFont="1" applyBorder="1" applyAlignment="1">
      <alignment horizontal="center" vertical="center" wrapText="1"/>
    </xf>
    <xf numFmtId="0" fontId="3" fillId="0" borderId="1" xfId="0" applyFont="1" applyBorder="1" applyAlignment="1" applyProtection="1">
      <alignment horizontal="center" vertical="center" wrapText="1"/>
    </xf>
    <xf numFmtId="0" fontId="3" fillId="0" borderId="1" xfId="0" applyFont="1" applyBorder="1" applyAlignment="1" applyProtection="1">
      <alignment vertical="center" wrapText="1"/>
    </xf>
    <xf numFmtId="0" fontId="3" fillId="0" borderId="1" xfId="0" applyFont="1" applyBorder="1" applyAlignment="1" applyProtection="1">
      <alignment horizontal="center" vertical="center" wrapText="1"/>
    </xf>
    <xf numFmtId="0" fontId="7" fillId="0" borderId="1" xfId="0" applyFont="1" applyBorder="1" applyAlignment="1" applyProtection="1">
      <alignment horizontal="right" vertical="center" wrapText="1"/>
    </xf>
    <xf numFmtId="0" fontId="2" fillId="0" borderId="1" xfId="0" applyFont="1" applyBorder="1" applyAlignment="1">
      <alignment horizontal="center" vertical="center"/>
    </xf>
    <xf numFmtId="2" fontId="7" fillId="0" borderId="1" xfId="0" applyNumberFormat="1" applyFont="1" applyBorder="1" applyAlignment="1" applyProtection="1">
      <alignment vertical="center" wrapText="1"/>
    </xf>
    <xf numFmtId="0" fontId="2" fillId="0" borderId="0" xfId="0" applyFont="1" applyAlignment="1" applyProtection="1">
      <alignment vertical="center"/>
      <protection locked="0"/>
    </xf>
    <xf numFmtId="0" fontId="1" fillId="0" borderId="1" xfId="0" applyFont="1" applyBorder="1" applyAlignment="1" applyProtection="1">
      <alignment horizontal="center" vertical="center"/>
    </xf>
    <xf numFmtId="0" fontId="2" fillId="0" borderId="1" xfId="0" applyFont="1" applyBorder="1" applyAlignment="1" applyProtection="1">
      <alignment horizontal="center" vertical="center" wrapText="1"/>
    </xf>
    <xf numFmtId="0" fontId="1" fillId="0" borderId="0" xfId="0" applyFont="1" applyBorder="1" applyAlignment="1" applyProtection="1">
      <alignment horizontal="center" vertical="center"/>
      <protection locked="0"/>
    </xf>
    <xf numFmtId="0" fontId="2" fillId="0" borderId="0" xfId="0" applyFont="1" applyBorder="1" applyAlignment="1" applyProtection="1">
      <alignment vertical="center"/>
      <protection locked="0"/>
    </xf>
    <xf numFmtId="0" fontId="1" fillId="0" borderId="1" xfId="0" applyFont="1" applyBorder="1" applyAlignment="1" applyProtection="1">
      <alignment horizontal="center" vertical="center" wrapText="1"/>
    </xf>
    <xf numFmtId="0" fontId="1" fillId="0" borderId="1"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xf>
    <xf numFmtId="0" fontId="1" fillId="0" borderId="7"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xf>
    <xf numFmtId="0" fontId="2" fillId="0" borderId="0" xfId="0" applyFont="1" applyAlignment="1" applyProtection="1">
      <alignment vertical="center"/>
    </xf>
    <xf numFmtId="0" fontId="6" fillId="0" borderId="0" xfId="0" applyFont="1" applyAlignment="1" applyProtection="1">
      <alignment vertical="center"/>
    </xf>
    <xf numFmtId="0" fontId="7" fillId="0" borderId="1" xfId="0" applyFont="1" applyBorder="1" applyAlignment="1" applyProtection="1">
      <alignment horizontal="right" vertical="center" wrapText="1"/>
    </xf>
    <xf numFmtId="0" fontId="6" fillId="0" borderId="0" xfId="0" applyFont="1" applyAlignment="1" applyProtection="1">
      <alignment vertical="center"/>
      <protection locked="0"/>
    </xf>
    <xf numFmtId="0" fontId="2" fillId="0" borderId="1" xfId="0" applyFont="1" applyBorder="1" applyAlignment="1" applyProtection="1">
      <alignment horizontal="center"/>
    </xf>
    <xf numFmtId="164" fontId="9" fillId="12" borderId="1" xfId="0" applyNumberFormat="1" applyFont="1" applyFill="1" applyBorder="1" applyAlignment="1">
      <alignment horizontal="center"/>
    </xf>
    <xf numFmtId="171" fontId="0" fillId="0" borderId="0" xfId="0" applyNumberFormat="1"/>
    <xf numFmtId="172" fontId="0" fillId="0" borderId="0" xfId="0" applyNumberFormat="1"/>
    <xf numFmtId="173" fontId="0" fillId="0" borderId="0" xfId="0" applyNumberFormat="1"/>
    <xf numFmtId="174" fontId="0" fillId="0" borderId="0" xfId="0" applyNumberFormat="1"/>
    <xf numFmtId="176" fontId="0" fillId="0" borderId="0" xfId="0" applyNumberFormat="1"/>
    <xf numFmtId="177" fontId="0" fillId="0" borderId="0" xfId="0" applyNumberFormat="1"/>
    <xf numFmtId="175" fontId="0" fillId="0" borderId="0" xfId="0" applyNumberFormat="1" applyProtection="1">
      <protection locked="0"/>
    </xf>
    <xf numFmtId="178" fontId="0" fillId="0" borderId="0" xfId="0" applyNumberFormat="1"/>
    <xf numFmtId="0" fontId="10" fillId="0" borderId="1" xfId="0" applyFont="1" applyBorder="1" applyAlignment="1">
      <alignment horizontal="center" vertical="center"/>
    </xf>
    <xf numFmtId="0" fontId="9" fillId="12" borderId="1" xfId="0" applyFont="1" applyFill="1" applyBorder="1" applyAlignment="1">
      <alignment horizontal="center"/>
    </xf>
    <xf numFmtId="0" fontId="13" fillId="5" borderId="13" xfId="0" applyFont="1" applyFill="1" applyBorder="1" applyAlignment="1">
      <alignment horizontal="left" vertical="center" wrapText="1"/>
    </xf>
    <xf numFmtId="0" fontId="13" fillId="5" borderId="0" xfId="0" applyFont="1" applyFill="1" applyBorder="1" applyAlignment="1">
      <alignment horizontal="left" vertical="center" wrapText="1"/>
    </xf>
    <xf numFmtId="0" fontId="13" fillId="5" borderId="14" xfId="0" applyFont="1" applyFill="1" applyBorder="1" applyAlignment="1">
      <alignment horizontal="left" vertical="center" wrapText="1"/>
    </xf>
    <xf numFmtId="0" fontId="13" fillId="5" borderId="11" xfId="0" applyFont="1" applyFill="1" applyBorder="1" applyAlignment="1">
      <alignment horizontal="left" vertical="center" wrapText="1"/>
    </xf>
    <xf numFmtId="0" fontId="13" fillId="5" borderId="6" xfId="0" applyFont="1" applyFill="1" applyBorder="1" applyAlignment="1">
      <alignment horizontal="left" vertical="center" wrapText="1"/>
    </xf>
    <xf numFmtId="0" fontId="13" fillId="5" borderId="12" xfId="0" applyFont="1" applyFill="1" applyBorder="1" applyAlignment="1">
      <alignment horizontal="left" vertical="center" wrapText="1"/>
    </xf>
    <xf numFmtId="0" fontId="10" fillId="0" borderId="13" xfId="0" applyFont="1" applyBorder="1" applyAlignment="1">
      <alignment horizontal="left" vertical="center" wrapText="1"/>
    </xf>
    <xf numFmtId="0" fontId="10" fillId="0" borderId="0" xfId="0" applyFont="1" applyBorder="1" applyAlignment="1">
      <alignment horizontal="left" vertical="center" wrapText="1"/>
    </xf>
    <xf numFmtId="0" fontId="10" fillId="0" borderId="14" xfId="0" applyFont="1" applyBorder="1" applyAlignment="1">
      <alignment horizontal="left" vertical="center" wrapText="1"/>
    </xf>
    <xf numFmtId="0" fontId="9" fillId="11" borderId="1" xfId="0" applyFont="1" applyFill="1" applyBorder="1" applyAlignment="1">
      <alignment horizontal="center" vertical="center"/>
    </xf>
    <xf numFmtId="0" fontId="13" fillId="0" borderId="9" xfId="0" applyFont="1" applyBorder="1" applyAlignment="1">
      <alignment horizontal="left" vertical="center"/>
    </xf>
    <xf numFmtId="0" fontId="14" fillId="0" borderId="4" xfId="0" applyFont="1" applyBorder="1" applyAlignment="1">
      <alignment horizontal="left" vertical="center"/>
    </xf>
    <xf numFmtId="0" fontId="14" fillId="0" borderId="10" xfId="0" applyFont="1" applyBorder="1" applyAlignment="1">
      <alignment horizontal="left" vertical="center"/>
    </xf>
    <xf numFmtId="0" fontId="13" fillId="0" borderId="13" xfId="0" applyFont="1" applyBorder="1" applyAlignment="1">
      <alignment horizontal="left" vertical="center"/>
    </xf>
    <xf numFmtId="0" fontId="14" fillId="0" borderId="0" xfId="0" applyFont="1" applyBorder="1" applyAlignment="1">
      <alignment horizontal="left" vertical="center"/>
    </xf>
    <xf numFmtId="0" fontId="14" fillId="0" borderId="14" xfId="0" applyFont="1" applyBorder="1" applyAlignment="1">
      <alignment horizontal="left" vertical="center"/>
    </xf>
    <xf numFmtId="0" fontId="14" fillId="0" borderId="13" xfId="0" applyFont="1" applyBorder="1" applyAlignment="1">
      <alignment horizontal="left" vertical="center" wrapText="1"/>
    </xf>
    <xf numFmtId="0" fontId="14" fillId="0" borderId="0" xfId="0" applyFont="1" applyBorder="1" applyAlignment="1">
      <alignment horizontal="left" vertical="center" wrapText="1"/>
    </xf>
    <xf numFmtId="0" fontId="14" fillId="0" borderId="14" xfId="0" applyFont="1" applyBorder="1" applyAlignment="1">
      <alignment horizontal="left" vertical="center" wrapText="1"/>
    </xf>
    <xf numFmtId="0" fontId="13" fillId="0" borderId="13" xfId="0" applyFont="1" applyBorder="1" applyAlignment="1">
      <alignment horizontal="left" vertical="center" wrapText="1"/>
    </xf>
    <xf numFmtId="0" fontId="10" fillId="0" borderId="2" xfId="0" applyFont="1" applyBorder="1" applyAlignment="1">
      <alignment horizontal="left" vertical="center"/>
    </xf>
    <xf numFmtId="0" fontId="10" fillId="0" borderId="5" xfId="0" applyFont="1" applyBorder="1" applyAlignment="1">
      <alignment horizontal="left" vertical="center"/>
    </xf>
    <xf numFmtId="0" fontId="10" fillId="0" borderId="3" xfId="0" applyFont="1" applyBorder="1" applyAlignment="1">
      <alignment horizontal="left" vertical="center"/>
    </xf>
    <xf numFmtId="0" fontId="10" fillId="0" borderId="9" xfId="0" applyFont="1" applyBorder="1" applyAlignment="1">
      <alignment horizontal="left" vertical="center"/>
    </xf>
    <xf numFmtId="0" fontId="10" fillId="0" borderId="4" xfId="0" applyFont="1" applyBorder="1" applyAlignment="1">
      <alignment horizontal="left" vertical="center"/>
    </xf>
    <xf numFmtId="0" fontId="10" fillId="0" borderId="10" xfId="0" applyFont="1" applyBorder="1" applyAlignment="1">
      <alignment horizontal="left" vertical="center"/>
    </xf>
    <xf numFmtId="0" fontId="10" fillId="0" borderId="13" xfId="0" applyFont="1" applyBorder="1" applyAlignment="1">
      <alignment horizontal="left" vertical="center"/>
    </xf>
    <xf numFmtId="0" fontId="10" fillId="0" borderId="0" xfId="0" applyFont="1" applyBorder="1" applyAlignment="1">
      <alignment horizontal="left" vertical="center"/>
    </xf>
    <xf numFmtId="0" fontId="10" fillId="0" borderId="14" xfId="0" applyFont="1" applyBorder="1" applyAlignment="1">
      <alignment horizontal="left" vertical="center"/>
    </xf>
    <xf numFmtId="0" fontId="10" fillId="0" borderId="11" xfId="0" applyFont="1" applyBorder="1" applyAlignment="1">
      <alignment horizontal="left" vertical="center" wrapText="1"/>
    </xf>
    <xf numFmtId="0" fontId="10" fillId="0" borderId="6" xfId="0" applyFont="1" applyBorder="1" applyAlignment="1">
      <alignment horizontal="left" vertical="center" wrapText="1"/>
    </xf>
    <xf numFmtId="0" fontId="10" fillId="0" borderId="12" xfId="0" applyFont="1" applyBorder="1" applyAlignment="1">
      <alignment horizontal="left" vertical="center" wrapText="1"/>
    </xf>
    <xf numFmtId="0" fontId="9" fillId="0" borderId="13" xfId="0" applyFont="1" applyBorder="1" applyAlignment="1">
      <alignment horizontal="left" vertical="center" wrapText="1"/>
    </xf>
    <xf numFmtId="0" fontId="9" fillId="0" borderId="0" xfId="0" applyFont="1" applyBorder="1" applyAlignment="1">
      <alignment horizontal="left" vertical="center" wrapText="1"/>
    </xf>
    <xf numFmtId="0" fontId="9" fillId="0" borderId="14" xfId="0" applyFont="1" applyBorder="1" applyAlignment="1">
      <alignment horizontal="left" vertical="center" wrapText="1"/>
    </xf>
    <xf numFmtId="0" fontId="9" fillId="0" borderId="11" xfId="0" applyFont="1" applyBorder="1" applyAlignment="1">
      <alignment horizontal="left" vertical="center" wrapText="1"/>
    </xf>
    <xf numFmtId="0" fontId="9" fillId="0" borderId="6" xfId="0" applyFont="1" applyBorder="1" applyAlignment="1">
      <alignment horizontal="left" vertical="center" wrapText="1"/>
    </xf>
    <xf numFmtId="0" fontId="9" fillId="0" borderId="12" xfId="0" applyFont="1" applyBorder="1" applyAlignment="1">
      <alignment horizontal="left" vertical="center" wrapText="1"/>
    </xf>
    <xf numFmtId="0" fontId="9" fillId="11" borderId="9" xfId="0" applyFont="1" applyFill="1" applyBorder="1" applyAlignment="1">
      <alignment horizontal="center" vertical="center"/>
    </xf>
    <xf numFmtId="0" fontId="9" fillId="11" borderId="10" xfId="0" applyFont="1" applyFill="1" applyBorder="1" applyAlignment="1">
      <alignment horizontal="center" vertical="center"/>
    </xf>
    <xf numFmtId="10" fontId="9" fillId="11" borderId="3" xfId="1" applyNumberFormat="1" applyFont="1" applyFill="1" applyBorder="1" applyAlignment="1">
      <alignment horizontal="center" vertical="center"/>
    </xf>
    <xf numFmtId="0" fontId="9" fillId="11" borderId="1" xfId="0" applyFont="1" applyFill="1" applyBorder="1" applyAlignment="1">
      <alignment horizontal="center" vertical="center" wrapText="1"/>
    </xf>
    <xf numFmtId="0" fontId="9" fillId="11" borderId="11" xfId="0" applyFont="1" applyFill="1" applyBorder="1" applyAlignment="1">
      <alignment horizontal="center" vertical="center" wrapText="1"/>
    </xf>
    <xf numFmtId="0" fontId="9" fillId="11" borderId="12" xfId="0" applyFont="1" applyFill="1" applyBorder="1" applyAlignment="1">
      <alignment horizontal="center" vertical="center" wrapText="1"/>
    </xf>
    <xf numFmtId="10" fontId="9" fillId="11" borderId="8" xfId="1" applyNumberFormat="1" applyFont="1" applyFill="1" applyBorder="1" applyAlignment="1">
      <alignment horizontal="center" vertical="center"/>
    </xf>
    <xf numFmtId="10" fontId="9" fillId="11" borderId="7" xfId="1" applyNumberFormat="1" applyFont="1" applyFill="1" applyBorder="1" applyAlignment="1">
      <alignment horizontal="center" vertical="center"/>
    </xf>
    <xf numFmtId="0" fontId="9" fillId="11" borderId="8" xfId="0" applyFont="1" applyFill="1" applyBorder="1" applyAlignment="1">
      <alignment horizontal="center" vertical="center"/>
    </xf>
    <xf numFmtId="0" fontId="9" fillId="11" borderId="7" xfId="0" applyFont="1" applyFill="1" applyBorder="1" applyAlignment="1">
      <alignment horizontal="center" vertical="center"/>
    </xf>
    <xf numFmtId="0" fontId="9" fillId="11" borderId="8" xfId="0" applyFont="1" applyFill="1" applyBorder="1" applyAlignment="1">
      <alignment horizontal="center" vertical="center" wrapText="1"/>
    </xf>
    <xf numFmtId="0" fontId="9" fillId="11" borderId="7" xfId="0" applyFont="1" applyFill="1" applyBorder="1" applyAlignment="1">
      <alignment horizontal="center" vertical="center" wrapText="1"/>
    </xf>
    <xf numFmtId="0" fontId="18" fillId="0" borderId="2" xfId="0" applyFont="1" applyBorder="1" applyAlignment="1">
      <alignment horizontal="left" vertical="center" wrapText="1"/>
    </xf>
    <xf numFmtId="0" fontId="18" fillId="0" borderId="3" xfId="0" applyFont="1" applyBorder="1" applyAlignment="1">
      <alignment horizontal="left" vertical="center" wrapText="1"/>
    </xf>
    <xf numFmtId="0" fontId="18" fillId="0" borderId="1" xfId="0" applyFont="1" applyBorder="1" applyAlignment="1">
      <alignment horizontal="left" wrapText="1"/>
    </xf>
    <xf numFmtId="0" fontId="10" fillId="0" borderId="9" xfId="0" applyFont="1" applyBorder="1" applyAlignment="1">
      <alignment horizontal="left" vertical="center" wrapText="1"/>
    </xf>
    <xf numFmtId="0" fontId="9" fillId="0" borderId="4" xfId="0" applyFont="1" applyBorder="1" applyAlignment="1">
      <alignment horizontal="left" vertical="center" wrapText="1"/>
    </xf>
    <xf numFmtId="0" fontId="9" fillId="0" borderId="10" xfId="0" applyFont="1" applyBorder="1" applyAlignment="1">
      <alignment horizontal="left" vertical="center" wrapText="1"/>
    </xf>
    <xf numFmtId="0" fontId="13" fillId="0" borderId="11" xfId="0" applyFont="1" applyBorder="1" applyAlignment="1" applyProtection="1">
      <alignment horizontal="left" vertical="center" wrapText="1"/>
      <protection hidden="1"/>
    </xf>
    <xf numFmtId="0" fontId="13" fillId="0" borderId="6" xfId="0" applyFont="1" applyBorder="1" applyAlignment="1" applyProtection="1">
      <alignment horizontal="left" vertical="center" wrapText="1"/>
      <protection hidden="1"/>
    </xf>
    <xf numFmtId="0" fontId="13" fillId="0" borderId="12" xfId="0" applyFont="1" applyBorder="1" applyAlignment="1" applyProtection="1">
      <alignment horizontal="left" vertical="center" wrapText="1"/>
      <protection hidden="1"/>
    </xf>
    <xf numFmtId="0" fontId="13" fillId="0" borderId="0" xfId="0" applyFont="1" applyBorder="1" applyAlignment="1">
      <alignment horizontal="left" vertical="center" wrapText="1"/>
    </xf>
    <xf numFmtId="0" fontId="13" fillId="0" borderId="14" xfId="0" applyFont="1" applyBorder="1" applyAlignment="1">
      <alignment horizontal="left" vertical="center" wrapText="1"/>
    </xf>
    <xf numFmtId="0" fontId="13" fillId="5" borderId="11" xfId="0" applyFont="1" applyFill="1" applyBorder="1" applyAlignment="1">
      <alignment horizontal="left" vertical="top" wrapText="1"/>
    </xf>
    <xf numFmtId="0" fontId="13" fillId="5" borderId="6" xfId="0" applyFont="1" applyFill="1" applyBorder="1" applyAlignment="1">
      <alignment horizontal="left" vertical="top" wrapText="1"/>
    </xf>
    <xf numFmtId="0" fontId="13" fillId="5" borderId="12" xfId="0" applyFont="1" applyFill="1" applyBorder="1" applyAlignment="1">
      <alignment horizontal="left" vertical="top" wrapText="1"/>
    </xf>
    <xf numFmtId="0" fontId="9" fillId="11" borderId="2" xfId="0" applyFont="1" applyFill="1" applyBorder="1" applyAlignment="1">
      <alignment horizontal="center" vertical="center"/>
    </xf>
    <xf numFmtId="0" fontId="9" fillId="11" borderId="3" xfId="0" applyFont="1" applyFill="1" applyBorder="1" applyAlignment="1">
      <alignment horizontal="center" vertical="center"/>
    </xf>
    <xf numFmtId="0" fontId="13" fillId="0" borderId="9" xfId="0" applyFont="1" applyBorder="1" applyAlignment="1" applyProtection="1">
      <alignment horizontal="left" vertical="center" wrapText="1"/>
      <protection hidden="1"/>
    </xf>
    <xf numFmtId="0" fontId="13" fillId="0" borderId="4" xfId="0" applyFont="1" applyBorder="1" applyAlignment="1" applyProtection="1">
      <alignment horizontal="left" vertical="center" wrapText="1"/>
      <protection hidden="1"/>
    </xf>
    <xf numFmtId="0" fontId="13" fillId="0" borderId="10" xfId="0" applyFont="1" applyBorder="1" applyAlignment="1" applyProtection="1">
      <alignment horizontal="left" vertical="center" wrapText="1"/>
      <protection hidden="1"/>
    </xf>
    <xf numFmtId="0" fontId="13" fillId="5" borderId="13" xfId="0" applyFont="1" applyFill="1" applyBorder="1" applyAlignment="1" applyProtection="1">
      <alignment horizontal="left" vertical="center" wrapText="1"/>
      <protection hidden="1"/>
    </xf>
    <xf numFmtId="0" fontId="13" fillId="5" borderId="0" xfId="0" applyFont="1" applyFill="1" applyBorder="1" applyAlignment="1" applyProtection="1">
      <alignment horizontal="left" vertical="center" wrapText="1"/>
      <protection hidden="1"/>
    </xf>
    <xf numFmtId="0" fontId="13" fillId="5" borderId="14" xfId="0" applyFont="1" applyFill="1" applyBorder="1" applyAlignment="1" applyProtection="1">
      <alignment horizontal="left" vertical="center" wrapText="1"/>
      <protection hidden="1"/>
    </xf>
    <xf numFmtId="0" fontId="13" fillId="0" borderId="13" xfId="0" applyFont="1" applyBorder="1" applyAlignment="1" applyProtection="1">
      <alignment horizontal="left" vertical="center"/>
      <protection hidden="1"/>
    </xf>
    <xf numFmtId="0" fontId="13" fillId="0" borderId="0" xfId="0" applyFont="1" applyBorder="1" applyAlignment="1" applyProtection="1">
      <alignment horizontal="left" vertical="center"/>
      <protection hidden="1"/>
    </xf>
    <xf numFmtId="0" fontId="13" fillId="0" borderId="14" xfId="0" applyFont="1" applyBorder="1" applyAlignment="1" applyProtection="1">
      <alignment horizontal="left" vertical="center"/>
      <protection hidden="1"/>
    </xf>
    <xf numFmtId="0" fontId="10" fillId="0" borderId="9" xfId="0" applyFont="1" applyBorder="1" applyAlignment="1">
      <alignment horizontal="left"/>
    </xf>
    <xf numFmtId="0" fontId="10" fillId="0" borderId="4" xfId="0" applyFont="1" applyBorder="1" applyAlignment="1">
      <alignment horizontal="left"/>
    </xf>
    <xf numFmtId="0" fontId="10" fillId="0" borderId="10" xfId="0" applyFont="1" applyBorder="1" applyAlignment="1">
      <alignment horizontal="left"/>
    </xf>
    <xf numFmtId="0" fontId="13" fillId="5" borderId="13" xfId="0" applyFont="1" applyFill="1" applyBorder="1" applyAlignment="1">
      <alignment horizontal="left" wrapText="1"/>
    </xf>
    <xf numFmtId="0" fontId="13" fillId="5" borderId="0" xfId="0" applyFont="1" applyFill="1" applyBorder="1" applyAlignment="1">
      <alignment horizontal="left" wrapText="1"/>
    </xf>
    <xf numFmtId="0" fontId="13" fillId="5" borderId="14" xfId="0" applyFont="1" applyFill="1" applyBorder="1" applyAlignment="1">
      <alignment horizontal="left" wrapText="1"/>
    </xf>
    <xf numFmtId="0" fontId="13" fillId="5" borderId="11" xfId="0" applyFont="1" applyFill="1" applyBorder="1" applyAlignment="1">
      <alignment horizontal="left" wrapText="1"/>
    </xf>
    <xf numFmtId="0" fontId="13" fillId="5" borderId="6" xfId="0" applyFont="1" applyFill="1" applyBorder="1" applyAlignment="1">
      <alignment horizontal="left" wrapText="1"/>
    </xf>
    <xf numFmtId="0" fontId="13" fillId="5" borderId="12" xfId="0" applyFont="1" applyFill="1" applyBorder="1" applyAlignment="1">
      <alignment horizontal="left" wrapText="1"/>
    </xf>
    <xf numFmtId="10" fontId="9" fillId="11" borderId="1" xfId="1" applyNumberFormat="1" applyFont="1" applyFill="1" applyBorder="1" applyAlignment="1">
      <alignment horizontal="center" vertical="center"/>
    </xf>
    <xf numFmtId="0" fontId="9" fillId="0" borderId="9" xfId="0" applyFont="1" applyBorder="1" applyAlignment="1">
      <alignment horizontal="left" vertical="center" wrapText="1"/>
    </xf>
    <xf numFmtId="0" fontId="9" fillId="11" borderId="11" xfId="0" applyFont="1" applyFill="1" applyBorder="1" applyAlignment="1">
      <alignment horizontal="center" vertical="center"/>
    </xf>
    <xf numFmtId="0" fontId="9" fillId="11" borderId="12" xfId="0" applyFont="1" applyFill="1" applyBorder="1" applyAlignment="1">
      <alignment horizontal="center" vertical="center"/>
    </xf>
    <xf numFmtId="0" fontId="11" fillId="13" borderId="9" xfId="0" applyFont="1" applyFill="1" applyBorder="1" applyAlignment="1">
      <alignment horizontal="center" vertical="center"/>
    </xf>
    <xf numFmtId="0" fontId="11" fillId="13" borderId="4" xfId="0" applyFont="1" applyFill="1" applyBorder="1" applyAlignment="1">
      <alignment horizontal="center" vertical="center"/>
    </xf>
    <xf numFmtId="0" fontId="11" fillId="13" borderId="10" xfId="0" applyFont="1" applyFill="1" applyBorder="1" applyAlignment="1">
      <alignment horizontal="center" vertical="center"/>
    </xf>
    <xf numFmtId="0" fontId="12" fillId="13" borderId="11" xfId="0" applyFont="1" applyFill="1" applyBorder="1" applyAlignment="1">
      <alignment horizontal="center" vertical="center"/>
    </xf>
    <xf numFmtId="0" fontId="12" fillId="13" borderId="6" xfId="0" applyFont="1" applyFill="1" applyBorder="1" applyAlignment="1">
      <alignment horizontal="center" vertical="center"/>
    </xf>
    <xf numFmtId="0" fontId="12" fillId="13" borderId="12" xfId="0" applyFont="1" applyFill="1" applyBorder="1" applyAlignment="1">
      <alignment horizontal="center" vertical="center"/>
    </xf>
    <xf numFmtId="0" fontId="10" fillId="0" borderId="4" xfId="0" applyFont="1" applyBorder="1" applyAlignment="1">
      <alignment horizontal="left" vertical="center" wrapText="1"/>
    </xf>
    <xf numFmtId="0" fontId="10" fillId="0" borderId="10" xfId="0" applyFont="1" applyBorder="1" applyAlignment="1">
      <alignment horizontal="left" vertical="center" wrapText="1"/>
    </xf>
    <xf numFmtId="0" fontId="1" fillId="0" borderId="0" xfId="0" applyFont="1" applyAlignment="1" applyProtection="1">
      <alignment horizontal="left" vertical="center"/>
      <protection locked="0"/>
    </xf>
    <xf numFmtId="164" fontId="4" fillId="0" borderId="2" xfId="0" applyNumberFormat="1" applyFont="1" applyBorder="1" applyAlignment="1" applyProtection="1">
      <alignment horizontal="center" vertical="center" wrapText="1"/>
    </xf>
    <xf numFmtId="164" fontId="4" fillId="0" borderId="5" xfId="0" applyNumberFormat="1" applyFont="1" applyBorder="1" applyAlignment="1" applyProtection="1">
      <alignment horizontal="center" vertical="center" wrapText="1"/>
    </xf>
    <xf numFmtId="164" fontId="4" fillId="0" borderId="3" xfId="0" applyNumberFormat="1" applyFont="1" applyBorder="1" applyAlignment="1" applyProtection="1">
      <alignment horizontal="center" vertical="center" wrapText="1"/>
    </xf>
    <xf numFmtId="0" fontId="4" fillId="0" borderId="2" xfId="0" applyFont="1" applyBorder="1" applyAlignment="1" applyProtection="1">
      <alignment vertical="center" wrapText="1"/>
    </xf>
    <xf numFmtId="0" fontId="4" fillId="0" borderId="5" xfId="0" applyFont="1" applyBorder="1" applyAlignment="1" applyProtection="1">
      <alignment vertical="center" wrapText="1"/>
    </xf>
    <xf numFmtId="0" fontId="4" fillId="0" borderId="3" xfId="0" applyFont="1" applyBorder="1" applyAlignment="1" applyProtection="1">
      <alignment vertical="center" wrapText="1"/>
    </xf>
    <xf numFmtId="0" fontId="1" fillId="2" borderId="0" xfId="0" applyFont="1" applyFill="1" applyAlignment="1" applyProtection="1">
      <alignment horizontal="center" vertical="center"/>
      <protection locked="0"/>
    </xf>
    <xf numFmtId="0" fontId="2" fillId="0" borderId="0" xfId="0" applyFont="1" applyAlignment="1" applyProtection="1">
      <alignment vertical="center"/>
      <protection locked="0"/>
    </xf>
    <xf numFmtId="10" fontId="2" fillId="0" borderId="2" xfId="1" applyNumberFormat="1" applyFont="1" applyBorder="1" applyAlignment="1" applyProtection="1">
      <alignment horizontal="center"/>
      <protection locked="0"/>
    </xf>
    <xf numFmtId="10" fontId="2" fillId="0" borderId="3" xfId="1" applyNumberFormat="1" applyFont="1" applyBorder="1" applyAlignment="1" applyProtection="1">
      <alignment horizontal="center"/>
      <protection locked="0"/>
    </xf>
    <xf numFmtId="10" fontId="1" fillId="6" borderId="2" xfId="1" applyNumberFormat="1" applyFont="1" applyFill="1" applyBorder="1" applyAlignment="1" applyProtection="1">
      <alignment horizontal="center"/>
      <protection locked="0"/>
    </xf>
    <xf numFmtId="10" fontId="1" fillId="6" borderId="3" xfId="1" applyNumberFormat="1" applyFont="1" applyFill="1" applyBorder="1" applyAlignment="1" applyProtection="1">
      <alignment horizontal="center"/>
      <protection locked="0"/>
    </xf>
    <xf numFmtId="165" fontId="1" fillId="6" borderId="2" xfId="1" applyNumberFormat="1" applyFont="1" applyFill="1" applyBorder="1" applyAlignment="1" applyProtection="1">
      <alignment horizontal="center"/>
      <protection locked="0"/>
    </xf>
    <xf numFmtId="165" fontId="1" fillId="6" borderId="3" xfId="1" applyNumberFormat="1" applyFont="1" applyFill="1" applyBorder="1" applyAlignment="1" applyProtection="1">
      <alignment horizontal="center"/>
      <protection locked="0"/>
    </xf>
    <xf numFmtId="0" fontId="1" fillId="0" borderId="2" xfId="0" applyFont="1" applyBorder="1" applyAlignment="1" applyProtection="1">
      <alignment horizontal="center"/>
      <protection locked="0"/>
    </xf>
    <xf numFmtId="0" fontId="1" fillId="0" borderId="3" xfId="0" applyFont="1" applyBorder="1" applyAlignment="1" applyProtection="1">
      <alignment horizontal="center"/>
      <protection locked="0"/>
    </xf>
    <xf numFmtId="0" fontId="1" fillId="6" borderId="2" xfId="0" applyFont="1" applyFill="1" applyBorder="1" applyAlignment="1" applyProtection="1">
      <alignment horizontal="center" vertical="center" wrapText="1"/>
      <protection locked="0"/>
    </xf>
    <xf numFmtId="0" fontId="1" fillId="6" borderId="5" xfId="0" applyFont="1" applyFill="1" applyBorder="1" applyAlignment="1" applyProtection="1">
      <alignment horizontal="center" vertical="center" wrapText="1"/>
      <protection locked="0"/>
    </xf>
    <xf numFmtId="0" fontId="1" fillId="6" borderId="3" xfId="0" applyFont="1" applyFill="1" applyBorder="1" applyAlignment="1" applyProtection="1">
      <alignment horizontal="center" vertical="center" wrapText="1"/>
      <protection locked="0"/>
    </xf>
    <xf numFmtId="0" fontId="2" fillId="0" borderId="1" xfId="0" applyFont="1" applyBorder="1" applyAlignment="1" applyProtection="1">
      <alignment vertical="center" wrapText="1"/>
    </xf>
    <xf numFmtId="0" fontId="1" fillId="0" borderId="1" xfId="0" applyFont="1" applyBorder="1" applyAlignment="1" applyProtection="1">
      <alignment horizontal="center" vertical="center"/>
    </xf>
    <xf numFmtId="14" fontId="1" fillId="0" borderId="1" xfId="0" applyNumberFormat="1" applyFont="1" applyBorder="1" applyAlignment="1" applyProtection="1">
      <alignment horizontal="center" vertical="center" wrapText="1"/>
    </xf>
    <xf numFmtId="0" fontId="2" fillId="0" borderId="0" xfId="0" applyFont="1" applyAlignment="1" applyProtection="1">
      <alignment horizontal="center" vertical="center"/>
      <protection locked="0"/>
    </xf>
    <xf numFmtId="0" fontId="2" fillId="0" borderId="1" xfId="0" applyFont="1" applyBorder="1" applyAlignment="1" applyProtection="1">
      <alignment horizontal="center" vertical="center" wrapText="1"/>
    </xf>
    <xf numFmtId="0" fontId="2" fillId="0" borderId="2" xfId="0" applyFont="1" applyBorder="1" applyAlignment="1" applyProtection="1">
      <alignment horizontal="center" vertical="center" wrapText="1"/>
    </xf>
    <xf numFmtId="0" fontId="2" fillId="0" borderId="3" xfId="0" applyFont="1" applyBorder="1" applyAlignment="1" applyProtection="1">
      <alignment horizontal="center" vertical="center" wrapText="1"/>
    </xf>
    <xf numFmtId="2" fontId="2" fillId="0" borderId="1" xfId="0" applyNumberFormat="1" applyFont="1" applyFill="1" applyBorder="1" applyAlignment="1" applyProtection="1">
      <alignment horizontal="center" vertical="center" wrapText="1"/>
    </xf>
    <xf numFmtId="0" fontId="1" fillId="0" borderId="0" xfId="0" applyFont="1" applyBorder="1" applyAlignment="1" applyProtection="1">
      <alignment horizontal="center" vertical="center"/>
      <protection locked="0"/>
    </xf>
    <xf numFmtId="0" fontId="2" fillId="0" borderId="0" xfId="0" applyFont="1" applyBorder="1" applyAlignment="1" applyProtection="1">
      <alignment vertical="center"/>
      <protection locked="0"/>
    </xf>
    <xf numFmtId="0" fontId="2" fillId="0" borderId="1" xfId="0" applyFont="1" applyBorder="1" applyAlignment="1" applyProtection="1">
      <alignment horizontal="justify" vertical="center" wrapText="1"/>
    </xf>
    <xf numFmtId="0" fontId="1" fillId="0" borderId="1" xfId="0" applyFont="1" applyBorder="1" applyAlignment="1" applyProtection="1">
      <alignment horizontal="center" vertical="center" wrapText="1"/>
    </xf>
    <xf numFmtId="164" fontId="3" fillId="6" borderId="1" xfId="0" applyNumberFormat="1" applyFont="1" applyFill="1" applyBorder="1" applyAlignment="1" applyProtection="1">
      <alignment horizontal="center" vertical="center"/>
      <protection locked="0"/>
    </xf>
    <xf numFmtId="0" fontId="2" fillId="0" borderId="2"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164" fontId="2" fillId="0" borderId="2" xfId="0" applyNumberFormat="1" applyFont="1" applyBorder="1" applyAlignment="1" applyProtection="1">
      <alignment horizontal="center" vertical="center" wrapText="1"/>
    </xf>
    <xf numFmtId="164" fontId="2" fillId="0" borderId="5" xfId="0" applyNumberFormat="1" applyFont="1" applyBorder="1" applyAlignment="1" applyProtection="1">
      <alignment horizontal="center" vertical="center" wrapText="1"/>
    </xf>
    <xf numFmtId="164" fontId="2" fillId="0" borderId="3" xfId="0" applyNumberFormat="1" applyFont="1" applyBorder="1" applyAlignment="1" applyProtection="1">
      <alignment horizontal="center" vertical="center" wrapText="1"/>
    </xf>
    <xf numFmtId="0" fontId="2" fillId="0" borderId="4" xfId="0" applyFont="1" applyBorder="1" applyAlignment="1" applyProtection="1">
      <alignment horizontal="center" vertical="center"/>
      <protection locked="0"/>
    </xf>
    <xf numFmtId="0" fontId="2" fillId="3" borderId="1" xfId="0" applyFont="1" applyFill="1" applyBorder="1" applyAlignment="1" applyProtection="1">
      <alignment vertical="center" wrapText="1"/>
      <protection locked="0"/>
    </xf>
    <xf numFmtId="164" fontId="2" fillId="0" borderId="1" xfId="0" applyNumberFormat="1" applyFont="1" applyBorder="1" applyAlignment="1" applyProtection="1">
      <alignment horizontal="center" vertical="center" wrapText="1"/>
    </xf>
    <xf numFmtId="0" fontId="1" fillId="0" borderId="1" xfId="0" applyFont="1" applyBorder="1" applyAlignment="1" applyProtection="1">
      <alignment horizontal="center" vertical="center" wrapText="1"/>
      <protection locked="0"/>
    </xf>
    <xf numFmtId="164" fontId="1" fillId="0" borderId="1" xfId="0" applyNumberFormat="1" applyFont="1" applyBorder="1" applyAlignment="1" applyProtection="1">
      <alignment horizontal="center" vertical="center" wrapText="1"/>
    </xf>
    <xf numFmtId="0" fontId="1" fillId="0" borderId="1" xfId="0" applyFont="1" applyBorder="1" applyAlignment="1" applyProtection="1">
      <alignment horizontal="center" vertical="center"/>
      <protection locked="0"/>
    </xf>
    <xf numFmtId="0" fontId="2" fillId="0" borderId="1" xfId="0" applyFont="1" applyBorder="1" applyAlignment="1" applyProtection="1">
      <alignment vertical="center" wrapText="1"/>
      <protection locked="0"/>
    </xf>
    <xf numFmtId="0" fontId="1" fillId="4" borderId="0" xfId="0" applyFont="1" applyFill="1" applyAlignment="1" applyProtection="1">
      <alignment horizontal="center" vertical="center"/>
      <protection locked="0"/>
    </xf>
    <xf numFmtId="0" fontId="1" fillId="0" borderId="0" xfId="0" applyFont="1" applyAlignment="1" applyProtection="1">
      <alignment horizontal="right"/>
      <protection locked="0"/>
    </xf>
    <xf numFmtId="164" fontId="1" fillId="0" borderId="0" xfId="0" applyNumberFormat="1" applyFont="1" applyAlignment="1" applyProtection="1">
      <alignment horizontal="center"/>
    </xf>
    <xf numFmtId="10" fontId="2" fillId="3" borderId="1" xfId="0" applyNumberFormat="1" applyFont="1" applyFill="1" applyBorder="1" applyAlignment="1" applyProtection="1">
      <alignment horizontal="center" vertical="center" wrapText="1"/>
    </xf>
    <xf numFmtId="164" fontId="2" fillId="0" borderId="1" xfId="0" applyNumberFormat="1" applyFont="1" applyBorder="1" applyAlignment="1" applyProtection="1">
      <alignment horizontal="right" vertical="center" wrapText="1"/>
    </xf>
    <xf numFmtId="10" fontId="2" fillId="0" borderId="1" xfId="0" applyNumberFormat="1" applyFont="1" applyBorder="1" applyAlignment="1" applyProtection="1">
      <alignment horizontal="center" vertical="center" wrapText="1"/>
    </xf>
    <xf numFmtId="164" fontId="1" fillId="0" borderId="1" xfId="0" applyNumberFormat="1" applyFont="1" applyBorder="1" applyAlignment="1" applyProtection="1">
      <alignment horizontal="right" vertical="center" wrapText="1"/>
    </xf>
    <xf numFmtId="164" fontId="2" fillId="0" borderId="1" xfId="0" applyNumberFormat="1" applyFont="1" applyBorder="1" applyAlignment="1" applyProtection="1">
      <alignment vertical="center" wrapText="1"/>
    </xf>
    <xf numFmtId="0" fontId="1" fillId="4" borderId="0" xfId="0" applyFont="1" applyFill="1" applyAlignment="1" applyProtection="1">
      <alignment horizontal="center" vertical="center" wrapText="1"/>
      <protection locked="0"/>
    </xf>
    <xf numFmtId="0" fontId="1" fillId="0" borderId="0" xfId="0" applyFont="1" applyFill="1" applyBorder="1" applyAlignment="1" applyProtection="1">
      <alignment horizontal="right" vertical="center" wrapText="1"/>
      <protection locked="0"/>
    </xf>
    <xf numFmtId="164" fontId="1" fillId="0" borderId="0" xfId="0" applyNumberFormat="1" applyFont="1" applyFill="1" applyBorder="1" applyAlignment="1" applyProtection="1">
      <alignment horizontal="center" vertical="center" wrapText="1"/>
    </xf>
    <xf numFmtId="0" fontId="1" fillId="0" borderId="6" xfId="0" applyFont="1" applyFill="1" applyBorder="1" applyAlignment="1" applyProtection="1">
      <alignment horizontal="center" vertical="center" wrapText="1"/>
      <protection locked="0"/>
    </xf>
    <xf numFmtId="0" fontId="1" fillId="0" borderId="7" xfId="0" applyFont="1" applyBorder="1" applyAlignment="1" applyProtection="1">
      <alignment horizontal="center" vertical="center" wrapText="1"/>
    </xf>
    <xf numFmtId="0" fontId="1" fillId="0" borderId="7" xfId="0" applyFont="1" applyBorder="1" applyAlignment="1" applyProtection="1">
      <alignment horizontal="center" vertical="center" wrapText="1"/>
      <protection locked="0"/>
    </xf>
    <xf numFmtId="2" fontId="1" fillId="0" borderId="7" xfId="0" applyNumberFormat="1" applyFont="1" applyBorder="1" applyAlignment="1" applyProtection="1">
      <alignment horizontal="center" vertical="center" wrapText="1"/>
      <protection locked="0"/>
    </xf>
    <xf numFmtId="0" fontId="1" fillId="0" borderId="1" xfId="0" applyFont="1" applyBorder="1" applyAlignment="1" applyProtection="1">
      <alignment vertical="center" wrapText="1"/>
    </xf>
    <xf numFmtId="9" fontId="3" fillId="6" borderId="1" xfId="0" applyNumberFormat="1" applyFont="1" applyFill="1" applyBorder="1" applyAlignment="1" applyProtection="1">
      <alignment horizontal="center" vertical="center" wrapText="1"/>
      <protection locked="0"/>
    </xf>
    <xf numFmtId="0" fontId="3" fillId="6" borderId="1" xfId="0" applyFont="1" applyFill="1" applyBorder="1" applyAlignment="1" applyProtection="1">
      <alignment horizontal="center" vertical="center" wrapText="1"/>
      <protection locked="0"/>
    </xf>
    <xf numFmtId="10" fontId="1" fillId="0" borderId="1" xfId="0" applyNumberFormat="1" applyFont="1" applyBorder="1" applyAlignment="1" applyProtection="1">
      <alignment horizontal="center" vertical="center" wrapText="1"/>
    </xf>
    <xf numFmtId="164" fontId="1" fillId="0" borderId="1" xfId="0" applyNumberFormat="1" applyFont="1" applyBorder="1" applyAlignment="1" applyProtection="1">
      <alignment vertical="center" wrapText="1"/>
    </xf>
    <xf numFmtId="0" fontId="4" fillId="0" borderId="1" xfId="0" applyFont="1" applyBorder="1" applyAlignment="1" applyProtection="1">
      <alignment vertical="center" wrapText="1"/>
    </xf>
    <xf numFmtId="0" fontId="3" fillId="0" borderId="1" xfId="0" applyFont="1" applyBorder="1" applyAlignment="1" applyProtection="1">
      <alignment horizontal="center" vertical="center" wrapText="1"/>
    </xf>
    <xf numFmtId="0" fontId="2" fillId="0" borderId="0" xfId="0" applyFont="1" applyAlignment="1" applyProtection="1">
      <alignment horizontal="center"/>
      <protection locked="0"/>
    </xf>
    <xf numFmtId="0" fontId="4" fillId="0" borderId="2" xfId="0" applyFont="1" applyBorder="1" applyAlignment="1" applyProtection="1">
      <alignment horizontal="left" vertical="center" wrapText="1"/>
    </xf>
    <xf numFmtId="0" fontId="4" fillId="0" borderId="5" xfId="0" applyFont="1" applyBorder="1" applyAlignment="1" applyProtection="1">
      <alignment horizontal="left" vertical="center" wrapText="1"/>
    </xf>
    <xf numFmtId="0" fontId="4" fillId="0" borderId="3" xfId="0" applyFont="1" applyBorder="1" applyAlignment="1" applyProtection="1">
      <alignment horizontal="left" vertical="center" wrapText="1"/>
    </xf>
    <xf numFmtId="164" fontId="4" fillId="0" borderId="1" xfId="0" applyNumberFormat="1"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1" fillId="0" borderId="2"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3" xfId="0" applyFont="1" applyBorder="1" applyAlignment="1" applyProtection="1">
      <alignment horizontal="center" vertical="center" wrapText="1"/>
    </xf>
    <xf numFmtId="0" fontId="2" fillId="0" borderId="6" xfId="0" applyFont="1" applyBorder="1" applyAlignment="1" applyProtection="1">
      <alignment horizontal="center" vertical="center"/>
      <protection locked="0"/>
    </xf>
    <xf numFmtId="0" fontId="2" fillId="0" borderId="1" xfId="0" applyFont="1" applyBorder="1" applyAlignment="1" applyProtection="1">
      <alignment horizontal="justify" vertical="center" wrapText="1"/>
      <protection locked="0"/>
    </xf>
    <xf numFmtId="164" fontId="2" fillId="3" borderId="1" xfId="0" applyNumberFormat="1" applyFont="1" applyFill="1" applyBorder="1" applyAlignment="1" applyProtection="1">
      <alignment vertical="center" wrapText="1"/>
    </xf>
    <xf numFmtId="0" fontId="1" fillId="0" borderId="0" xfId="0" applyFont="1" applyFill="1" applyAlignment="1" applyProtection="1">
      <alignment horizontal="right" vertical="center" wrapText="1"/>
      <protection locked="0"/>
    </xf>
    <xf numFmtId="164" fontId="3" fillId="0" borderId="0" xfId="0" applyNumberFormat="1" applyFont="1" applyFill="1" applyAlignment="1" applyProtection="1">
      <alignment horizontal="center" vertical="center"/>
    </xf>
    <xf numFmtId="0" fontId="1" fillId="0" borderId="0" xfId="0" applyFont="1" applyBorder="1" applyAlignment="1" applyProtection="1">
      <alignment horizontal="right" vertical="center"/>
      <protection locked="0"/>
    </xf>
    <xf numFmtId="10" fontId="1" fillId="0" borderId="1" xfId="0" applyNumberFormat="1" applyFont="1" applyBorder="1" applyAlignment="1" applyProtection="1">
      <alignment horizontal="center" vertical="center" wrapText="1"/>
      <protection locked="0"/>
    </xf>
    <xf numFmtId="164" fontId="2" fillId="3" borderId="2" xfId="0" applyNumberFormat="1" applyFont="1" applyFill="1" applyBorder="1" applyAlignment="1" applyProtection="1">
      <alignment vertical="center" wrapText="1"/>
    </xf>
    <xf numFmtId="164" fontId="2" fillId="3" borderId="3" xfId="0" applyNumberFormat="1" applyFont="1" applyFill="1" applyBorder="1" applyAlignment="1" applyProtection="1">
      <alignment vertical="center" wrapText="1"/>
    </xf>
    <xf numFmtId="165" fontId="2" fillId="3" borderId="1" xfId="0" applyNumberFormat="1" applyFont="1" applyFill="1" applyBorder="1" applyAlignment="1" applyProtection="1">
      <alignment horizontal="center" vertical="center" wrapText="1"/>
    </xf>
    <xf numFmtId="164" fontId="2" fillId="3" borderId="2" xfId="0" applyNumberFormat="1" applyFont="1" applyFill="1" applyBorder="1" applyAlignment="1" applyProtection="1">
      <alignment horizontal="right" vertical="center" wrapText="1"/>
    </xf>
    <xf numFmtId="164" fontId="2" fillId="3" borderId="3" xfId="0" applyNumberFormat="1" applyFont="1" applyFill="1" applyBorder="1" applyAlignment="1" applyProtection="1">
      <alignment horizontal="right" vertical="center" wrapText="1"/>
    </xf>
    <xf numFmtId="164" fontId="1" fillId="0" borderId="0" xfId="0" applyNumberFormat="1" applyFont="1" applyFill="1" applyAlignment="1" applyProtection="1">
      <alignment horizontal="center" vertical="center"/>
    </xf>
    <xf numFmtId="0" fontId="1" fillId="0" borderId="0" xfId="0" applyFont="1" applyFill="1" applyAlignment="1" applyProtection="1">
      <alignment horizontal="center" vertical="center"/>
    </xf>
    <xf numFmtId="165" fontId="1" fillId="0" borderId="1" xfId="0" applyNumberFormat="1" applyFont="1" applyBorder="1" applyAlignment="1" applyProtection="1">
      <alignment horizontal="center" vertical="center" wrapText="1"/>
    </xf>
    <xf numFmtId="0" fontId="1" fillId="0" borderId="0" xfId="0" applyFont="1" applyBorder="1" applyAlignment="1" applyProtection="1">
      <alignment horizontal="center" vertical="center" wrapText="1"/>
      <protection locked="0"/>
    </xf>
    <xf numFmtId="10" fontId="1" fillId="6" borderId="1" xfId="0" applyNumberFormat="1" applyFont="1" applyFill="1" applyBorder="1" applyAlignment="1" applyProtection="1">
      <alignment horizontal="center" vertical="center" wrapText="1"/>
      <protection locked="0"/>
    </xf>
    <xf numFmtId="0" fontId="5" fillId="0" borderId="1" xfId="0" applyFont="1" applyBorder="1" applyAlignment="1" applyProtection="1">
      <alignment horizontal="left" vertical="center" wrapText="1"/>
    </xf>
    <xf numFmtId="10" fontId="5" fillId="0" borderId="1" xfId="0" applyNumberFormat="1" applyFont="1" applyBorder="1" applyAlignment="1" applyProtection="1">
      <alignment horizontal="center" vertical="center" wrapText="1"/>
    </xf>
    <xf numFmtId="164" fontId="5" fillId="0" borderId="1" xfId="0" applyNumberFormat="1" applyFont="1" applyBorder="1" applyAlignment="1" applyProtection="1">
      <alignment horizontal="center" vertical="center" wrapText="1"/>
    </xf>
    <xf numFmtId="0" fontId="2" fillId="0" borderId="5" xfId="0" applyFont="1" applyBorder="1" applyAlignment="1" applyProtection="1">
      <alignment horizontal="center"/>
    </xf>
    <xf numFmtId="0" fontId="2" fillId="0" borderId="3" xfId="0" applyFont="1" applyBorder="1" applyAlignment="1" applyProtection="1">
      <alignment horizontal="center"/>
    </xf>
    <xf numFmtId="10" fontId="2" fillId="0" borderId="2" xfId="0" applyNumberFormat="1" applyFont="1" applyBorder="1" applyAlignment="1" applyProtection="1">
      <alignment horizontal="center"/>
    </xf>
    <xf numFmtId="164" fontId="2" fillId="0" borderId="2" xfId="0" applyNumberFormat="1" applyFont="1" applyBorder="1" applyAlignment="1" applyProtection="1">
      <alignment horizontal="center"/>
    </xf>
    <xf numFmtId="164" fontId="2" fillId="0" borderId="3" xfId="0" applyNumberFormat="1" applyFont="1" applyBorder="1" applyAlignment="1" applyProtection="1">
      <alignment horizontal="center"/>
    </xf>
    <xf numFmtId="0" fontId="1" fillId="0" borderId="2" xfId="0" applyFont="1" applyBorder="1" applyAlignment="1" applyProtection="1">
      <alignment horizontal="center"/>
    </xf>
    <xf numFmtId="10" fontId="1" fillId="0" borderId="2" xfId="0" applyNumberFormat="1" applyFont="1" applyBorder="1" applyAlignment="1" applyProtection="1">
      <alignment horizontal="center"/>
    </xf>
    <xf numFmtId="0" fontId="1" fillId="0" borderId="3" xfId="0" applyFont="1" applyBorder="1" applyAlignment="1" applyProtection="1">
      <alignment horizontal="center"/>
    </xf>
    <xf numFmtId="164" fontId="1" fillId="0" borderId="2" xfId="0" applyNumberFormat="1" applyFont="1" applyBorder="1" applyAlignment="1" applyProtection="1">
      <alignment horizontal="center"/>
    </xf>
    <xf numFmtId="164" fontId="1" fillId="0" borderId="3" xfId="0" applyNumberFormat="1" applyFont="1" applyBorder="1" applyAlignment="1" applyProtection="1">
      <alignment horizontal="center"/>
    </xf>
    <xf numFmtId="0" fontId="5" fillId="0" borderId="2" xfId="0" applyFont="1" applyBorder="1" applyAlignment="1" applyProtection="1">
      <alignment horizontal="left"/>
    </xf>
    <xf numFmtId="0" fontId="5" fillId="0" borderId="5" xfId="0" applyFont="1" applyBorder="1" applyAlignment="1" applyProtection="1">
      <alignment horizontal="left"/>
    </xf>
    <xf numFmtId="0" fontId="5" fillId="0" borderId="3" xfId="0" applyFont="1" applyBorder="1" applyAlignment="1" applyProtection="1">
      <alignment horizontal="left"/>
    </xf>
    <xf numFmtId="10" fontId="5" fillId="0" borderId="2" xfId="0" applyNumberFormat="1" applyFont="1" applyBorder="1" applyAlignment="1" applyProtection="1">
      <alignment horizontal="center"/>
    </xf>
    <xf numFmtId="10" fontId="5" fillId="0" borderId="3" xfId="0" applyNumberFormat="1" applyFont="1" applyBorder="1" applyAlignment="1" applyProtection="1">
      <alignment horizontal="center"/>
    </xf>
    <xf numFmtId="164" fontId="5" fillId="0" borderId="2" xfId="0" applyNumberFormat="1" applyFont="1" applyBorder="1" applyAlignment="1" applyProtection="1">
      <alignment horizontal="center"/>
    </xf>
    <xf numFmtId="164" fontId="5" fillId="0" borderId="3" xfId="0" applyNumberFormat="1" applyFont="1" applyBorder="1" applyAlignment="1" applyProtection="1">
      <alignment horizontal="center"/>
    </xf>
    <xf numFmtId="0" fontId="2" fillId="0" borderId="5" xfId="0" applyFont="1" applyBorder="1" applyAlignment="1" applyProtection="1">
      <alignment horizontal="left"/>
    </xf>
    <xf numFmtId="0" fontId="2" fillId="0" borderId="3" xfId="0" applyFont="1" applyBorder="1" applyAlignment="1" applyProtection="1">
      <alignment horizontal="left"/>
    </xf>
    <xf numFmtId="10" fontId="2" fillId="0" borderId="3" xfId="0" applyNumberFormat="1" applyFont="1" applyBorder="1" applyAlignment="1" applyProtection="1">
      <alignment horizontal="center"/>
    </xf>
    <xf numFmtId="0" fontId="2" fillId="0" borderId="0" xfId="0" applyFont="1" applyAlignment="1" applyProtection="1">
      <alignment vertical="center"/>
    </xf>
    <xf numFmtId="0" fontId="1" fillId="2" borderId="0" xfId="0" applyFont="1" applyFill="1" applyAlignment="1" applyProtection="1">
      <alignment horizontal="center" vertical="center"/>
    </xf>
    <xf numFmtId="0" fontId="1" fillId="4" borderId="0" xfId="0" applyFont="1" applyFill="1" applyAlignment="1" applyProtection="1">
      <alignment horizontal="center" vertical="center"/>
    </xf>
    <xf numFmtId="0" fontId="1" fillId="3" borderId="0" xfId="0" applyFont="1" applyFill="1" applyBorder="1" applyAlignment="1" applyProtection="1">
      <alignment horizontal="right" vertical="center"/>
    </xf>
    <xf numFmtId="0" fontId="2" fillId="0" borderId="0" xfId="0" applyFont="1" applyBorder="1" applyAlignment="1" applyProtection="1">
      <alignment vertical="center" wrapText="1"/>
    </xf>
    <xf numFmtId="0" fontId="2" fillId="3" borderId="1" xfId="0" applyFont="1" applyFill="1" applyBorder="1" applyAlignment="1" applyProtection="1">
      <alignment vertical="center" wrapText="1"/>
    </xf>
    <xf numFmtId="0" fontId="2" fillId="0" borderId="0" xfId="0" applyFont="1" applyBorder="1" applyAlignment="1" applyProtection="1">
      <alignment vertical="center"/>
    </xf>
    <xf numFmtId="0" fontId="2" fillId="0" borderId="6" xfId="0" applyFont="1" applyBorder="1" applyAlignment="1" applyProtection="1">
      <alignment horizontal="center" vertical="center"/>
    </xf>
    <xf numFmtId="0" fontId="3" fillId="0" borderId="1" xfId="0" applyFont="1" applyBorder="1" applyAlignment="1" applyProtection="1">
      <alignment vertical="center" wrapText="1"/>
    </xf>
    <xf numFmtId="0" fontId="3" fillId="2" borderId="0" xfId="0" applyFont="1" applyFill="1" applyAlignment="1" applyProtection="1">
      <alignment horizontal="center" vertical="center"/>
    </xf>
    <xf numFmtId="0" fontId="4" fillId="0" borderId="0" xfId="0" applyFont="1" applyBorder="1" applyAlignment="1" applyProtection="1">
      <alignment vertical="center"/>
    </xf>
    <xf numFmtId="0" fontId="3" fillId="3" borderId="0" xfId="0" applyFont="1" applyFill="1" applyBorder="1" applyAlignment="1" applyProtection="1">
      <alignment horizontal="right" vertical="center"/>
    </xf>
    <xf numFmtId="164" fontId="4" fillId="3" borderId="0" xfId="0" applyNumberFormat="1" applyFont="1" applyFill="1" applyBorder="1" applyAlignment="1" applyProtection="1">
      <alignment horizontal="center" vertical="center"/>
    </xf>
    <xf numFmtId="0" fontId="4" fillId="3" borderId="0" xfId="0" applyFont="1" applyFill="1" applyBorder="1" applyAlignment="1" applyProtection="1">
      <alignment horizontal="center" vertical="center"/>
    </xf>
    <xf numFmtId="164" fontId="4" fillId="0" borderId="6" xfId="0" applyNumberFormat="1" applyFont="1" applyBorder="1" applyAlignment="1" applyProtection="1">
      <alignment horizontal="center" vertical="center"/>
    </xf>
    <xf numFmtId="164" fontId="3" fillId="0" borderId="1" xfId="0" applyNumberFormat="1" applyFont="1" applyBorder="1" applyAlignment="1" applyProtection="1">
      <alignment horizontal="center" vertical="center" wrapText="1"/>
    </xf>
    <xf numFmtId="0" fontId="6" fillId="0" borderId="0" xfId="0" applyFont="1" applyAlignment="1" applyProtection="1">
      <alignment vertical="center"/>
    </xf>
    <xf numFmtId="10" fontId="4" fillId="6" borderId="1" xfId="0" applyNumberFormat="1" applyFont="1" applyFill="1" applyBorder="1" applyAlignment="1" applyProtection="1">
      <alignment horizontal="center" vertical="center" wrapText="1"/>
      <protection locked="0"/>
    </xf>
    <xf numFmtId="164" fontId="4" fillId="0" borderId="1" xfId="0" applyNumberFormat="1" applyFont="1" applyBorder="1" applyAlignment="1" applyProtection="1">
      <alignment vertical="center" wrapText="1"/>
    </xf>
    <xf numFmtId="10" fontId="4" fillId="5" borderId="1" xfId="0" applyNumberFormat="1" applyFont="1" applyFill="1" applyBorder="1" applyAlignment="1" applyProtection="1">
      <alignment horizontal="center" vertical="center" wrapText="1"/>
    </xf>
    <xf numFmtId="164" fontId="4" fillId="0" borderId="1" xfId="0" applyNumberFormat="1" applyFont="1" applyBorder="1" applyAlignment="1" applyProtection="1">
      <alignment horizontal="right" vertical="center" wrapText="1"/>
    </xf>
    <xf numFmtId="0" fontId="4" fillId="0" borderId="1" xfId="0" applyFont="1" applyBorder="1" applyAlignment="1" applyProtection="1">
      <alignment horizontal="right" vertical="center" wrapText="1"/>
    </xf>
    <xf numFmtId="0" fontId="3" fillId="0" borderId="1" xfId="0" applyFont="1" applyBorder="1" applyAlignment="1" applyProtection="1">
      <alignment horizontal="center" vertical="center" wrapText="1"/>
      <protection locked="0"/>
    </xf>
    <xf numFmtId="0" fontId="7" fillId="0" borderId="1" xfId="0" applyFont="1" applyBorder="1" applyAlignment="1" applyProtection="1">
      <alignment horizontal="right" vertical="center" wrapText="1"/>
    </xf>
    <xf numFmtId="10" fontId="7" fillId="5" borderId="1" xfId="0" applyNumberFormat="1" applyFont="1" applyFill="1" applyBorder="1" applyAlignment="1" applyProtection="1">
      <alignment horizontal="center" vertical="center" wrapText="1"/>
    </xf>
    <xf numFmtId="164" fontId="7" fillId="0" borderId="1" xfId="0" applyNumberFormat="1" applyFont="1" applyBorder="1" applyAlignment="1" applyProtection="1">
      <alignment horizontal="right" vertical="center" wrapText="1"/>
    </xf>
    <xf numFmtId="10" fontId="4" fillId="0" borderId="1" xfId="0" applyNumberFormat="1" applyFont="1" applyBorder="1" applyAlignment="1" applyProtection="1">
      <alignment horizontal="center" vertical="center" wrapText="1"/>
      <protection locked="0"/>
    </xf>
    <xf numFmtId="10" fontId="7" fillId="6" borderId="1" xfId="0" applyNumberFormat="1" applyFont="1" applyFill="1" applyBorder="1" applyAlignment="1" applyProtection="1">
      <alignment horizontal="center" vertical="center" wrapText="1"/>
      <protection locked="0"/>
    </xf>
    <xf numFmtId="0" fontId="6" fillId="0" borderId="0" xfId="0" applyFont="1" applyAlignment="1" applyProtection="1">
      <alignment vertical="center"/>
      <protection locked="0"/>
    </xf>
    <xf numFmtId="0" fontId="3" fillId="2" borderId="0" xfId="0" applyFont="1" applyFill="1" applyAlignment="1" applyProtection="1">
      <alignment horizontal="center" vertical="center"/>
      <protection locked="0"/>
    </xf>
    <xf numFmtId="0" fontId="4" fillId="0" borderId="0" xfId="0" applyFont="1" applyBorder="1" applyAlignment="1" applyProtection="1">
      <alignment vertical="center"/>
      <protection locked="0"/>
    </xf>
    <xf numFmtId="0" fontId="2" fillId="0" borderId="1" xfId="0" applyFont="1" applyBorder="1" applyAlignment="1" applyProtection="1">
      <alignment horizontal="center"/>
    </xf>
    <xf numFmtId="166" fontId="2" fillId="0" borderId="1" xfId="0" applyNumberFormat="1" applyFont="1" applyBorder="1" applyAlignment="1" applyProtection="1">
      <alignment horizontal="center"/>
    </xf>
    <xf numFmtId="164" fontId="2" fillId="0" borderId="1" xfId="0" applyNumberFormat="1" applyFont="1" applyBorder="1" applyAlignment="1" applyProtection="1">
      <alignment horizontal="center"/>
    </xf>
    <xf numFmtId="168" fontId="2" fillId="0" borderId="1" xfId="0" applyNumberFormat="1" applyFont="1" applyBorder="1" applyAlignment="1" applyProtection="1">
      <alignment horizontal="center"/>
    </xf>
    <xf numFmtId="2" fontId="3" fillId="5" borderId="1" xfId="0" applyNumberFormat="1" applyFont="1" applyFill="1" applyBorder="1" applyAlignment="1" applyProtection="1">
      <alignment horizontal="center" vertical="center" wrapText="1"/>
    </xf>
    <xf numFmtId="0" fontId="1" fillId="4" borderId="1" xfId="0" applyFont="1" applyFill="1" applyBorder="1" applyAlignment="1" applyProtection="1">
      <alignment horizontal="center"/>
    </xf>
    <xf numFmtId="2" fontId="2" fillId="0" borderId="1" xfId="0" applyNumberFormat="1" applyFont="1" applyBorder="1" applyAlignment="1" applyProtection="1">
      <alignment horizontal="center"/>
    </xf>
    <xf numFmtId="2" fontId="3" fillId="6" borderId="1" xfId="0" applyNumberFormat="1" applyFont="1" applyFill="1" applyBorder="1" applyAlignment="1" applyProtection="1">
      <alignment horizontal="center" vertical="center" wrapText="1"/>
      <protection locked="0"/>
    </xf>
    <xf numFmtId="0" fontId="3" fillId="0" borderId="1"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7" fillId="0" borderId="1" xfId="0" applyFont="1" applyBorder="1" applyAlignment="1" applyProtection="1">
      <alignment horizontal="left" vertical="center" wrapText="1"/>
    </xf>
    <xf numFmtId="164" fontId="7" fillId="6" borderId="1" xfId="0" applyNumberFormat="1" applyFont="1" applyFill="1" applyBorder="1" applyAlignment="1" applyProtection="1">
      <alignment horizontal="center" vertical="center" wrapText="1"/>
      <protection locked="0"/>
    </xf>
    <xf numFmtId="0" fontId="3" fillId="0" borderId="1" xfId="0" applyFont="1" applyBorder="1" applyAlignment="1" applyProtection="1">
      <alignment horizontal="left" vertical="center"/>
    </xf>
    <xf numFmtId="0" fontId="3" fillId="0" borderId="1" xfId="0" applyFont="1" applyBorder="1" applyAlignment="1" applyProtection="1">
      <alignment horizontal="left" vertical="center" wrapText="1"/>
    </xf>
    <xf numFmtId="0" fontId="3" fillId="0" borderId="2" xfId="0" applyFont="1" applyBorder="1" applyAlignment="1">
      <alignment horizontal="left"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7" fillId="0" borderId="1" xfId="0" applyFont="1" applyBorder="1" applyAlignment="1">
      <alignment horizontal="left" vertical="center" wrapText="1"/>
    </xf>
    <xf numFmtId="164" fontId="7" fillId="0" borderId="1" xfId="0" applyNumberFormat="1" applyFont="1" applyBorder="1" applyAlignment="1">
      <alignment horizontal="center" vertical="center" wrapText="1"/>
    </xf>
    <xf numFmtId="164" fontId="3" fillId="0" borderId="2" xfId="0" applyNumberFormat="1" applyFont="1" applyBorder="1" applyAlignment="1" applyProtection="1">
      <alignment horizontal="center" vertical="center" wrapText="1"/>
    </xf>
    <xf numFmtId="164" fontId="3" fillId="0" borderId="3" xfId="0" applyNumberFormat="1" applyFont="1" applyBorder="1" applyAlignment="1" applyProtection="1">
      <alignment horizontal="center" vertical="center" wrapText="1"/>
    </xf>
    <xf numFmtId="0" fontId="3" fillId="0" borderId="5" xfId="0" applyFont="1" applyBorder="1" applyAlignment="1" applyProtection="1">
      <alignment horizontal="center" vertical="center" wrapText="1"/>
    </xf>
    <xf numFmtId="164" fontId="4" fillId="3" borderId="0" xfId="0" applyNumberFormat="1" applyFont="1" applyFill="1" applyBorder="1" applyAlignment="1">
      <alignment horizontal="center" vertical="center"/>
    </xf>
    <xf numFmtId="0" fontId="4" fillId="3" borderId="0" xfId="0" applyFont="1" applyFill="1" applyBorder="1" applyAlignment="1">
      <alignment horizontal="center" vertical="center"/>
    </xf>
    <xf numFmtId="0" fontId="3" fillId="3" borderId="0" xfId="0" applyFont="1" applyFill="1" applyBorder="1" applyAlignment="1">
      <alignment horizontal="right" vertical="center"/>
    </xf>
    <xf numFmtId="164" fontId="4" fillId="0" borderId="6" xfId="0" applyNumberFormat="1" applyFont="1" applyBorder="1" applyAlignment="1">
      <alignment horizontal="center" vertical="center"/>
    </xf>
    <xf numFmtId="0" fontId="7" fillId="0" borderId="1" xfId="0" applyFont="1" applyBorder="1" applyAlignment="1">
      <alignment horizontal="right" vertical="center" wrapText="1"/>
    </xf>
    <xf numFmtId="10" fontId="4" fillId="0" borderId="1" xfId="0" applyNumberFormat="1" applyFont="1" applyBorder="1" applyAlignment="1">
      <alignment horizontal="center" vertical="center" wrapText="1"/>
    </xf>
    <xf numFmtId="164" fontId="4" fillId="0" borderId="1" xfId="0" applyNumberFormat="1" applyFont="1" applyBorder="1" applyAlignment="1">
      <alignment vertical="center" wrapText="1"/>
    </xf>
    <xf numFmtId="0" fontId="4" fillId="0" borderId="1" xfId="0" applyFont="1" applyBorder="1" applyAlignment="1">
      <alignment vertical="center" wrapText="1"/>
    </xf>
    <xf numFmtId="164" fontId="7" fillId="0" borderId="1" xfId="0" applyNumberFormat="1" applyFont="1" applyBorder="1" applyAlignment="1">
      <alignment horizontal="right" vertical="center" wrapText="1"/>
    </xf>
    <xf numFmtId="10" fontId="4" fillId="8" borderId="1" xfId="0" applyNumberFormat="1" applyFont="1" applyFill="1" applyBorder="1" applyAlignment="1" applyProtection="1">
      <alignment horizontal="center" vertical="center" wrapText="1"/>
      <protection locked="0"/>
    </xf>
    <xf numFmtId="164" fontId="4" fillId="0" borderId="1" xfId="0" applyNumberFormat="1" applyFont="1" applyBorder="1" applyAlignment="1">
      <alignment horizontal="right" vertical="center" wrapText="1"/>
    </xf>
    <xf numFmtId="0" fontId="4" fillId="0" borderId="1" xfId="0" applyFont="1" applyBorder="1" applyAlignment="1">
      <alignment horizontal="right" vertical="center" wrapText="1"/>
    </xf>
    <xf numFmtId="0" fontId="3" fillId="0" borderId="1" xfId="0" applyFont="1" applyBorder="1" applyAlignment="1">
      <alignment vertical="center" wrapText="1"/>
    </xf>
    <xf numFmtId="0" fontId="1" fillId="4" borderId="1" xfId="0" applyFont="1" applyFill="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xf>
    <xf numFmtId="164" fontId="2" fillId="0" borderId="1" xfId="0" applyNumberFormat="1" applyFont="1" applyBorder="1" applyAlignment="1">
      <alignment horizontal="center" vertical="center"/>
    </xf>
    <xf numFmtId="0" fontId="1" fillId="0" borderId="1" xfId="0" applyFont="1" applyBorder="1" applyAlignment="1">
      <alignment horizontal="center" vertical="center" wrapText="1"/>
    </xf>
    <xf numFmtId="164" fontId="1" fillId="0" borderId="1" xfId="0" applyNumberFormat="1" applyFont="1" applyBorder="1" applyAlignment="1">
      <alignment horizontal="center" vertical="center" wrapText="1"/>
    </xf>
    <xf numFmtId="0" fontId="1" fillId="2" borderId="0" xfId="0" applyFont="1" applyFill="1" applyAlignment="1">
      <alignment horizontal="center" vertical="center"/>
    </xf>
    <xf numFmtId="0" fontId="2" fillId="0" borderId="0" xfId="0" applyFont="1" applyBorder="1" applyAlignment="1">
      <alignment vertical="center"/>
    </xf>
    <xf numFmtId="0" fontId="2" fillId="0" borderId="6" xfId="0" applyFont="1" applyBorder="1" applyAlignment="1">
      <alignment horizontal="center" vertical="center"/>
    </xf>
    <xf numFmtId="0" fontId="3" fillId="2" borderId="0" xfId="0" applyFont="1" applyFill="1" applyAlignment="1">
      <alignment horizontal="center" vertical="center"/>
    </xf>
    <xf numFmtId="0" fontId="2" fillId="0" borderId="1" xfId="0" applyFont="1" applyBorder="1" applyAlignment="1">
      <alignment vertical="center" wrapText="1"/>
    </xf>
    <xf numFmtId="164" fontId="2" fillId="0" borderId="1" xfId="0" applyNumberFormat="1" applyFont="1" applyBorder="1" applyAlignment="1">
      <alignment horizontal="center" vertical="center" wrapText="1"/>
    </xf>
    <xf numFmtId="0" fontId="2" fillId="3" borderId="1" xfId="0" applyFont="1" applyFill="1" applyBorder="1" applyAlignment="1">
      <alignment vertical="center" wrapText="1"/>
    </xf>
    <xf numFmtId="0" fontId="1" fillId="3" borderId="0" xfId="0" applyFont="1" applyFill="1" applyBorder="1" applyAlignment="1" applyProtection="1">
      <alignment horizontal="right" vertical="center"/>
      <protection locked="0"/>
    </xf>
    <xf numFmtId="0" fontId="2" fillId="0" borderId="0" xfId="0" applyFont="1" applyBorder="1" applyAlignment="1" applyProtection="1">
      <alignment vertical="center" wrapText="1"/>
      <protection locked="0"/>
    </xf>
    <xf numFmtId="0" fontId="2" fillId="0" borderId="2" xfId="0" applyFont="1" applyBorder="1" applyAlignment="1">
      <alignment horizontal="center" wrapText="1"/>
    </xf>
    <xf numFmtId="0" fontId="2" fillId="0" borderId="3" xfId="0" applyFont="1" applyBorder="1" applyAlignment="1">
      <alignment horizontal="center" wrapText="1"/>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1" fillId="10" borderId="1" xfId="0" applyFont="1" applyFill="1" applyBorder="1" applyAlignment="1">
      <alignment horizontal="center"/>
    </xf>
    <xf numFmtId="0" fontId="1" fillId="4" borderId="1" xfId="0" applyFont="1" applyFill="1" applyBorder="1" applyAlignment="1" applyProtection="1">
      <alignment horizontal="center" vertical="center"/>
    </xf>
    <xf numFmtId="0" fontId="1" fillId="10" borderId="2" xfId="0" applyFont="1" applyFill="1" applyBorder="1" applyAlignment="1" applyProtection="1">
      <alignment horizontal="center"/>
    </xf>
    <xf numFmtId="0" fontId="1" fillId="10" borderId="5" xfId="0" applyFont="1" applyFill="1" applyBorder="1" applyAlignment="1" applyProtection="1">
      <alignment horizontal="center"/>
    </xf>
    <xf numFmtId="0" fontId="1" fillId="10" borderId="3" xfId="0" applyFont="1" applyFill="1" applyBorder="1" applyAlignment="1" applyProtection="1">
      <alignment horizontal="center"/>
    </xf>
    <xf numFmtId="164" fontId="2" fillId="0" borderId="1" xfId="0" applyNumberFormat="1" applyFont="1" applyBorder="1" applyAlignment="1">
      <alignment horizontal="center"/>
    </xf>
    <xf numFmtId="0" fontId="3" fillId="4" borderId="1" xfId="0" applyFont="1" applyFill="1" applyBorder="1" applyAlignment="1">
      <alignment horizontal="center" vertical="center"/>
    </xf>
    <xf numFmtId="164" fontId="2" fillId="0" borderId="2" xfId="0" applyNumberFormat="1" applyFont="1" applyBorder="1" applyAlignment="1">
      <alignment horizontal="center"/>
    </xf>
    <xf numFmtId="0" fontId="2" fillId="0" borderId="3" xfId="0" applyFont="1" applyBorder="1" applyAlignment="1">
      <alignment horizontal="center"/>
    </xf>
    <xf numFmtId="0" fontId="1" fillId="7" borderId="2" xfId="0" applyFont="1" applyFill="1" applyBorder="1" applyAlignment="1">
      <alignment horizontal="center" vertical="top"/>
    </xf>
    <xf numFmtId="0" fontId="1" fillId="7" borderId="5" xfId="0" applyFont="1" applyFill="1" applyBorder="1" applyAlignment="1">
      <alignment horizontal="center" vertical="top"/>
    </xf>
    <xf numFmtId="0" fontId="1" fillId="7" borderId="3" xfId="0" applyFont="1" applyFill="1" applyBorder="1" applyAlignment="1">
      <alignment horizontal="center" vertical="top"/>
    </xf>
    <xf numFmtId="0" fontId="1" fillId="7" borderId="1" xfId="0" applyFont="1" applyFill="1" applyBorder="1" applyAlignment="1">
      <alignment horizontal="center" vertical="top"/>
    </xf>
    <xf numFmtId="164" fontId="3" fillId="7" borderId="1" xfId="0" applyNumberFormat="1" applyFont="1" applyFill="1" applyBorder="1" applyAlignment="1">
      <alignment horizontal="center" vertical="top"/>
    </xf>
    <xf numFmtId="0" fontId="3" fillId="7" borderId="2" xfId="0" applyFont="1" applyFill="1" applyBorder="1" applyAlignment="1">
      <alignment horizontal="center" vertical="top"/>
    </xf>
    <xf numFmtId="0" fontId="3" fillId="7" borderId="5" xfId="0" applyFont="1" applyFill="1" applyBorder="1" applyAlignment="1">
      <alignment horizontal="center" vertical="top"/>
    </xf>
    <xf numFmtId="0" fontId="3" fillId="7" borderId="3" xfId="0" applyFont="1" applyFill="1" applyBorder="1" applyAlignment="1">
      <alignment horizontal="center" vertical="top"/>
    </xf>
    <xf numFmtId="164" fontId="1" fillId="7" borderId="1" xfId="0" applyNumberFormat="1" applyFont="1" applyFill="1" applyBorder="1" applyAlignment="1">
      <alignment horizontal="center" vertical="top"/>
    </xf>
    <xf numFmtId="0" fontId="1" fillId="9" borderId="1" xfId="0" applyFont="1" applyFill="1" applyBorder="1" applyAlignment="1">
      <alignment horizontal="center"/>
    </xf>
    <xf numFmtId="0" fontId="1" fillId="7" borderId="2" xfId="0" applyFont="1" applyFill="1" applyBorder="1" applyAlignment="1">
      <alignment horizontal="center" vertical="center"/>
    </xf>
    <xf numFmtId="0" fontId="1" fillId="7" borderId="3" xfId="0" applyFont="1" applyFill="1" applyBorder="1" applyAlignment="1">
      <alignment horizontal="center" vertical="center"/>
    </xf>
    <xf numFmtId="0" fontId="1" fillId="7" borderId="1" xfId="0" applyFont="1" applyFill="1" applyBorder="1" applyAlignment="1">
      <alignment horizontal="center" vertical="center"/>
    </xf>
    <xf numFmtId="0" fontId="1" fillId="7" borderId="1" xfId="0" applyFont="1" applyFill="1" applyBorder="1" applyAlignment="1">
      <alignment horizontal="center" vertical="center" wrapText="1"/>
    </xf>
    <xf numFmtId="0" fontId="1" fillId="9" borderId="1" xfId="0" applyFont="1" applyFill="1" applyBorder="1" applyAlignment="1">
      <alignment horizontal="center" vertical="center"/>
    </xf>
    <xf numFmtId="164" fontId="1" fillId="7" borderId="8" xfId="0" applyNumberFormat="1" applyFont="1" applyFill="1" applyBorder="1" applyAlignment="1">
      <alignment horizontal="center" vertical="center" wrapText="1"/>
    </xf>
    <xf numFmtId="164" fontId="1" fillId="7" borderId="7" xfId="0" applyNumberFormat="1" applyFont="1" applyFill="1" applyBorder="1" applyAlignment="1">
      <alignment horizontal="center" vertical="center" wrapText="1"/>
    </xf>
    <xf numFmtId="0" fontId="1" fillId="7" borderId="5" xfId="0" applyFont="1" applyFill="1" applyBorder="1" applyAlignment="1">
      <alignment horizontal="center" vertical="center"/>
    </xf>
    <xf numFmtId="0" fontId="1" fillId="7" borderId="8" xfId="0" applyFont="1" applyFill="1" applyBorder="1" applyAlignment="1">
      <alignment horizontal="center" vertical="center"/>
    </xf>
    <xf numFmtId="0" fontId="1" fillId="7" borderId="7" xfId="0" applyFont="1" applyFill="1" applyBorder="1" applyAlignment="1">
      <alignment horizontal="center" vertical="center"/>
    </xf>
  </cellXfs>
  <cellStyles count="3">
    <cellStyle name="Moeda 4" xfId="2" xr:uid="{08DF9BE4-C192-4AF1-84ED-4B120668889B}"/>
    <cellStyle name="Normal" xfId="0" builtinId="0"/>
    <cellStyle name="Porcentagem" xfId="1" builtinId="5"/>
  </cellStyles>
  <dxfs count="2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E60-6F05-4B87-A7BF-02BAEA1AF23B}">
  <sheetPr>
    <tabColor theme="7" tint="0.59999389629810485"/>
  </sheetPr>
  <dimension ref="A1:I26"/>
  <sheetViews>
    <sheetView workbookViewId="0">
      <selection activeCell="D7" sqref="D7"/>
    </sheetView>
  </sheetViews>
  <sheetFormatPr defaultRowHeight="14.5" x14ac:dyDescent="0.35"/>
  <cols>
    <col min="2" max="2" width="4.90625" bestFit="1" customWidth="1"/>
    <col min="3" max="3" width="76.81640625" bestFit="1" customWidth="1"/>
    <col min="4" max="4" width="9.90625" bestFit="1" customWidth="1"/>
    <col min="5" max="5" width="18.6328125" bestFit="1" customWidth="1"/>
    <col min="6" max="6" width="17.453125" bestFit="1" customWidth="1"/>
    <col min="7" max="7" width="25.453125" bestFit="1" customWidth="1"/>
    <col min="8" max="8" width="13.90625" bestFit="1" customWidth="1"/>
    <col min="9" max="9" width="23.7265625" bestFit="1" customWidth="1"/>
  </cols>
  <sheetData>
    <row r="1" spans="1:9" x14ac:dyDescent="0.35">
      <c r="A1" s="84" t="s">
        <v>376</v>
      </c>
      <c r="B1" s="84" t="s">
        <v>377</v>
      </c>
      <c r="C1" s="84" t="s">
        <v>378</v>
      </c>
      <c r="D1" s="84" t="s">
        <v>379</v>
      </c>
      <c r="E1" s="84" t="s">
        <v>380</v>
      </c>
      <c r="F1" s="84" t="s">
        <v>327</v>
      </c>
      <c r="G1" s="85" t="s">
        <v>381</v>
      </c>
      <c r="H1" s="85" t="s">
        <v>382</v>
      </c>
      <c r="I1" s="85" t="s">
        <v>542</v>
      </c>
    </row>
    <row r="2" spans="1:9" x14ac:dyDescent="0.35">
      <c r="A2" s="182">
        <v>1</v>
      </c>
      <c r="B2" s="73">
        <v>1</v>
      </c>
      <c r="C2" s="73" t="s">
        <v>383</v>
      </c>
      <c r="D2" s="73">
        <v>24023</v>
      </c>
      <c r="E2" s="73" t="s">
        <v>18</v>
      </c>
      <c r="F2" s="74">
        <v>16348.748</v>
      </c>
      <c r="G2" s="75">
        <f>(SUM('Item 1.1 (Encarregado)'!I162*'Item 1.1 (Encarregado)'!F17,' Item 1.2 (ASG)'!I163*' Item 1.2 (ASG)'!F17, 'Item 1.3 (ASG Banheirista)'!I163*'Item 1.3 (ASG Banheirista)'!F17)/F2)</f>
        <v>5.2543736479711987</v>
      </c>
      <c r="H2" s="75">
        <f>G2*F2</f>
        <v>85902.430668521833</v>
      </c>
      <c r="I2" s="75">
        <f>H2*24</f>
        <v>2061658.3360445239</v>
      </c>
    </row>
    <row r="3" spans="1:9" x14ac:dyDescent="0.35">
      <c r="A3" s="182"/>
      <c r="B3" s="73">
        <v>2</v>
      </c>
      <c r="C3" s="73" t="s">
        <v>384</v>
      </c>
      <c r="D3" s="73">
        <v>13544</v>
      </c>
      <c r="E3" s="73" t="s">
        <v>392</v>
      </c>
      <c r="F3" s="73">
        <v>1</v>
      </c>
      <c r="G3" s="75">
        <f>'Item 2 (Lavador)'!G159</f>
        <v>5097.089449416615</v>
      </c>
      <c r="H3" s="75">
        <f>G3</f>
        <v>5097.089449416615</v>
      </c>
      <c r="I3" s="75">
        <f t="shared" ref="I3:I6" si="0">H3*24</f>
        <v>122330.14678599876</v>
      </c>
    </row>
    <row r="4" spans="1:9" x14ac:dyDescent="0.35">
      <c r="A4" s="182"/>
      <c r="B4" s="73">
        <v>3</v>
      </c>
      <c r="C4" s="73" t="s">
        <v>385</v>
      </c>
      <c r="D4" s="73">
        <v>24023</v>
      </c>
      <c r="E4" s="73" t="s">
        <v>18</v>
      </c>
      <c r="F4" s="74">
        <v>1078.4999999999998</v>
      </c>
      <c r="G4" s="75">
        <f>('Item 3 (ASG)'!I162*'Item 3 (ASG)'!F17)/RESUMO!F4</f>
        <v>8.364119729805946</v>
      </c>
      <c r="H4" s="75">
        <f>F4*G4</f>
        <v>9020.703128595711</v>
      </c>
      <c r="I4" s="75">
        <f>H4*24</f>
        <v>216496.87508629705</v>
      </c>
    </row>
    <row r="5" spans="1:9" x14ac:dyDescent="0.35">
      <c r="A5" s="182"/>
      <c r="B5" s="73">
        <v>4</v>
      </c>
      <c r="C5" s="73" t="s">
        <v>386</v>
      </c>
      <c r="D5" s="73">
        <v>24023</v>
      </c>
      <c r="E5" s="73" t="s">
        <v>18</v>
      </c>
      <c r="F5" s="74">
        <v>4101.6440000000002</v>
      </c>
      <c r="G5" s="75">
        <f>(SUM('Item 4.1 (ASG)'!I162*'Item 4.1 (ASG)'!F17,'Item 4.2 (ASG Banheirista)'!I162*'Item 4.2 (ASG Banheirista)'!F17)/RESUMO!F5)</f>
        <v>3.5990077295575178</v>
      </c>
      <c r="H5" s="75">
        <f>F5*G5</f>
        <v>14761.848459893215</v>
      </c>
      <c r="I5" s="75">
        <f t="shared" si="0"/>
        <v>354284.3630374372</v>
      </c>
    </row>
    <row r="6" spans="1:9" x14ac:dyDescent="0.35">
      <c r="A6" s="182"/>
      <c r="B6" s="73">
        <v>5</v>
      </c>
      <c r="C6" s="73" t="s">
        <v>387</v>
      </c>
      <c r="D6" s="73">
        <v>24023</v>
      </c>
      <c r="E6" s="73" t="s">
        <v>18</v>
      </c>
      <c r="F6" s="74">
        <v>4094.482</v>
      </c>
      <c r="G6" s="75">
        <f>(SUM('Item 5.1 (ASG)'!I162*'Item 5.1 (ASG)'!F17,'Item 5.2 (ASG Banheirista)'!I162*'Item 5.2 (ASG Banheirista)'!F17)/RESUMO!F6)</f>
        <v>3.5652509024187204</v>
      </c>
      <c r="H6" s="75">
        <f>F6*G6</f>
        <v>14597.855645437206</v>
      </c>
      <c r="I6" s="75">
        <f t="shared" si="0"/>
        <v>350348.53549049294</v>
      </c>
    </row>
    <row r="7" spans="1:9" x14ac:dyDescent="0.35">
      <c r="A7" s="182"/>
      <c r="B7" s="73">
        <v>6</v>
      </c>
      <c r="C7" s="73" t="s">
        <v>388</v>
      </c>
      <c r="D7" s="73">
        <v>24023</v>
      </c>
      <c r="E7" s="73" t="s">
        <v>391</v>
      </c>
      <c r="F7" s="73">
        <v>2</v>
      </c>
      <c r="G7" s="75">
        <f>('Item 6 (Fachada)'!G174)*242</f>
        <v>2605.2042567562921</v>
      </c>
      <c r="H7" s="75" t="s">
        <v>139</v>
      </c>
      <c r="I7" s="75">
        <f>G7*F7</f>
        <v>5210.4085135125842</v>
      </c>
    </row>
    <row r="8" spans="1:9" x14ac:dyDescent="0.35">
      <c r="A8" s="182"/>
      <c r="B8" s="73">
        <v>7</v>
      </c>
      <c r="C8" s="73" t="s">
        <v>389</v>
      </c>
      <c r="D8" s="73">
        <v>24023</v>
      </c>
      <c r="E8" s="73" t="s">
        <v>390</v>
      </c>
      <c r="F8" s="73">
        <v>24</v>
      </c>
      <c r="G8" s="75" t="s">
        <v>139</v>
      </c>
      <c r="H8" s="75">
        <f>'Item 7 (Materiais)'!E75</f>
        <v>13459.749564183539</v>
      </c>
      <c r="I8" s="75">
        <f>H8*F8</f>
        <v>323033.98954040493</v>
      </c>
    </row>
    <row r="9" spans="1:9" x14ac:dyDescent="0.35">
      <c r="A9" s="183" t="s">
        <v>39</v>
      </c>
      <c r="B9" s="183"/>
      <c r="C9" s="183"/>
      <c r="D9" s="183"/>
      <c r="E9" s="183"/>
      <c r="F9" s="183"/>
      <c r="G9" s="183"/>
      <c r="H9" s="183"/>
      <c r="I9" s="173">
        <f>SUM(I2:I8)</f>
        <v>3433362.6544986675</v>
      </c>
    </row>
    <row r="14" spans="1:9" x14ac:dyDescent="0.35">
      <c r="I14" s="29"/>
    </row>
    <row r="15" spans="1:9" x14ac:dyDescent="0.35">
      <c r="I15" s="29"/>
    </row>
    <row r="17" spans="7:7" x14ac:dyDescent="0.35">
      <c r="G17" s="177"/>
    </row>
    <row r="22" spans="7:7" x14ac:dyDescent="0.35">
      <c r="G22" s="174"/>
    </row>
    <row r="25" spans="7:7" x14ac:dyDescent="0.35">
      <c r="G25" s="179"/>
    </row>
    <row r="26" spans="7:7" x14ac:dyDescent="0.35">
      <c r="G26" s="174"/>
    </row>
  </sheetData>
  <sheetProtection algorithmName="SHA-512" hashValue="EWJ3Bov0enaLgMm4KIFiT01jFO5EAuIDqqTMNZSSeXIgzzebpH+Kr4JxD4rUa7JfT7czj3oSXkqSkLlGmcH3/Q==" saltValue="5mnY3iJ5NJtph1QAKcy/2w==" spinCount="100000" sheet="1" objects="1" scenarios="1"/>
  <mergeCells count="2">
    <mergeCell ref="A2:A8"/>
    <mergeCell ref="A9:H9"/>
  </mergeCells>
  <conditionalFormatting sqref="G2">
    <cfRule type="cellIs" dxfId="22" priority="12" operator="greaterThan">
      <formula>5.2543736479712</formula>
    </cfRule>
  </conditionalFormatting>
  <conditionalFormatting sqref="G3">
    <cfRule type="cellIs" dxfId="21" priority="11" operator="greaterThan">
      <formula>5097.08944941662</formula>
    </cfRule>
  </conditionalFormatting>
  <conditionalFormatting sqref="G4">
    <cfRule type="cellIs" dxfId="20" priority="10" operator="greaterThan">
      <formula>8.36411972980595</formula>
    </cfRule>
  </conditionalFormatting>
  <conditionalFormatting sqref="G5">
    <cfRule type="cellIs" dxfId="19" priority="9" operator="greaterThan">
      <formula>3.59900772955752</formula>
    </cfRule>
  </conditionalFormatting>
  <conditionalFormatting sqref="G6">
    <cfRule type="cellIs" dxfId="18" priority="8" operator="greaterThan">
      <formula>3.56525090241872</formula>
    </cfRule>
  </conditionalFormatting>
  <conditionalFormatting sqref="G7">
    <cfRule type="cellIs" dxfId="17" priority="7" operator="greaterThan">
      <formula>2605.20425675629</formula>
    </cfRule>
  </conditionalFormatting>
  <conditionalFormatting sqref="H8">
    <cfRule type="cellIs" dxfId="16" priority="6" operator="greaterThan">
      <formula>13459.7495641835</formula>
    </cfRule>
  </conditionalFormatting>
  <conditionalFormatting sqref="H6">
    <cfRule type="cellIs" dxfId="15" priority="5" operator="greaterThan">
      <formula>14597.8556454372</formula>
    </cfRule>
  </conditionalFormatting>
  <conditionalFormatting sqref="H5">
    <cfRule type="cellIs" dxfId="14" priority="4" operator="greaterThan">
      <formula>14761.8484598932</formula>
    </cfRule>
  </conditionalFormatting>
  <conditionalFormatting sqref="H4">
    <cfRule type="cellIs" dxfId="13" priority="3" operator="greaterThan">
      <formula>9020.70312859571</formula>
    </cfRule>
  </conditionalFormatting>
  <conditionalFormatting sqref="H3">
    <cfRule type="cellIs" dxfId="12" priority="2" operator="greaterThan">
      <formula>5097.08944941662</formula>
    </cfRule>
  </conditionalFormatting>
  <conditionalFormatting sqref="H2">
    <cfRule type="cellIs" dxfId="11" priority="1" operator="greaterThan">
      <formula>85902.4306685218</formula>
    </cfRule>
  </conditionalFormatting>
  <pageMargins left="0.511811024" right="0.511811024" top="0.78740157499999996" bottom="0.78740157499999996" header="0.31496062000000002" footer="0.31496062000000002"/>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1413B-B420-4D82-805B-11BDCC79856E}">
  <sheetPr>
    <tabColor theme="9" tint="0.59999389629810485"/>
  </sheetPr>
  <dimension ref="A1:N168"/>
  <sheetViews>
    <sheetView tabSelected="1" topLeftCell="A115" workbookViewId="0">
      <selection activeCell="G143" sqref="G143:H143"/>
    </sheetView>
  </sheetViews>
  <sheetFormatPr defaultRowHeight="14.5" x14ac:dyDescent="0.35"/>
  <cols>
    <col min="2" max="2" width="13.26953125" customWidth="1"/>
    <col min="3" max="3" width="13.36328125" customWidth="1"/>
    <col min="4" max="4" width="12.6328125" customWidth="1"/>
    <col min="5" max="5" width="13.36328125" customWidth="1"/>
    <col min="6" max="6" width="12.90625" customWidth="1"/>
    <col min="8" max="8" width="11.54296875" bestFit="1" customWidth="1"/>
    <col min="9" max="9" width="13" bestFit="1" customWidth="1"/>
    <col min="10" max="10" width="9.90625" bestFit="1" customWidth="1"/>
    <col min="14" max="14" width="23.54296875" bestFit="1" customWidth="1"/>
  </cols>
  <sheetData>
    <row r="1" spans="1:10" x14ac:dyDescent="0.35">
      <c r="A1" s="287" t="s">
        <v>0</v>
      </c>
      <c r="B1" s="287"/>
      <c r="C1" s="287"/>
      <c r="D1" s="287"/>
      <c r="E1" s="287"/>
      <c r="F1" s="287"/>
      <c r="G1" s="287"/>
      <c r="H1" s="287"/>
      <c r="I1" s="287"/>
      <c r="J1" s="287"/>
    </row>
    <row r="2" spans="1:10" x14ac:dyDescent="0.35">
      <c r="A2" s="287" t="s">
        <v>1</v>
      </c>
      <c r="B2" s="287"/>
      <c r="C2" s="287"/>
      <c r="D2" s="287"/>
      <c r="E2" s="287"/>
      <c r="F2" s="287"/>
      <c r="G2" s="287"/>
      <c r="H2" s="287"/>
      <c r="I2" s="287"/>
      <c r="J2" s="287"/>
    </row>
    <row r="3" spans="1:10" x14ac:dyDescent="0.35">
      <c r="A3" s="12"/>
      <c r="B3" s="288"/>
      <c r="C3" s="288"/>
      <c r="D3" s="288"/>
      <c r="E3" s="288"/>
      <c r="F3" s="288"/>
      <c r="G3" s="288"/>
      <c r="H3" s="288"/>
      <c r="I3" s="288"/>
      <c r="J3" s="288"/>
    </row>
    <row r="4" spans="1:10" x14ac:dyDescent="0.35">
      <c r="A4" s="280" t="s">
        <v>209</v>
      </c>
      <c r="B4" s="280"/>
      <c r="C4" s="280"/>
      <c r="D4" s="280"/>
      <c r="E4" s="280"/>
      <c r="F4" s="280"/>
      <c r="G4" s="280"/>
      <c r="H4" s="280"/>
      <c r="I4" s="280"/>
      <c r="J4" s="280"/>
    </row>
    <row r="5" spans="1:10" x14ac:dyDescent="0.35">
      <c r="A5" s="280" t="s">
        <v>140</v>
      </c>
      <c r="B5" s="280"/>
      <c r="C5" s="280"/>
      <c r="D5" s="280"/>
      <c r="E5" s="280"/>
      <c r="F5" s="280"/>
      <c r="G5" s="280"/>
      <c r="H5" s="280"/>
      <c r="I5" s="280"/>
      <c r="J5" s="280"/>
    </row>
    <row r="6" spans="1:10" x14ac:dyDescent="0.35">
      <c r="A6" s="303"/>
      <c r="B6" s="303"/>
      <c r="C6" s="303"/>
      <c r="D6" s="303"/>
      <c r="E6" s="303"/>
      <c r="F6" s="303"/>
      <c r="G6" s="303"/>
      <c r="H6" s="303"/>
      <c r="I6" s="303"/>
      <c r="J6" s="303"/>
    </row>
    <row r="7" spans="1:10" x14ac:dyDescent="0.35">
      <c r="A7" s="287" t="s">
        <v>2</v>
      </c>
      <c r="B7" s="287"/>
      <c r="C7" s="287"/>
      <c r="D7" s="287"/>
      <c r="E7" s="287"/>
      <c r="F7" s="287"/>
      <c r="G7" s="287"/>
      <c r="H7" s="287"/>
      <c r="I7" s="287"/>
      <c r="J7" s="287"/>
    </row>
    <row r="8" spans="1:10" x14ac:dyDescent="0.35">
      <c r="A8" s="308"/>
      <c r="B8" s="308"/>
      <c r="C8" s="308"/>
      <c r="D8" s="308"/>
      <c r="E8" s="308"/>
      <c r="F8" s="308"/>
      <c r="G8" s="308"/>
      <c r="H8" s="308"/>
      <c r="I8" s="308"/>
      <c r="J8" s="308"/>
    </row>
    <row r="9" spans="1:10" x14ac:dyDescent="0.35">
      <c r="A9" s="57" t="s">
        <v>3</v>
      </c>
      <c r="B9" s="310" t="s">
        <v>4</v>
      </c>
      <c r="C9" s="310"/>
      <c r="D9" s="310"/>
      <c r="E9" s="310"/>
      <c r="F9" s="310"/>
      <c r="G9" s="311"/>
      <c r="H9" s="311"/>
      <c r="I9" s="311"/>
      <c r="J9" s="311"/>
    </row>
    <row r="10" spans="1:10" x14ac:dyDescent="0.35">
      <c r="A10" s="57" t="s">
        <v>5</v>
      </c>
      <c r="B10" s="310" t="s">
        <v>6</v>
      </c>
      <c r="C10" s="310"/>
      <c r="D10" s="310"/>
      <c r="E10" s="310"/>
      <c r="F10" s="310"/>
      <c r="G10" s="311" t="s">
        <v>411</v>
      </c>
      <c r="H10" s="311"/>
      <c r="I10" s="311"/>
      <c r="J10" s="311"/>
    </row>
    <row r="11" spans="1:10" x14ac:dyDescent="0.35">
      <c r="A11" s="57" t="s">
        <v>8</v>
      </c>
      <c r="B11" s="310" t="s">
        <v>9</v>
      </c>
      <c r="C11" s="310"/>
      <c r="D11" s="310"/>
      <c r="E11" s="310"/>
      <c r="F11" s="310"/>
      <c r="G11" s="297" t="s">
        <v>136</v>
      </c>
      <c r="H11" s="298"/>
      <c r="I11" s="298"/>
      <c r="J11" s="299"/>
    </row>
    <row r="12" spans="1:10" x14ac:dyDescent="0.35">
      <c r="A12" s="57" t="s">
        <v>10</v>
      </c>
      <c r="B12" s="310" t="s">
        <v>11</v>
      </c>
      <c r="C12" s="310"/>
      <c r="D12" s="310"/>
      <c r="E12" s="310"/>
      <c r="F12" s="310"/>
      <c r="G12" s="311" t="s">
        <v>12</v>
      </c>
      <c r="H12" s="311"/>
      <c r="I12" s="311"/>
      <c r="J12" s="311"/>
    </row>
    <row r="13" spans="1:10" x14ac:dyDescent="0.35">
      <c r="A13" s="308"/>
      <c r="B13" s="308"/>
      <c r="C13" s="308"/>
      <c r="D13" s="308"/>
      <c r="E13" s="308"/>
      <c r="F13" s="308"/>
      <c r="G13" s="308"/>
      <c r="H13" s="308"/>
      <c r="I13" s="308"/>
      <c r="J13" s="308"/>
    </row>
    <row r="14" spans="1:10" x14ac:dyDescent="0.35">
      <c r="A14" s="287" t="s">
        <v>13</v>
      </c>
      <c r="B14" s="287"/>
      <c r="C14" s="287"/>
      <c r="D14" s="287"/>
      <c r="E14" s="287"/>
      <c r="F14" s="287"/>
      <c r="G14" s="287"/>
      <c r="H14" s="287"/>
      <c r="I14" s="287"/>
      <c r="J14" s="287"/>
    </row>
    <row r="15" spans="1:10" x14ac:dyDescent="0.35">
      <c r="A15" s="308"/>
      <c r="B15" s="308"/>
      <c r="C15" s="308"/>
      <c r="D15" s="308"/>
      <c r="E15" s="308"/>
      <c r="F15" s="308"/>
      <c r="G15" s="308"/>
      <c r="H15" s="308"/>
      <c r="I15" s="308"/>
      <c r="J15" s="308"/>
    </row>
    <row r="16" spans="1:10" x14ac:dyDescent="0.35">
      <c r="A16" s="301" t="s">
        <v>14</v>
      </c>
      <c r="B16" s="301"/>
      <c r="C16" s="301"/>
      <c r="D16" s="311" t="s">
        <v>15</v>
      </c>
      <c r="E16" s="311"/>
      <c r="F16" s="311" t="s">
        <v>16</v>
      </c>
      <c r="G16" s="311"/>
      <c r="H16" s="311"/>
      <c r="I16" s="311"/>
      <c r="J16" s="311"/>
    </row>
    <row r="17" spans="1:10" x14ac:dyDescent="0.35">
      <c r="A17" s="304" t="s">
        <v>205</v>
      </c>
      <c r="B17" s="304"/>
      <c r="C17" s="304"/>
      <c r="D17" s="305" t="s">
        <v>18</v>
      </c>
      <c r="E17" s="306"/>
      <c r="F17" s="307">
        <v>2729.65</v>
      </c>
      <c r="G17" s="307"/>
      <c r="H17" s="307"/>
      <c r="I17" s="307"/>
      <c r="J17" s="307"/>
    </row>
    <row r="18" spans="1:10" x14ac:dyDescent="0.35">
      <c r="A18" s="308"/>
      <c r="B18" s="308"/>
      <c r="C18" s="308"/>
      <c r="D18" s="308"/>
      <c r="E18" s="308"/>
      <c r="F18" s="308"/>
      <c r="G18" s="308"/>
      <c r="H18" s="308"/>
      <c r="I18" s="308"/>
      <c r="J18" s="308"/>
    </row>
    <row r="19" spans="1:10" x14ac:dyDescent="0.35">
      <c r="A19" s="287" t="s">
        <v>19</v>
      </c>
      <c r="B19" s="287"/>
      <c r="C19" s="287"/>
      <c r="D19" s="287"/>
      <c r="E19" s="287"/>
      <c r="F19" s="287"/>
      <c r="G19" s="287"/>
      <c r="H19" s="287"/>
      <c r="I19" s="287"/>
      <c r="J19" s="287"/>
    </row>
    <row r="20" spans="1:10" x14ac:dyDescent="0.35">
      <c r="A20" s="12"/>
      <c r="B20" s="309"/>
      <c r="C20" s="309"/>
      <c r="D20" s="309"/>
      <c r="E20" s="309"/>
      <c r="F20" s="309"/>
      <c r="G20" s="309"/>
      <c r="H20" s="309"/>
      <c r="I20" s="309"/>
      <c r="J20" s="309"/>
    </row>
    <row r="21" spans="1:10" x14ac:dyDescent="0.35">
      <c r="A21" s="20" t="s">
        <v>20</v>
      </c>
      <c r="B21" s="300" t="s">
        <v>21</v>
      </c>
      <c r="C21" s="300"/>
      <c r="D21" s="300"/>
      <c r="E21" s="300"/>
      <c r="F21" s="300"/>
      <c r="G21" s="301" t="s">
        <v>29</v>
      </c>
      <c r="H21" s="301"/>
      <c r="I21" s="301"/>
      <c r="J21" s="301"/>
    </row>
    <row r="22" spans="1:10" x14ac:dyDescent="0.35">
      <c r="A22" s="20" t="s">
        <v>22</v>
      </c>
      <c r="B22" s="300" t="s">
        <v>23</v>
      </c>
      <c r="C22" s="300"/>
      <c r="D22" s="300"/>
      <c r="E22" s="300"/>
      <c r="F22" s="300"/>
      <c r="G22" s="301" t="s">
        <v>206</v>
      </c>
      <c r="H22" s="301"/>
      <c r="I22" s="301"/>
      <c r="J22" s="301"/>
    </row>
    <row r="23" spans="1:10" x14ac:dyDescent="0.35">
      <c r="A23" s="20" t="s">
        <v>25</v>
      </c>
      <c r="B23" s="300" t="s">
        <v>26</v>
      </c>
      <c r="C23" s="300"/>
      <c r="D23" s="300"/>
      <c r="E23" s="300"/>
      <c r="F23" s="300"/>
      <c r="G23" s="312">
        <v>1412.62</v>
      </c>
      <c r="H23" s="312"/>
      <c r="I23" s="312"/>
      <c r="J23" s="312"/>
    </row>
    <row r="24" spans="1:10" x14ac:dyDescent="0.35">
      <c r="A24" s="20" t="s">
        <v>27</v>
      </c>
      <c r="B24" s="300" t="s">
        <v>28</v>
      </c>
      <c r="C24" s="300"/>
      <c r="D24" s="300"/>
      <c r="E24" s="300"/>
      <c r="F24" s="300"/>
      <c r="G24" s="301" t="s">
        <v>207</v>
      </c>
      <c r="H24" s="301"/>
      <c r="I24" s="301"/>
      <c r="J24" s="301"/>
    </row>
    <row r="25" spans="1:10" x14ac:dyDescent="0.35">
      <c r="A25" s="20" t="s">
        <v>30</v>
      </c>
      <c r="B25" s="300" t="s">
        <v>31</v>
      </c>
      <c r="C25" s="300"/>
      <c r="D25" s="300"/>
      <c r="E25" s="300"/>
      <c r="F25" s="300"/>
      <c r="G25" s="302">
        <v>45292</v>
      </c>
      <c r="H25" s="302"/>
      <c r="I25" s="302"/>
      <c r="J25" s="302"/>
    </row>
    <row r="26" spans="1:10" x14ac:dyDescent="0.35">
      <c r="A26" s="319"/>
      <c r="B26" s="319"/>
      <c r="C26" s="319"/>
      <c r="D26" s="319"/>
      <c r="E26" s="319"/>
      <c r="F26" s="319"/>
      <c r="G26" s="319"/>
      <c r="H26" s="319"/>
      <c r="I26" s="319"/>
      <c r="J26" s="319"/>
    </row>
    <row r="27" spans="1:10" x14ac:dyDescent="0.35">
      <c r="A27" s="287" t="s">
        <v>32</v>
      </c>
      <c r="B27" s="287"/>
      <c r="C27" s="287"/>
      <c r="D27" s="287"/>
      <c r="E27" s="287"/>
      <c r="F27" s="287"/>
      <c r="G27" s="287"/>
      <c r="H27" s="287"/>
      <c r="I27" s="287"/>
      <c r="J27" s="287"/>
    </row>
    <row r="28" spans="1:10" x14ac:dyDescent="0.35">
      <c r="A28" s="12"/>
      <c r="B28" s="13"/>
      <c r="C28" s="13"/>
      <c r="D28" s="13"/>
      <c r="E28" s="13"/>
      <c r="F28" s="13"/>
      <c r="G28" s="13"/>
      <c r="H28" s="13"/>
      <c r="I28" s="13"/>
      <c r="J28" s="13"/>
    </row>
    <row r="29" spans="1:10" x14ac:dyDescent="0.35">
      <c r="A29" s="10">
        <v>1</v>
      </c>
      <c r="B29" s="322" t="s">
        <v>33</v>
      </c>
      <c r="C29" s="322"/>
      <c r="D29" s="322"/>
      <c r="E29" s="322"/>
      <c r="F29" s="322"/>
      <c r="G29" s="324" t="s">
        <v>34</v>
      </c>
      <c r="H29" s="324"/>
      <c r="I29" s="324"/>
      <c r="J29" s="324"/>
    </row>
    <row r="30" spans="1:10" x14ac:dyDescent="0.35">
      <c r="A30" s="14" t="s">
        <v>3</v>
      </c>
      <c r="B30" s="325" t="s">
        <v>35</v>
      </c>
      <c r="C30" s="325"/>
      <c r="D30" s="325"/>
      <c r="E30" s="325"/>
      <c r="F30" s="325"/>
      <c r="G30" s="321">
        <f>G23</f>
        <v>1412.62</v>
      </c>
      <c r="H30" s="321"/>
      <c r="I30" s="321"/>
      <c r="J30" s="321"/>
    </row>
    <row r="31" spans="1:10" x14ac:dyDescent="0.35">
      <c r="A31" s="14" t="s">
        <v>5</v>
      </c>
      <c r="B31" s="325" t="s">
        <v>36</v>
      </c>
      <c r="C31" s="325"/>
      <c r="D31" s="325"/>
      <c r="E31" s="325"/>
      <c r="F31" s="325"/>
      <c r="G31" s="321">
        <f>G30*30%</f>
        <v>423.78599999999994</v>
      </c>
      <c r="H31" s="321"/>
      <c r="I31" s="321"/>
      <c r="J31" s="321"/>
    </row>
    <row r="32" spans="1:10" x14ac:dyDescent="0.35">
      <c r="A32" s="14" t="s">
        <v>8</v>
      </c>
      <c r="B32" s="313" t="s">
        <v>37</v>
      </c>
      <c r="C32" s="314"/>
      <c r="D32" s="314"/>
      <c r="E32" s="314"/>
      <c r="F32" s="315"/>
      <c r="G32" s="316">
        <f>1412*0%</f>
        <v>0</v>
      </c>
      <c r="H32" s="317"/>
      <c r="I32" s="317"/>
      <c r="J32" s="318"/>
    </row>
    <row r="33" spans="1:10" x14ac:dyDescent="0.35">
      <c r="A33" s="14" t="s">
        <v>10</v>
      </c>
      <c r="B33" s="320" t="s">
        <v>38</v>
      </c>
      <c r="C33" s="320"/>
      <c r="D33" s="320"/>
      <c r="E33" s="320"/>
      <c r="F33" s="320"/>
      <c r="G33" s="321">
        <v>0</v>
      </c>
      <c r="H33" s="321"/>
      <c r="I33" s="321"/>
      <c r="J33" s="321"/>
    </row>
    <row r="34" spans="1:10" x14ac:dyDescent="0.35">
      <c r="A34" s="322" t="s">
        <v>39</v>
      </c>
      <c r="B34" s="322"/>
      <c r="C34" s="322"/>
      <c r="D34" s="322"/>
      <c r="E34" s="322"/>
      <c r="F34" s="322"/>
      <c r="G34" s="323">
        <f>SUM(G30:J33)</f>
        <v>1836.4059999999999</v>
      </c>
      <c r="H34" s="323"/>
      <c r="I34" s="323"/>
      <c r="J34" s="323"/>
    </row>
    <row r="35" spans="1:10" x14ac:dyDescent="0.35">
      <c r="A35" s="12"/>
      <c r="B35" s="288"/>
      <c r="C35" s="288"/>
      <c r="D35" s="288"/>
      <c r="E35" s="288"/>
      <c r="F35" s="288"/>
      <c r="G35" s="288"/>
      <c r="H35" s="288"/>
      <c r="I35" s="288"/>
      <c r="J35" s="288"/>
    </row>
    <row r="36" spans="1:10" x14ac:dyDescent="0.35">
      <c r="A36" s="287" t="s">
        <v>40</v>
      </c>
      <c r="B36" s="287"/>
      <c r="C36" s="287"/>
      <c r="D36" s="287"/>
      <c r="E36" s="287"/>
      <c r="F36" s="287"/>
      <c r="G36" s="287"/>
      <c r="H36" s="287"/>
      <c r="I36" s="287"/>
      <c r="J36" s="287"/>
    </row>
    <row r="37" spans="1:10" x14ac:dyDescent="0.35">
      <c r="A37" s="12"/>
      <c r="B37" s="288"/>
      <c r="C37" s="288"/>
      <c r="D37" s="288"/>
      <c r="E37" s="288"/>
      <c r="F37" s="288"/>
      <c r="G37" s="288"/>
      <c r="H37" s="288"/>
      <c r="I37" s="288"/>
      <c r="J37" s="288"/>
    </row>
    <row r="38" spans="1:10" x14ac:dyDescent="0.35">
      <c r="A38" s="326" t="s">
        <v>41</v>
      </c>
      <c r="B38" s="326"/>
      <c r="C38" s="326"/>
      <c r="D38" s="326"/>
      <c r="E38" s="326"/>
      <c r="F38" s="326"/>
      <c r="G38" s="326"/>
      <c r="H38" s="326"/>
      <c r="I38" s="326"/>
      <c r="J38" s="326"/>
    </row>
    <row r="39" spans="1:10" x14ac:dyDescent="0.35">
      <c r="A39" s="327" t="s">
        <v>42</v>
      </c>
      <c r="B39" s="327"/>
      <c r="C39" s="327"/>
      <c r="D39" s="327"/>
      <c r="E39" s="327"/>
      <c r="F39" s="327"/>
      <c r="G39" s="328">
        <f>G34</f>
        <v>1836.4059999999999</v>
      </c>
      <c r="H39" s="328"/>
      <c r="I39" s="328"/>
      <c r="J39" s="328"/>
    </row>
    <row r="40" spans="1:10" x14ac:dyDescent="0.35">
      <c r="A40" s="12"/>
      <c r="B40" s="309"/>
      <c r="C40" s="309"/>
      <c r="D40" s="309"/>
      <c r="E40" s="309"/>
      <c r="F40" s="309"/>
      <c r="G40" s="309"/>
      <c r="H40" s="309"/>
      <c r="I40" s="309"/>
      <c r="J40" s="309"/>
    </row>
    <row r="41" spans="1:10" x14ac:dyDescent="0.35">
      <c r="A41" s="20" t="s">
        <v>43</v>
      </c>
      <c r="B41" s="311" t="s">
        <v>44</v>
      </c>
      <c r="C41" s="311"/>
      <c r="D41" s="311"/>
      <c r="E41" s="311"/>
      <c r="F41" s="311"/>
      <c r="G41" s="311" t="s">
        <v>45</v>
      </c>
      <c r="H41" s="311"/>
      <c r="I41" s="322" t="s">
        <v>34</v>
      </c>
      <c r="J41" s="322"/>
    </row>
    <row r="42" spans="1:10" x14ac:dyDescent="0.35">
      <c r="A42" s="23" t="s">
        <v>3</v>
      </c>
      <c r="B42" s="300" t="s">
        <v>46</v>
      </c>
      <c r="C42" s="300"/>
      <c r="D42" s="300"/>
      <c r="E42" s="300"/>
      <c r="F42" s="300"/>
      <c r="G42" s="331">
        <v>8.3299999999999999E-2</v>
      </c>
      <c r="H42" s="331"/>
      <c r="I42" s="330">
        <f>G39*G42</f>
        <v>152.97261979999999</v>
      </c>
      <c r="J42" s="330"/>
    </row>
    <row r="43" spans="1:10" x14ac:dyDescent="0.35">
      <c r="A43" s="23" t="s">
        <v>5</v>
      </c>
      <c r="B43" s="300" t="s">
        <v>47</v>
      </c>
      <c r="C43" s="300"/>
      <c r="D43" s="300"/>
      <c r="E43" s="300"/>
      <c r="F43" s="300"/>
      <c r="G43" s="329">
        <v>2.7799999999999998E-2</v>
      </c>
      <c r="H43" s="329"/>
      <c r="I43" s="330">
        <f>G39*G43</f>
        <v>51.052086799999998</v>
      </c>
      <c r="J43" s="330"/>
    </row>
    <row r="44" spans="1:10" x14ac:dyDescent="0.35">
      <c r="A44" s="311" t="s">
        <v>39</v>
      </c>
      <c r="B44" s="311"/>
      <c r="C44" s="311"/>
      <c r="D44" s="311"/>
      <c r="E44" s="311"/>
      <c r="F44" s="311"/>
      <c r="G44" s="331">
        <f>SUM(G42:H43)</f>
        <v>0.1111</v>
      </c>
      <c r="H44" s="304"/>
      <c r="I44" s="332">
        <f>SUM(I42:J43)</f>
        <v>204.0247066</v>
      </c>
      <c r="J44" s="332"/>
    </row>
    <row r="45" spans="1:10" x14ac:dyDescent="0.35">
      <c r="A45" s="288"/>
      <c r="B45" s="288"/>
      <c r="C45" s="288"/>
      <c r="D45" s="288"/>
      <c r="E45" s="288"/>
      <c r="F45" s="288"/>
      <c r="G45" s="288"/>
      <c r="H45" s="288"/>
      <c r="I45" s="288"/>
      <c r="J45" s="288"/>
    </row>
    <row r="46" spans="1:10" x14ac:dyDescent="0.35">
      <c r="A46" s="334" t="s">
        <v>48</v>
      </c>
      <c r="B46" s="334"/>
      <c r="C46" s="334"/>
      <c r="D46" s="334"/>
      <c r="E46" s="334"/>
      <c r="F46" s="334"/>
      <c r="G46" s="334"/>
      <c r="H46" s="334"/>
      <c r="I46" s="334"/>
      <c r="J46" s="334"/>
    </row>
    <row r="47" spans="1:10" x14ac:dyDescent="0.35">
      <c r="A47" s="335" t="s">
        <v>49</v>
      </c>
      <c r="B47" s="335"/>
      <c r="C47" s="335"/>
      <c r="D47" s="335"/>
      <c r="E47" s="335"/>
      <c r="F47" s="335"/>
      <c r="G47" s="336">
        <f>G34+I44</f>
        <v>2040.4307065999999</v>
      </c>
      <c r="H47" s="336"/>
      <c r="I47" s="336"/>
      <c r="J47" s="336"/>
    </row>
    <row r="48" spans="1:10" x14ac:dyDescent="0.35">
      <c r="A48" s="337"/>
      <c r="B48" s="337"/>
      <c r="C48" s="337"/>
      <c r="D48" s="337"/>
      <c r="E48" s="337"/>
      <c r="F48" s="337"/>
      <c r="G48" s="337"/>
      <c r="H48" s="337"/>
      <c r="I48" s="337"/>
      <c r="J48" s="337"/>
    </row>
    <row r="49" spans="1:10" x14ac:dyDescent="0.35">
      <c r="A49" s="28" t="s">
        <v>50</v>
      </c>
      <c r="B49" s="338" t="s">
        <v>51</v>
      </c>
      <c r="C49" s="338"/>
      <c r="D49" s="338"/>
      <c r="E49" s="338"/>
      <c r="F49" s="338"/>
      <c r="G49" s="339" t="s">
        <v>45</v>
      </c>
      <c r="H49" s="339"/>
      <c r="I49" s="340" t="s">
        <v>34</v>
      </c>
      <c r="J49" s="340"/>
    </row>
    <row r="50" spans="1:10" x14ac:dyDescent="0.35">
      <c r="A50" s="23" t="s">
        <v>3</v>
      </c>
      <c r="B50" s="300" t="s">
        <v>52</v>
      </c>
      <c r="C50" s="300"/>
      <c r="D50" s="300"/>
      <c r="E50" s="300"/>
      <c r="F50" s="300"/>
      <c r="G50" s="331">
        <v>0.2</v>
      </c>
      <c r="H50" s="331"/>
      <c r="I50" s="333">
        <f>G47*G50</f>
        <v>408.08614132000002</v>
      </c>
      <c r="J50" s="333"/>
    </row>
    <row r="51" spans="1:10" x14ac:dyDescent="0.35">
      <c r="A51" s="23" t="s">
        <v>5</v>
      </c>
      <c r="B51" s="300" t="s">
        <v>53</v>
      </c>
      <c r="C51" s="300"/>
      <c r="D51" s="300"/>
      <c r="E51" s="300"/>
      <c r="F51" s="300"/>
      <c r="G51" s="331">
        <v>2.5000000000000001E-2</v>
      </c>
      <c r="H51" s="331"/>
      <c r="I51" s="333">
        <f>G47*G51</f>
        <v>51.010767665000003</v>
      </c>
      <c r="J51" s="333"/>
    </row>
    <row r="52" spans="1:10" x14ac:dyDescent="0.35">
      <c r="A52" s="23" t="s">
        <v>8</v>
      </c>
      <c r="B52" s="341" t="s">
        <v>54</v>
      </c>
      <c r="C52" s="341"/>
      <c r="D52" s="341"/>
      <c r="E52" s="341"/>
      <c r="F52" s="341"/>
      <c r="G52" s="342">
        <v>0.03</v>
      </c>
      <c r="H52" s="343"/>
      <c r="I52" s="333">
        <f>G47*G52</f>
        <v>61.212921197999997</v>
      </c>
      <c r="J52" s="333"/>
    </row>
    <row r="53" spans="1:10" x14ac:dyDescent="0.35">
      <c r="A53" s="23" t="s">
        <v>10</v>
      </c>
      <c r="B53" s="300" t="s">
        <v>55</v>
      </c>
      <c r="C53" s="300"/>
      <c r="D53" s="300"/>
      <c r="E53" s="300"/>
      <c r="F53" s="300"/>
      <c r="G53" s="331">
        <v>1.4999999999999999E-2</v>
      </c>
      <c r="H53" s="331"/>
      <c r="I53" s="333">
        <f>G47*G53</f>
        <v>30.606460598999998</v>
      </c>
      <c r="J53" s="333"/>
    </row>
    <row r="54" spans="1:10" x14ac:dyDescent="0.35">
      <c r="A54" s="23" t="s">
        <v>56</v>
      </c>
      <c r="B54" s="300" t="s">
        <v>57</v>
      </c>
      <c r="C54" s="300"/>
      <c r="D54" s="300"/>
      <c r="E54" s="300"/>
      <c r="F54" s="300"/>
      <c r="G54" s="331">
        <v>0.01</v>
      </c>
      <c r="H54" s="331"/>
      <c r="I54" s="333">
        <f>G47*G54</f>
        <v>20.404307065999998</v>
      </c>
      <c r="J54" s="333"/>
    </row>
    <row r="55" spans="1:10" x14ac:dyDescent="0.35">
      <c r="A55" s="23" t="s">
        <v>58</v>
      </c>
      <c r="B55" s="300" t="s">
        <v>59</v>
      </c>
      <c r="C55" s="300"/>
      <c r="D55" s="300"/>
      <c r="E55" s="300"/>
      <c r="F55" s="300"/>
      <c r="G55" s="331">
        <v>6.0000000000000001E-3</v>
      </c>
      <c r="H55" s="331"/>
      <c r="I55" s="333">
        <f>G47*G55</f>
        <v>12.242584239599999</v>
      </c>
      <c r="J55" s="333"/>
    </row>
    <row r="56" spans="1:10" x14ac:dyDescent="0.35">
      <c r="A56" s="23" t="s">
        <v>60</v>
      </c>
      <c r="B56" s="300" t="s">
        <v>61</v>
      </c>
      <c r="C56" s="300"/>
      <c r="D56" s="300"/>
      <c r="E56" s="300"/>
      <c r="F56" s="300"/>
      <c r="G56" s="331">
        <v>2E-3</v>
      </c>
      <c r="H56" s="331"/>
      <c r="I56" s="333">
        <f>G47*G56</f>
        <v>4.0808614132000001</v>
      </c>
      <c r="J56" s="333"/>
    </row>
    <row r="57" spans="1:10" x14ac:dyDescent="0.35">
      <c r="A57" s="23" t="s">
        <v>62</v>
      </c>
      <c r="B57" s="300" t="s">
        <v>63</v>
      </c>
      <c r="C57" s="300"/>
      <c r="D57" s="300"/>
      <c r="E57" s="300"/>
      <c r="F57" s="300"/>
      <c r="G57" s="331">
        <v>0.08</v>
      </c>
      <c r="H57" s="331"/>
      <c r="I57" s="333">
        <f>G47*G57</f>
        <v>163.23445652799998</v>
      </c>
      <c r="J57" s="333"/>
    </row>
    <row r="58" spans="1:10" x14ac:dyDescent="0.35">
      <c r="A58" s="311" t="s">
        <v>64</v>
      </c>
      <c r="B58" s="311"/>
      <c r="C58" s="311"/>
      <c r="D58" s="311"/>
      <c r="E58" s="311"/>
      <c r="F58" s="311"/>
      <c r="G58" s="344">
        <f>SUM(G50:H57)</f>
        <v>0.36800000000000005</v>
      </c>
      <c r="H58" s="311"/>
      <c r="I58" s="345">
        <f>SUM(I50:J57)</f>
        <v>750.87850002879998</v>
      </c>
      <c r="J58" s="345"/>
    </row>
    <row r="59" spans="1:10" x14ac:dyDescent="0.35">
      <c r="A59" s="319"/>
      <c r="B59" s="319"/>
      <c r="C59" s="319"/>
      <c r="D59" s="319"/>
      <c r="E59" s="319"/>
      <c r="F59" s="319"/>
      <c r="G59" s="319"/>
      <c r="H59" s="319"/>
      <c r="I59" s="319"/>
      <c r="J59" s="319"/>
    </row>
    <row r="60" spans="1:10" x14ac:dyDescent="0.35">
      <c r="A60" s="326" t="s">
        <v>65</v>
      </c>
      <c r="B60" s="326"/>
      <c r="C60" s="326"/>
      <c r="D60" s="326"/>
      <c r="E60" s="326"/>
      <c r="F60" s="326"/>
      <c r="G60" s="326"/>
      <c r="H60" s="326"/>
      <c r="I60" s="326"/>
      <c r="J60" s="326"/>
    </row>
    <row r="61" spans="1:10" x14ac:dyDescent="0.35">
      <c r="A61" s="12"/>
      <c r="B61" s="309"/>
      <c r="C61" s="309"/>
      <c r="D61" s="309"/>
      <c r="E61" s="309"/>
      <c r="F61" s="309"/>
      <c r="G61" s="309"/>
      <c r="H61" s="309"/>
      <c r="I61" s="309"/>
      <c r="J61" s="309"/>
    </row>
    <row r="62" spans="1:10" x14ac:dyDescent="0.35">
      <c r="A62" s="21" t="s">
        <v>66</v>
      </c>
      <c r="B62" s="347" t="s">
        <v>67</v>
      </c>
      <c r="C62" s="347"/>
      <c r="D62" s="347"/>
      <c r="E62" s="347"/>
      <c r="F62" s="347"/>
      <c r="G62" s="295" t="s">
        <v>138</v>
      </c>
      <c r="H62" s="296"/>
      <c r="I62" s="353" t="s">
        <v>34</v>
      </c>
      <c r="J62" s="354"/>
    </row>
    <row r="63" spans="1:10" x14ac:dyDescent="0.35">
      <c r="A63" s="22" t="s">
        <v>3</v>
      </c>
      <c r="B63" s="346" t="s">
        <v>68</v>
      </c>
      <c r="C63" s="346"/>
      <c r="D63" s="346"/>
      <c r="E63" s="346"/>
      <c r="F63" s="346"/>
      <c r="G63" s="291">
        <v>0.06</v>
      </c>
      <c r="H63" s="292"/>
      <c r="I63" s="281">
        <f>(2*3.5*21.25)-(G63*G30)</f>
        <v>63.992800000000017</v>
      </c>
      <c r="J63" s="283"/>
    </row>
    <row r="64" spans="1:10" x14ac:dyDescent="0.35">
      <c r="A64" s="22" t="s">
        <v>5</v>
      </c>
      <c r="B64" s="346" t="s">
        <v>69</v>
      </c>
      <c r="C64" s="346"/>
      <c r="D64" s="346"/>
      <c r="E64" s="346"/>
      <c r="F64" s="346"/>
      <c r="G64" s="291">
        <v>3.5000000000000003E-2</v>
      </c>
      <c r="H64" s="292"/>
      <c r="I64" s="352">
        <f>(20*22)-(20*22*G64)</f>
        <v>424.6</v>
      </c>
      <c r="J64" s="352"/>
    </row>
    <row r="65" spans="1:10" x14ac:dyDescent="0.35">
      <c r="A65" s="22" t="s">
        <v>8</v>
      </c>
      <c r="B65" s="346" t="s">
        <v>70</v>
      </c>
      <c r="C65" s="346"/>
      <c r="D65" s="346"/>
      <c r="E65" s="346"/>
      <c r="F65" s="346"/>
      <c r="G65" s="289" t="s">
        <v>139</v>
      </c>
      <c r="H65" s="290"/>
      <c r="I65" s="352">
        <v>99.84</v>
      </c>
      <c r="J65" s="352"/>
    </row>
    <row r="66" spans="1:10" x14ac:dyDescent="0.35">
      <c r="A66" s="22" t="s">
        <v>10</v>
      </c>
      <c r="B66" s="346" t="s">
        <v>71</v>
      </c>
      <c r="C66" s="346"/>
      <c r="D66" s="346"/>
      <c r="E66" s="346"/>
      <c r="F66" s="346"/>
      <c r="G66" s="289" t="s">
        <v>139</v>
      </c>
      <c r="H66" s="290"/>
      <c r="I66" s="352">
        <v>5</v>
      </c>
      <c r="J66" s="352"/>
    </row>
    <row r="67" spans="1:10" x14ac:dyDescent="0.35">
      <c r="A67" s="22" t="s">
        <v>56</v>
      </c>
      <c r="B67" s="346" t="s">
        <v>72</v>
      </c>
      <c r="C67" s="346"/>
      <c r="D67" s="346"/>
      <c r="E67" s="346"/>
      <c r="F67" s="346"/>
      <c r="G67" s="289" t="s">
        <v>139</v>
      </c>
      <c r="H67" s="290"/>
      <c r="I67" s="352">
        <v>10</v>
      </c>
      <c r="J67" s="352"/>
    </row>
    <row r="68" spans="1:10" x14ac:dyDescent="0.35">
      <c r="A68" s="22" t="s">
        <v>58</v>
      </c>
      <c r="B68" s="346" t="s">
        <v>73</v>
      </c>
      <c r="C68" s="346"/>
      <c r="D68" s="346"/>
      <c r="E68" s="346"/>
      <c r="F68" s="346"/>
      <c r="G68" s="289" t="s">
        <v>139</v>
      </c>
      <c r="H68" s="290"/>
      <c r="I68" s="352">
        <v>8</v>
      </c>
      <c r="J68" s="352"/>
    </row>
    <row r="69" spans="1:10" x14ac:dyDescent="0.35">
      <c r="A69" s="22" t="s">
        <v>60</v>
      </c>
      <c r="B69" s="349" t="s">
        <v>74</v>
      </c>
      <c r="C69" s="350"/>
      <c r="D69" s="350"/>
      <c r="E69" s="350"/>
      <c r="F69" s="351"/>
      <c r="G69" s="293">
        <v>2.6069999999999999E-2</v>
      </c>
      <c r="H69" s="294"/>
      <c r="I69" s="352">
        <f xml:space="preserve"> (282.5*4*G69)/24</f>
        <v>1.2274624999999999</v>
      </c>
      <c r="J69" s="352"/>
    </row>
    <row r="70" spans="1:10" x14ac:dyDescent="0.35">
      <c r="A70" s="22" t="s">
        <v>62</v>
      </c>
      <c r="B70" s="349" t="s">
        <v>75</v>
      </c>
      <c r="C70" s="350"/>
      <c r="D70" s="350"/>
      <c r="E70" s="350"/>
      <c r="F70" s="351"/>
      <c r="G70" s="291">
        <v>1.0416E-2</v>
      </c>
      <c r="H70" s="292"/>
      <c r="I70" s="352">
        <f>((1412.62)*G70)/24</f>
        <v>0.61307707999999994</v>
      </c>
      <c r="J70" s="352"/>
    </row>
    <row r="71" spans="1:10" x14ac:dyDescent="0.35">
      <c r="A71" s="22" t="s">
        <v>20</v>
      </c>
      <c r="B71" s="300" t="s">
        <v>38</v>
      </c>
      <c r="C71" s="300"/>
      <c r="D71" s="300"/>
      <c r="E71" s="300"/>
      <c r="F71" s="300"/>
      <c r="G71" s="289" t="s">
        <v>139</v>
      </c>
      <c r="H71" s="290"/>
      <c r="I71" s="321">
        <v>0</v>
      </c>
      <c r="J71" s="321"/>
    </row>
    <row r="72" spans="1:10" x14ac:dyDescent="0.35">
      <c r="A72" s="355" t="s">
        <v>39</v>
      </c>
      <c r="B72" s="356"/>
      <c r="C72" s="356"/>
      <c r="D72" s="356"/>
      <c r="E72" s="356"/>
      <c r="F72" s="356"/>
      <c r="G72" s="356"/>
      <c r="H72" s="357"/>
      <c r="I72" s="323">
        <f>SUM(I63:J71)</f>
        <v>613.27333958000008</v>
      </c>
      <c r="J72" s="323"/>
    </row>
    <row r="73" spans="1:10" x14ac:dyDescent="0.35">
      <c r="A73" s="348"/>
      <c r="B73" s="348"/>
      <c r="C73" s="348"/>
      <c r="D73" s="348"/>
      <c r="E73" s="348"/>
      <c r="F73" s="348"/>
      <c r="G73" s="348"/>
      <c r="H73" s="348"/>
      <c r="I73" s="348"/>
      <c r="J73" s="348"/>
    </row>
    <row r="74" spans="1:10" x14ac:dyDescent="0.35">
      <c r="A74" s="326" t="s">
        <v>76</v>
      </c>
      <c r="B74" s="326"/>
      <c r="C74" s="326"/>
      <c r="D74" s="326"/>
      <c r="E74" s="326"/>
      <c r="F74" s="326"/>
      <c r="G74" s="326"/>
      <c r="H74" s="326"/>
      <c r="I74" s="326"/>
      <c r="J74" s="326"/>
    </row>
    <row r="75" spans="1:10" x14ac:dyDescent="0.35">
      <c r="A75" s="358"/>
      <c r="B75" s="358"/>
      <c r="C75" s="358"/>
      <c r="D75" s="358"/>
      <c r="E75" s="358"/>
      <c r="F75" s="358"/>
      <c r="G75" s="358"/>
      <c r="H75" s="358"/>
      <c r="I75" s="358"/>
      <c r="J75" s="358"/>
    </row>
    <row r="76" spans="1:10" x14ac:dyDescent="0.35">
      <c r="A76" s="20">
        <v>2</v>
      </c>
      <c r="B76" s="311" t="s">
        <v>77</v>
      </c>
      <c r="C76" s="311"/>
      <c r="D76" s="311"/>
      <c r="E76" s="311"/>
      <c r="F76" s="311"/>
      <c r="G76" s="311" t="s">
        <v>34</v>
      </c>
      <c r="H76" s="311"/>
      <c r="I76" s="311"/>
      <c r="J76" s="311"/>
    </row>
    <row r="77" spans="1:10" x14ac:dyDescent="0.35">
      <c r="A77" s="23" t="s">
        <v>43</v>
      </c>
      <c r="B77" s="300" t="s">
        <v>44</v>
      </c>
      <c r="C77" s="300"/>
      <c r="D77" s="300"/>
      <c r="E77" s="300"/>
      <c r="F77" s="300"/>
      <c r="G77" s="321">
        <f>I44</f>
        <v>204.0247066</v>
      </c>
      <c r="H77" s="321"/>
      <c r="I77" s="321"/>
      <c r="J77" s="321"/>
    </row>
    <row r="78" spans="1:10" x14ac:dyDescent="0.35">
      <c r="A78" s="23" t="s">
        <v>50</v>
      </c>
      <c r="B78" s="300" t="s">
        <v>51</v>
      </c>
      <c r="C78" s="300"/>
      <c r="D78" s="300"/>
      <c r="E78" s="300"/>
      <c r="F78" s="300"/>
      <c r="G78" s="321">
        <f>I58</f>
        <v>750.87850002879998</v>
      </c>
      <c r="H78" s="321"/>
      <c r="I78" s="321"/>
      <c r="J78" s="321"/>
    </row>
    <row r="79" spans="1:10" x14ac:dyDescent="0.35">
      <c r="A79" s="23" t="s">
        <v>66</v>
      </c>
      <c r="B79" s="300" t="s">
        <v>67</v>
      </c>
      <c r="C79" s="300"/>
      <c r="D79" s="300"/>
      <c r="E79" s="300"/>
      <c r="F79" s="300"/>
      <c r="G79" s="321">
        <f>I72</f>
        <v>613.27333958000008</v>
      </c>
      <c r="H79" s="321"/>
      <c r="I79" s="321"/>
      <c r="J79" s="321"/>
    </row>
    <row r="80" spans="1:10" x14ac:dyDescent="0.35">
      <c r="A80" s="311" t="s">
        <v>39</v>
      </c>
      <c r="B80" s="311"/>
      <c r="C80" s="311"/>
      <c r="D80" s="311"/>
      <c r="E80" s="311"/>
      <c r="F80" s="311"/>
      <c r="G80" s="323">
        <f>SUM(G77:J79)</f>
        <v>1568.1765462088001</v>
      </c>
      <c r="H80" s="323"/>
      <c r="I80" s="323"/>
      <c r="J80" s="323"/>
    </row>
    <row r="81" spans="1:10" x14ac:dyDescent="0.35">
      <c r="A81" s="319"/>
      <c r="B81" s="319"/>
      <c r="C81" s="319"/>
      <c r="D81" s="319"/>
      <c r="E81" s="319"/>
      <c r="F81" s="319"/>
      <c r="G81" s="319"/>
      <c r="H81" s="319"/>
      <c r="I81" s="319"/>
      <c r="J81" s="319"/>
    </row>
    <row r="82" spans="1:10" x14ac:dyDescent="0.35">
      <c r="A82" s="303"/>
      <c r="B82" s="303"/>
      <c r="C82" s="303"/>
      <c r="D82" s="303"/>
      <c r="E82" s="303"/>
      <c r="F82" s="303"/>
      <c r="G82" s="303"/>
      <c r="H82" s="303"/>
      <c r="I82" s="303"/>
      <c r="J82" s="303"/>
    </row>
    <row r="83" spans="1:10" x14ac:dyDescent="0.35">
      <c r="A83" s="287" t="s">
        <v>78</v>
      </c>
      <c r="B83" s="287"/>
      <c r="C83" s="287"/>
      <c r="D83" s="287"/>
      <c r="E83" s="287"/>
      <c r="F83" s="287"/>
      <c r="G83" s="287"/>
      <c r="H83" s="287"/>
      <c r="I83" s="287"/>
      <c r="J83" s="287"/>
    </row>
    <row r="84" spans="1:10" x14ac:dyDescent="0.35">
      <c r="A84" s="361" t="s">
        <v>79</v>
      </c>
      <c r="B84" s="361"/>
      <c r="C84" s="361"/>
      <c r="D84" s="361"/>
      <c r="E84" s="361"/>
      <c r="F84" s="361"/>
      <c r="G84" s="362">
        <f>G34</f>
        <v>1836.4059999999999</v>
      </c>
      <c r="H84" s="362"/>
      <c r="I84" s="362"/>
      <c r="J84" s="362"/>
    </row>
    <row r="85" spans="1:10" x14ac:dyDescent="0.35">
      <c r="A85" s="363"/>
      <c r="B85" s="363"/>
      <c r="C85" s="363"/>
      <c r="D85" s="363"/>
      <c r="E85" s="363"/>
      <c r="F85" s="363"/>
      <c r="G85" s="309"/>
      <c r="H85" s="309"/>
      <c r="I85" s="309"/>
      <c r="J85" s="309"/>
    </row>
    <row r="86" spans="1:10" x14ac:dyDescent="0.35">
      <c r="A86" s="10">
        <v>3</v>
      </c>
      <c r="B86" s="322" t="s">
        <v>80</v>
      </c>
      <c r="C86" s="322"/>
      <c r="D86" s="322"/>
      <c r="E86" s="322"/>
      <c r="F86" s="322"/>
      <c r="G86" s="364" t="s">
        <v>45</v>
      </c>
      <c r="H86" s="364"/>
      <c r="I86" s="322" t="s">
        <v>34</v>
      </c>
      <c r="J86" s="322"/>
    </row>
    <row r="87" spans="1:10" x14ac:dyDescent="0.35">
      <c r="A87" s="14" t="s">
        <v>3</v>
      </c>
      <c r="B87" s="359" t="s">
        <v>81</v>
      </c>
      <c r="C87" s="359"/>
      <c r="D87" s="359"/>
      <c r="E87" s="359"/>
      <c r="F87" s="359"/>
      <c r="G87" s="30">
        <v>0.05</v>
      </c>
      <c r="H87" s="24">
        <f>(1/12)*G87</f>
        <v>4.1666666666666666E-3</v>
      </c>
      <c r="I87" s="333">
        <f>G84*H87</f>
        <v>7.6516916666666663</v>
      </c>
      <c r="J87" s="333"/>
    </row>
    <row r="88" spans="1:10" x14ac:dyDescent="0.35">
      <c r="A88" s="14" t="s">
        <v>5</v>
      </c>
      <c r="B88" s="359" t="s">
        <v>82</v>
      </c>
      <c r="C88" s="359"/>
      <c r="D88" s="359"/>
      <c r="E88" s="359"/>
      <c r="F88" s="359"/>
      <c r="G88" s="329">
        <f>H87*0.08</f>
        <v>3.3333333333333332E-4</v>
      </c>
      <c r="H88" s="329"/>
      <c r="I88" s="360">
        <f>G84*G88</f>
        <v>0.61213533333333325</v>
      </c>
      <c r="J88" s="360"/>
    </row>
    <row r="89" spans="1:10" x14ac:dyDescent="0.35">
      <c r="A89" s="14" t="s">
        <v>8</v>
      </c>
      <c r="B89" s="359" t="s">
        <v>203</v>
      </c>
      <c r="C89" s="359"/>
      <c r="D89" s="359"/>
      <c r="E89" s="359"/>
      <c r="F89" s="359"/>
      <c r="G89" s="30">
        <v>0.9</v>
      </c>
      <c r="H89" s="24">
        <f>(1+2/12+(1/3*1/12))*0.08*0.4*G89</f>
        <v>3.4400000000000007E-2</v>
      </c>
      <c r="I89" s="365">
        <f>G84*H89</f>
        <v>63.172366400000008</v>
      </c>
      <c r="J89" s="366"/>
    </row>
    <row r="90" spans="1:10" x14ac:dyDescent="0.35">
      <c r="A90" s="14" t="s">
        <v>10</v>
      </c>
      <c r="B90" s="359" t="s">
        <v>83</v>
      </c>
      <c r="C90" s="359"/>
      <c r="D90" s="359"/>
      <c r="E90" s="359"/>
      <c r="F90" s="359"/>
      <c r="G90" s="329">
        <f>((7/30) + (7/30*0.1))/ 24</f>
        <v>1.0694444444444444E-2</v>
      </c>
      <c r="H90" s="329"/>
      <c r="I90" s="365">
        <f>G84*G90</f>
        <v>19.639341944444443</v>
      </c>
      <c r="J90" s="366"/>
    </row>
    <row r="91" spans="1:10" x14ac:dyDescent="0.35">
      <c r="A91" s="14" t="s">
        <v>56</v>
      </c>
      <c r="B91" s="359" t="s">
        <v>84</v>
      </c>
      <c r="C91" s="359"/>
      <c r="D91" s="359"/>
      <c r="E91" s="359"/>
      <c r="F91" s="359"/>
      <c r="G91" s="329">
        <f>G90*G58</f>
        <v>3.9355555555555559E-3</v>
      </c>
      <c r="H91" s="329"/>
      <c r="I91" s="365">
        <f>G84*G91</f>
        <v>7.2272778355555563</v>
      </c>
      <c r="J91" s="366"/>
    </row>
    <row r="92" spans="1:10" x14ac:dyDescent="0.35">
      <c r="A92" s="14" t="s">
        <v>58</v>
      </c>
      <c r="B92" s="359" t="s">
        <v>204</v>
      </c>
      <c r="C92" s="359"/>
      <c r="D92" s="359"/>
      <c r="E92" s="359"/>
      <c r="F92" s="359"/>
      <c r="G92" s="367">
        <f>G90*0.08*0.4</f>
        <v>3.4222222222222228E-4</v>
      </c>
      <c r="H92" s="367"/>
      <c r="I92" s="368">
        <f>G84*G92</f>
        <v>0.62845894222222232</v>
      </c>
      <c r="J92" s="369"/>
    </row>
    <row r="93" spans="1:10" x14ac:dyDescent="0.35">
      <c r="A93" s="322" t="s">
        <v>39</v>
      </c>
      <c r="B93" s="322"/>
      <c r="C93" s="322"/>
      <c r="D93" s="322"/>
      <c r="E93" s="322"/>
      <c r="F93" s="322"/>
      <c r="G93" s="372">
        <f>SUM(H87,G88,H89,G90,G91,G92)</f>
        <v>5.3872222222222224E-2</v>
      </c>
      <c r="H93" s="372"/>
      <c r="I93" s="345">
        <f>SUM(I87:J92)</f>
        <v>98.931272122222225</v>
      </c>
      <c r="J93" s="345"/>
    </row>
    <row r="94" spans="1:10" x14ac:dyDescent="0.35">
      <c r="A94" s="373"/>
      <c r="B94" s="373"/>
      <c r="C94" s="373"/>
      <c r="D94" s="373"/>
      <c r="E94" s="373"/>
      <c r="F94" s="373"/>
      <c r="G94" s="373"/>
      <c r="H94" s="373"/>
      <c r="I94" s="373"/>
      <c r="J94" s="373"/>
    </row>
    <row r="95" spans="1:10" x14ac:dyDescent="0.35">
      <c r="A95" s="287" t="s">
        <v>85</v>
      </c>
      <c r="B95" s="287"/>
      <c r="C95" s="287"/>
      <c r="D95" s="287"/>
      <c r="E95" s="287"/>
      <c r="F95" s="287"/>
      <c r="G95" s="287"/>
      <c r="H95" s="287"/>
      <c r="I95" s="287"/>
      <c r="J95" s="287"/>
    </row>
    <row r="96" spans="1:10" x14ac:dyDescent="0.35">
      <c r="A96" s="12"/>
      <c r="B96" s="288"/>
      <c r="C96" s="288"/>
      <c r="D96" s="288"/>
      <c r="E96" s="288"/>
      <c r="F96" s="288"/>
      <c r="G96" s="288"/>
      <c r="H96" s="288"/>
      <c r="I96" s="288"/>
      <c r="J96" s="288"/>
    </row>
    <row r="97" spans="1:10" x14ac:dyDescent="0.35">
      <c r="A97" s="326" t="s">
        <v>86</v>
      </c>
      <c r="B97" s="326"/>
      <c r="C97" s="326"/>
      <c r="D97" s="326"/>
      <c r="E97" s="326"/>
      <c r="F97" s="326"/>
      <c r="G97" s="326"/>
      <c r="H97" s="326"/>
      <c r="I97" s="326"/>
      <c r="J97" s="326"/>
    </row>
    <row r="98" spans="1:10" x14ac:dyDescent="0.35">
      <c r="A98" s="361" t="s">
        <v>87</v>
      </c>
      <c r="B98" s="361"/>
      <c r="C98" s="361"/>
      <c r="D98" s="361"/>
      <c r="E98" s="361"/>
      <c r="F98" s="361"/>
      <c r="G98" s="370">
        <f>G34</f>
        <v>1836.4059999999999</v>
      </c>
      <c r="H98" s="371"/>
      <c r="I98" s="371"/>
      <c r="J98" s="371"/>
    </row>
    <row r="99" spans="1:10" x14ac:dyDescent="0.35">
      <c r="A99" s="16"/>
      <c r="B99" s="16"/>
      <c r="C99" s="16"/>
      <c r="D99" s="16"/>
      <c r="E99" s="16"/>
      <c r="F99" s="16"/>
      <c r="G99" s="17"/>
      <c r="H99" s="17"/>
      <c r="I99" s="17"/>
      <c r="J99" s="17"/>
    </row>
    <row r="100" spans="1:10" x14ac:dyDescent="0.35">
      <c r="A100" s="15" t="s">
        <v>88</v>
      </c>
      <c r="B100" s="339" t="s">
        <v>89</v>
      </c>
      <c r="C100" s="339"/>
      <c r="D100" s="339"/>
      <c r="E100" s="339"/>
      <c r="F100" s="339"/>
      <c r="G100" s="322" t="s">
        <v>90</v>
      </c>
      <c r="H100" s="322"/>
      <c r="I100" s="311" t="s">
        <v>34</v>
      </c>
      <c r="J100" s="311"/>
    </row>
    <row r="101" spans="1:10" x14ac:dyDescent="0.35">
      <c r="A101" s="23" t="s">
        <v>3</v>
      </c>
      <c r="B101" s="300" t="s">
        <v>91</v>
      </c>
      <c r="C101" s="300"/>
      <c r="D101" s="300"/>
      <c r="E101" s="300"/>
      <c r="F101" s="300"/>
      <c r="G101" s="329">
        <f>1/12</f>
        <v>8.3333333333333329E-2</v>
      </c>
      <c r="H101" s="329"/>
      <c r="I101" s="321">
        <f>G101*G98</f>
        <v>153.03383333333332</v>
      </c>
      <c r="J101" s="321"/>
    </row>
    <row r="102" spans="1:10" x14ac:dyDescent="0.35">
      <c r="A102" s="14" t="s">
        <v>5</v>
      </c>
      <c r="B102" s="325" t="s">
        <v>92</v>
      </c>
      <c r="C102" s="325"/>
      <c r="D102" s="325"/>
      <c r="E102" s="325"/>
      <c r="F102" s="325"/>
      <c r="G102" s="374">
        <f>(1/30)/12</f>
        <v>2.7777777777777779E-3</v>
      </c>
      <c r="H102" s="374"/>
      <c r="I102" s="321">
        <f>G98*G102</f>
        <v>5.1011277777777781</v>
      </c>
      <c r="J102" s="321"/>
    </row>
    <row r="103" spans="1:10" x14ac:dyDescent="0.35">
      <c r="A103" s="14" t="s">
        <v>8</v>
      </c>
      <c r="B103" s="325" t="s">
        <v>93</v>
      </c>
      <c r="C103" s="325"/>
      <c r="D103" s="325"/>
      <c r="E103" s="325"/>
      <c r="F103" s="325"/>
      <c r="G103" s="374">
        <f>(5/30)/12*0.015</f>
        <v>2.0833333333333332E-4</v>
      </c>
      <c r="H103" s="374"/>
      <c r="I103" s="321">
        <f>G98*G103</f>
        <v>0.38258458333333328</v>
      </c>
      <c r="J103" s="321"/>
    </row>
    <row r="104" spans="1:10" x14ac:dyDescent="0.35">
      <c r="A104" s="14" t="s">
        <v>10</v>
      </c>
      <c r="B104" s="325" t="s">
        <v>94</v>
      </c>
      <c r="C104" s="325"/>
      <c r="D104" s="325"/>
      <c r="E104" s="325"/>
      <c r="F104" s="325"/>
      <c r="G104" s="374">
        <f>1/12*0.0078</f>
        <v>6.4999999999999997E-4</v>
      </c>
      <c r="H104" s="374"/>
      <c r="I104" s="321">
        <f>G98*G104</f>
        <v>1.1936639</v>
      </c>
      <c r="J104" s="321"/>
    </row>
    <row r="105" spans="1:10" x14ac:dyDescent="0.35">
      <c r="A105" s="14" t="s">
        <v>56</v>
      </c>
      <c r="B105" s="325" t="s">
        <v>95</v>
      </c>
      <c r="C105" s="325"/>
      <c r="D105" s="325"/>
      <c r="E105" s="325"/>
      <c r="F105" s="325"/>
      <c r="G105" s="374">
        <f>((1/12)+(1/3*1/12))*0.02607*6/12</f>
        <v>1.4483333333333334E-3</v>
      </c>
      <c r="H105" s="374"/>
      <c r="I105" s="321">
        <f>G98*G105</f>
        <v>2.6597280233333334</v>
      </c>
      <c r="J105" s="321"/>
    </row>
    <row r="106" spans="1:10" x14ac:dyDescent="0.35">
      <c r="A106" s="14" t="s">
        <v>58</v>
      </c>
      <c r="B106" s="325" t="s">
        <v>96</v>
      </c>
      <c r="C106" s="325"/>
      <c r="D106" s="325"/>
      <c r="E106" s="325"/>
      <c r="F106" s="325"/>
      <c r="G106" s="374">
        <f>(5/30/12)</f>
        <v>1.3888888888888888E-2</v>
      </c>
      <c r="H106" s="374"/>
      <c r="I106" s="321">
        <f>G98*G106</f>
        <v>25.505638888888885</v>
      </c>
      <c r="J106" s="321"/>
    </row>
    <row r="107" spans="1:10" x14ac:dyDescent="0.35">
      <c r="A107" s="375" t="s">
        <v>97</v>
      </c>
      <c r="B107" s="375"/>
      <c r="C107" s="375"/>
      <c r="D107" s="375"/>
      <c r="E107" s="375"/>
      <c r="F107" s="375"/>
      <c r="G107" s="376">
        <f>SUM(G101:H106)</f>
        <v>0.10230666666666666</v>
      </c>
      <c r="H107" s="376"/>
      <c r="I107" s="377">
        <f>SUM(I101:J106)</f>
        <v>187.87657650666665</v>
      </c>
      <c r="J107" s="377"/>
    </row>
    <row r="108" spans="1:10" x14ac:dyDescent="0.35">
      <c r="A108" s="69" t="s">
        <v>60</v>
      </c>
      <c r="B108" s="378" t="s">
        <v>98</v>
      </c>
      <c r="C108" s="378"/>
      <c r="D108" s="378"/>
      <c r="E108" s="378"/>
      <c r="F108" s="379"/>
      <c r="G108" s="380">
        <f>(G107-G105)*(2/12+(1/3*1/12))</f>
        <v>1.961134259259259E-2</v>
      </c>
      <c r="H108" s="379"/>
      <c r="I108" s="381">
        <f>G98*G108</f>
        <v>36.014387205092589</v>
      </c>
      <c r="J108" s="382"/>
    </row>
    <row r="109" spans="1:10" x14ac:dyDescent="0.35">
      <c r="A109" s="388" t="s">
        <v>99</v>
      </c>
      <c r="B109" s="389"/>
      <c r="C109" s="389"/>
      <c r="D109" s="389"/>
      <c r="E109" s="389"/>
      <c r="F109" s="390"/>
      <c r="G109" s="391">
        <f>SUM(G107:H108)</f>
        <v>0.12191800925925925</v>
      </c>
      <c r="H109" s="392"/>
      <c r="I109" s="393">
        <f>SUM(I107:J108)</f>
        <v>223.89096371175924</v>
      </c>
      <c r="J109" s="394"/>
    </row>
    <row r="110" spans="1:10" x14ac:dyDescent="0.35">
      <c r="A110" s="69" t="s">
        <v>62</v>
      </c>
      <c r="B110" s="395" t="s">
        <v>100</v>
      </c>
      <c r="C110" s="395"/>
      <c r="D110" s="395"/>
      <c r="E110" s="395"/>
      <c r="F110" s="396"/>
      <c r="G110" s="380">
        <f>G109*G58</f>
        <v>4.486582740740741E-2</v>
      </c>
      <c r="H110" s="397"/>
      <c r="I110" s="381">
        <f>G98*G110</f>
        <v>82.391874645927416</v>
      </c>
      <c r="J110" s="382"/>
    </row>
    <row r="111" spans="1:10" x14ac:dyDescent="0.35">
      <c r="A111" s="383" t="s">
        <v>39</v>
      </c>
      <c r="B111" s="378"/>
      <c r="C111" s="378"/>
      <c r="D111" s="378"/>
      <c r="E111" s="378"/>
      <c r="F111" s="379"/>
      <c r="G111" s="384">
        <f>SUM(G109:H110)</f>
        <v>0.16678383666666666</v>
      </c>
      <c r="H111" s="385"/>
      <c r="I111" s="386">
        <f>G98*G111</f>
        <v>306.28283835768661</v>
      </c>
      <c r="J111" s="387"/>
    </row>
    <row r="112" spans="1:10" x14ac:dyDescent="0.35">
      <c r="A112" s="88"/>
      <c r="B112" s="404"/>
      <c r="C112" s="404"/>
      <c r="D112" s="404"/>
      <c r="E112" s="404"/>
      <c r="F112" s="404"/>
      <c r="G112" s="404"/>
      <c r="H112" s="404"/>
      <c r="I112" s="404"/>
      <c r="J112" s="404"/>
    </row>
    <row r="113" spans="1:10" x14ac:dyDescent="0.35">
      <c r="A113" s="400" t="s">
        <v>101</v>
      </c>
      <c r="B113" s="400"/>
      <c r="C113" s="400"/>
      <c r="D113" s="400"/>
      <c r="E113" s="400"/>
      <c r="F113" s="400"/>
      <c r="G113" s="400"/>
      <c r="H113" s="400"/>
      <c r="I113" s="400"/>
      <c r="J113" s="400"/>
    </row>
    <row r="114" spans="1:10" x14ac:dyDescent="0.35">
      <c r="A114" s="401"/>
      <c r="B114" s="401"/>
      <c r="C114" s="401"/>
      <c r="D114" s="401"/>
      <c r="E114" s="401"/>
      <c r="F114" s="401"/>
      <c r="G114" s="402"/>
      <c r="H114" s="402"/>
      <c r="I114" s="402"/>
      <c r="J114" s="402"/>
    </row>
    <row r="115" spans="1:10" x14ac:dyDescent="0.35">
      <c r="A115" s="67" t="s">
        <v>102</v>
      </c>
      <c r="B115" s="311" t="s">
        <v>103</v>
      </c>
      <c r="C115" s="311"/>
      <c r="D115" s="311"/>
      <c r="E115" s="311"/>
      <c r="F115" s="311"/>
      <c r="G115" s="311" t="s">
        <v>34</v>
      </c>
      <c r="H115" s="311"/>
      <c r="I115" s="311"/>
      <c r="J115" s="311"/>
    </row>
    <row r="116" spans="1:10" x14ac:dyDescent="0.35">
      <c r="A116" s="66" t="s">
        <v>3</v>
      </c>
      <c r="B116" s="300" t="s">
        <v>104</v>
      </c>
      <c r="C116" s="300"/>
      <c r="D116" s="300"/>
      <c r="E116" s="300"/>
      <c r="F116" s="300"/>
      <c r="G116" s="333">
        <v>0</v>
      </c>
      <c r="H116" s="333"/>
      <c r="I116" s="333"/>
      <c r="J116" s="333"/>
    </row>
    <row r="117" spans="1:10" x14ac:dyDescent="0.35">
      <c r="A117" s="311" t="s">
        <v>39</v>
      </c>
      <c r="B117" s="311"/>
      <c r="C117" s="311"/>
      <c r="D117" s="311"/>
      <c r="E117" s="311"/>
      <c r="F117" s="311"/>
      <c r="G117" s="345">
        <f>SUM(G116)</f>
        <v>0</v>
      </c>
      <c r="H117" s="345"/>
      <c r="I117" s="345"/>
      <c r="J117" s="345"/>
    </row>
    <row r="118" spans="1:10" x14ac:dyDescent="0.35">
      <c r="A118" s="88"/>
      <c r="B118" s="398"/>
      <c r="C118" s="398"/>
      <c r="D118" s="398"/>
      <c r="E118" s="398"/>
      <c r="F118" s="398"/>
      <c r="G118" s="398"/>
      <c r="H118" s="398"/>
      <c r="I118" s="398"/>
      <c r="J118" s="398"/>
    </row>
    <row r="119" spans="1:10" x14ac:dyDescent="0.35">
      <c r="A119" s="399" t="s">
        <v>105</v>
      </c>
      <c r="B119" s="399"/>
      <c r="C119" s="399"/>
      <c r="D119" s="399"/>
      <c r="E119" s="399"/>
      <c r="F119" s="399"/>
      <c r="G119" s="399"/>
      <c r="H119" s="399"/>
      <c r="I119" s="399"/>
      <c r="J119" s="399"/>
    </row>
    <row r="120" spans="1:10" x14ac:dyDescent="0.35">
      <c r="A120" s="88"/>
      <c r="B120" s="404"/>
      <c r="C120" s="404"/>
      <c r="D120" s="404"/>
      <c r="E120" s="404"/>
      <c r="F120" s="404"/>
      <c r="G120" s="405"/>
      <c r="H120" s="405"/>
      <c r="I120" s="405"/>
      <c r="J120" s="405"/>
    </row>
    <row r="121" spans="1:10" x14ac:dyDescent="0.35">
      <c r="A121" s="67">
        <v>4</v>
      </c>
      <c r="B121" s="311" t="s">
        <v>106</v>
      </c>
      <c r="C121" s="311"/>
      <c r="D121" s="311"/>
      <c r="E121" s="311"/>
      <c r="F121" s="311"/>
      <c r="G121" s="311" t="s">
        <v>34</v>
      </c>
      <c r="H121" s="311"/>
      <c r="I121" s="311"/>
      <c r="J121" s="311"/>
    </row>
    <row r="122" spans="1:10" x14ac:dyDescent="0.35">
      <c r="A122" s="66" t="s">
        <v>88</v>
      </c>
      <c r="B122" s="300" t="s">
        <v>107</v>
      </c>
      <c r="C122" s="300"/>
      <c r="D122" s="300"/>
      <c r="E122" s="300"/>
      <c r="F122" s="300"/>
      <c r="G122" s="321">
        <f>I111</f>
        <v>306.28283835768661</v>
      </c>
      <c r="H122" s="321"/>
      <c r="I122" s="321"/>
      <c r="J122" s="321"/>
    </row>
    <row r="123" spans="1:10" x14ac:dyDescent="0.35">
      <c r="A123" s="66" t="s">
        <v>102</v>
      </c>
      <c r="B123" s="403" t="s">
        <v>108</v>
      </c>
      <c r="C123" s="403"/>
      <c r="D123" s="403"/>
      <c r="E123" s="403"/>
      <c r="F123" s="403"/>
      <c r="G123" s="321">
        <f>G117</f>
        <v>0</v>
      </c>
      <c r="H123" s="321"/>
      <c r="I123" s="321"/>
      <c r="J123" s="321"/>
    </row>
    <row r="124" spans="1:10" x14ac:dyDescent="0.35">
      <c r="A124" s="311" t="s">
        <v>39</v>
      </c>
      <c r="B124" s="311"/>
      <c r="C124" s="311"/>
      <c r="D124" s="311"/>
      <c r="E124" s="311"/>
      <c r="F124" s="311"/>
      <c r="G124" s="323">
        <f>SUM(G122:J123)</f>
        <v>306.28283835768661</v>
      </c>
      <c r="H124" s="323"/>
      <c r="I124" s="323"/>
      <c r="J124" s="323"/>
    </row>
    <row r="125" spans="1:10" x14ac:dyDescent="0.35">
      <c r="A125" s="88"/>
      <c r="B125" s="404"/>
      <c r="C125" s="404"/>
      <c r="D125" s="404"/>
      <c r="E125" s="404"/>
      <c r="F125" s="404"/>
      <c r="G125" s="404"/>
      <c r="H125" s="404"/>
      <c r="I125" s="404"/>
      <c r="J125" s="404"/>
    </row>
    <row r="126" spans="1:10" x14ac:dyDescent="0.35">
      <c r="A126" s="88"/>
      <c r="B126" s="398"/>
      <c r="C126" s="398"/>
      <c r="D126" s="398"/>
      <c r="E126" s="398"/>
      <c r="F126" s="398"/>
      <c r="G126" s="398"/>
      <c r="H126" s="398"/>
      <c r="I126" s="398"/>
      <c r="J126" s="398"/>
    </row>
    <row r="127" spans="1:10" x14ac:dyDescent="0.35">
      <c r="A127" s="407" t="s">
        <v>109</v>
      </c>
      <c r="B127" s="407"/>
      <c r="C127" s="407"/>
      <c r="D127" s="407"/>
      <c r="E127" s="407"/>
      <c r="F127" s="407"/>
      <c r="G127" s="407"/>
      <c r="H127" s="407"/>
      <c r="I127" s="407"/>
      <c r="J127" s="407"/>
    </row>
    <row r="128" spans="1:10" x14ac:dyDescent="0.35">
      <c r="A128" s="89"/>
      <c r="B128" s="408"/>
      <c r="C128" s="408"/>
      <c r="D128" s="408"/>
      <c r="E128" s="408"/>
      <c r="F128" s="408"/>
      <c r="G128" s="408"/>
      <c r="H128" s="408"/>
      <c r="I128" s="408"/>
      <c r="J128" s="408"/>
    </row>
    <row r="129" spans="1:10" x14ac:dyDescent="0.35">
      <c r="A129" s="68">
        <v>5</v>
      </c>
      <c r="B129" s="406" t="s">
        <v>110</v>
      </c>
      <c r="C129" s="406"/>
      <c r="D129" s="406"/>
      <c r="E129" s="406"/>
      <c r="F129" s="406"/>
      <c r="G129" s="347" t="s">
        <v>34</v>
      </c>
      <c r="H129" s="347"/>
      <c r="I129" s="347"/>
      <c r="J129" s="347"/>
    </row>
    <row r="130" spans="1:10" x14ac:dyDescent="0.35">
      <c r="A130" s="22" t="s">
        <v>3</v>
      </c>
      <c r="B130" s="346" t="s">
        <v>111</v>
      </c>
      <c r="C130" s="346"/>
      <c r="D130" s="346"/>
      <c r="E130" s="346"/>
      <c r="F130" s="346"/>
      <c r="G130" s="352">
        <f>Uniformes!F24</f>
        <v>41.54076666666667</v>
      </c>
      <c r="H130" s="352"/>
      <c r="I130" s="352"/>
      <c r="J130" s="352"/>
    </row>
    <row r="131" spans="1:10" x14ac:dyDescent="0.35">
      <c r="A131" s="22" t="s">
        <v>5</v>
      </c>
      <c r="B131" s="284" t="s">
        <v>202</v>
      </c>
      <c r="C131" s="285"/>
      <c r="D131" s="285"/>
      <c r="E131" s="285"/>
      <c r="F131" s="286"/>
      <c r="G131" s="281">
        <f>Equipamentos!L88</f>
        <v>21.347442749999995</v>
      </c>
      <c r="H131" s="282"/>
      <c r="I131" s="282"/>
      <c r="J131" s="283"/>
    </row>
    <row r="132" spans="1:10" x14ac:dyDescent="0.35">
      <c r="A132" s="347" t="s">
        <v>64</v>
      </c>
      <c r="B132" s="347"/>
      <c r="C132" s="347"/>
      <c r="D132" s="347"/>
      <c r="E132" s="347"/>
      <c r="F132" s="347"/>
      <c r="G132" s="413">
        <f>SUM(G130:J131)</f>
        <v>62.888209416666669</v>
      </c>
      <c r="H132" s="413"/>
      <c r="I132" s="413"/>
      <c r="J132" s="413"/>
    </row>
    <row r="133" spans="1:10" x14ac:dyDescent="0.35">
      <c r="A133" s="90"/>
      <c r="B133" s="414"/>
      <c r="C133" s="414"/>
      <c r="D133" s="414"/>
      <c r="E133" s="414"/>
      <c r="F133" s="414"/>
      <c r="G133" s="414"/>
      <c r="H133" s="414"/>
      <c r="I133" s="414"/>
      <c r="J133" s="414"/>
    </row>
    <row r="134" spans="1:10" x14ac:dyDescent="0.35">
      <c r="A134" s="407" t="s">
        <v>112</v>
      </c>
      <c r="B134" s="407"/>
      <c r="C134" s="407"/>
      <c r="D134" s="407"/>
      <c r="E134" s="407"/>
      <c r="F134" s="407"/>
      <c r="G134" s="407"/>
      <c r="H134" s="407"/>
      <c r="I134" s="407"/>
      <c r="J134" s="407"/>
    </row>
    <row r="135" spans="1:10" x14ac:dyDescent="0.35">
      <c r="A135" s="409" t="s">
        <v>113</v>
      </c>
      <c r="B135" s="409"/>
      <c r="C135" s="409"/>
      <c r="D135" s="409"/>
      <c r="E135" s="409"/>
      <c r="F135" s="409"/>
      <c r="G135" s="410">
        <f>G34+G80+I93+G124+G132</f>
        <v>3872.6848661053755</v>
      </c>
      <c r="H135" s="411"/>
      <c r="I135" s="411"/>
      <c r="J135" s="411"/>
    </row>
    <row r="136" spans="1:10" x14ac:dyDescent="0.35">
      <c r="A136" s="409" t="s">
        <v>114</v>
      </c>
      <c r="B136" s="409"/>
      <c r="C136" s="409"/>
      <c r="D136" s="409"/>
      <c r="E136" s="409"/>
      <c r="F136" s="409"/>
      <c r="G136" s="410">
        <f>G135+I139</f>
        <v>3978.4091629500522</v>
      </c>
      <c r="H136" s="411"/>
      <c r="I136" s="411"/>
      <c r="J136" s="411"/>
    </row>
    <row r="137" spans="1:10" x14ac:dyDescent="0.35">
      <c r="A137" s="409" t="s">
        <v>115</v>
      </c>
      <c r="B137" s="409"/>
      <c r="C137" s="409"/>
      <c r="D137" s="409"/>
      <c r="E137" s="409"/>
      <c r="F137" s="409"/>
      <c r="G137" s="412">
        <f>(G136+I140)/(1-G141)</f>
        <v>4765.2758615346929</v>
      </c>
      <c r="H137" s="412"/>
      <c r="I137" s="412"/>
      <c r="J137" s="412"/>
    </row>
    <row r="138" spans="1:10" x14ac:dyDescent="0.35">
      <c r="A138" s="21">
        <v>6</v>
      </c>
      <c r="B138" s="406" t="s">
        <v>116</v>
      </c>
      <c r="C138" s="406"/>
      <c r="D138" s="406"/>
      <c r="E138" s="406"/>
      <c r="F138" s="406"/>
      <c r="G138" s="420" t="s">
        <v>45</v>
      </c>
      <c r="H138" s="420"/>
      <c r="I138" s="420" t="s">
        <v>34</v>
      </c>
      <c r="J138" s="420"/>
    </row>
    <row r="139" spans="1:10" x14ac:dyDescent="0.35">
      <c r="A139" s="22" t="s">
        <v>3</v>
      </c>
      <c r="B139" s="346" t="s">
        <v>117</v>
      </c>
      <c r="C139" s="346"/>
      <c r="D139" s="346"/>
      <c r="E139" s="346"/>
      <c r="F139" s="346"/>
      <c r="G139" s="415">
        <v>2.7300000000000001E-2</v>
      </c>
      <c r="H139" s="415"/>
      <c r="I139" s="416">
        <f>G135*G139</f>
        <v>105.72429684467676</v>
      </c>
      <c r="J139" s="346"/>
    </row>
    <row r="140" spans="1:10" x14ac:dyDescent="0.35">
      <c r="A140" s="22" t="s">
        <v>5</v>
      </c>
      <c r="B140" s="346" t="s">
        <v>118</v>
      </c>
      <c r="C140" s="346"/>
      <c r="D140" s="346"/>
      <c r="E140" s="346"/>
      <c r="F140" s="346"/>
      <c r="G140" s="415">
        <v>2.7099999999999999E-2</v>
      </c>
      <c r="H140" s="415"/>
      <c r="I140" s="416">
        <f>G136*G140</f>
        <v>107.8148883159464</v>
      </c>
      <c r="J140" s="346"/>
    </row>
    <row r="141" spans="1:10" x14ac:dyDescent="0.35">
      <c r="A141" s="22" t="s">
        <v>8</v>
      </c>
      <c r="B141" s="346" t="s">
        <v>119</v>
      </c>
      <c r="C141" s="346"/>
      <c r="D141" s="346"/>
      <c r="E141" s="346"/>
      <c r="F141" s="346"/>
      <c r="G141" s="417">
        <f>SUM(G142:H144)</f>
        <v>0.14250000000000002</v>
      </c>
      <c r="H141" s="417"/>
      <c r="I141" s="418">
        <f>G137*G141</f>
        <v>679.05181026869377</v>
      </c>
      <c r="J141" s="419"/>
    </row>
    <row r="142" spans="1:10" x14ac:dyDescent="0.35">
      <c r="A142" s="27" t="s">
        <v>120</v>
      </c>
      <c r="B142" s="421" t="s">
        <v>121</v>
      </c>
      <c r="C142" s="421"/>
      <c r="D142" s="421"/>
      <c r="E142" s="421"/>
      <c r="F142" s="421"/>
      <c r="G142" s="422">
        <f>'Item 1.1 (Encarregado)'!G142:H142</f>
        <v>7.5999999999999998E-2</v>
      </c>
      <c r="H142" s="422"/>
      <c r="I142" s="423">
        <f>G137*G142</f>
        <v>362.16096547663665</v>
      </c>
      <c r="J142" s="421"/>
    </row>
    <row r="143" spans="1:10" x14ac:dyDescent="0.35">
      <c r="A143" s="27" t="s">
        <v>122</v>
      </c>
      <c r="B143" s="421" t="s">
        <v>123</v>
      </c>
      <c r="C143" s="421"/>
      <c r="D143" s="421"/>
      <c r="E143" s="421"/>
      <c r="F143" s="421"/>
      <c r="G143" s="422">
        <f>'Item 1.1 (Encarregado)'!G143:H143</f>
        <v>1.6500000000000001E-2</v>
      </c>
      <c r="H143" s="422"/>
      <c r="I143" s="423">
        <f>G137*G143</f>
        <v>78.627051715322438</v>
      </c>
      <c r="J143" s="421"/>
    </row>
    <row r="144" spans="1:10" x14ac:dyDescent="0.35">
      <c r="A144" s="27" t="s">
        <v>124</v>
      </c>
      <c r="B144" s="421" t="s">
        <v>125</v>
      </c>
      <c r="C144" s="421"/>
      <c r="D144" s="421"/>
      <c r="E144" s="421"/>
      <c r="F144" s="421"/>
      <c r="G144" s="422">
        <v>0.05</v>
      </c>
      <c r="H144" s="422"/>
      <c r="I144" s="423">
        <f>G137*G144</f>
        <v>238.26379307673466</v>
      </c>
      <c r="J144" s="421"/>
    </row>
    <row r="145" spans="1:14" x14ac:dyDescent="0.35">
      <c r="A145" s="347" t="s">
        <v>64</v>
      </c>
      <c r="B145" s="347"/>
      <c r="C145" s="347"/>
      <c r="D145" s="347"/>
      <c r="E145" s="347"/>
      <c r="F145" s="347"/>
      <c r="G145" s="424"/>
      <c r="H145" s="424"/>
      <c r="I145" s="416">
        <f>SUM(I139:J141)</f>
        <v>892.59099542931699</v>
      </c>
      <c r="J145" s="346"/>
    </row>
    <row r="146" spans="1:14" x14ac:dyDescent="0.35">
      <c r="A146" s="19"/>
      <c r="B146" s="426"/>
      <c r="C146" s="426"/>
      <c r="D146" s="426"/>
      <c r="E146" s="426"/>
      <c r="F146" s="426"/>
      <c r="G146" s="426"/>
      <c r="H146" s="426"/>
      <c r="I146" s="426"/>
      <c r="J146" s="426"/>
    </row>
    <row r="147" spans="1:14" x14ac:dyDescent="0.35">
      <c r="A147" s="427" t="s">
        <v>126</v>
      </c>
      <c r="B147" s="427"/>
      <c r="C147" s="427"/>
      <c r="D147" s="427"/>
      <c r="E147" s="427"/>
      <c r="F147" s="427"/>
      <c r="G147" s="427"/>
      <c r="H147" s="427"/>
      <c r="I147" s="427"/>
      <c r="J147" s="427"/>
    </row>
    <row r="148" spans="1:14" x14ac:dyDescent="0.35">
      <c r="A148" s="18"/>
      <c r="B148" s="428"/>
      <c r="C148" s="428"/>
      <c r="D148" s="428"/>
      <c r="E148" s="428"/>
      <c r="F148" s="428"/>
      <c r="G148" s="428"/>
      <c r="H148" s="428"/>
      <c r="I148" s="428"/>
      <c r="J148" s="428"/>
    </row>
    <row r="149" spans="1:14" x14ac:dyDescent="0.35">
      <c r="A149" s="21"/>
      <c r="B149" s="347" t="s">
        <v>127</v>
      </c>
      <c r="C149" s="347"/>
      <c r="D149" s="347"/>
      <c r="E149" s="347"/>
      <c r="F149" s="347"/>
      <c r="G149" s="347" t="s">
        <v>34</v>
      </c>
      <c r="H149" s="347"/>
      <c r="I149" s="347"/>
      <c r="J149" s="347"/>
    </row>
    <row r="150" spans="1:14" x14ac:dyDescent="0.35">
      <c r="A150" s="21" t="s">
        <v>3</v>
      </c>
      <c r="B150" s="346" t="s">
        <v>32</v>
      </c>
      <c r="C150" s="346"/>
      <c r="D150" s="346"/>
      <c r="E150" s="346"/>
      <c r="F150" s="346"/>
      <c r="G150" s="352">
        <f>G34</f>
        <v>1836.4059999999999</v>
      </c>
      <c r="H150" s="352"/>
      <c r="I150" s="352"/>
      <c r="J150" s="352"/>
    </row>
    <row r="151" spans="1:14" x14ac:dyDescent="0.35">
      <c r="A151" s="21" t="s">
        <v>5</v>
      </c>
      <c r="B151" s="346" t="s">
        <v>40</v>
      </c>
      <c r="C151" s="346"/>
      <c r="D151" s="346"/>
      <c r="E151" s="346"/>
      <c r="F151" s="346"/>
      <c r="G151" s="352">
        <f>G80</f>
        <v>1568.1765462088001</v>
      </c>
      <c r="H151" s="352"/>
      <c r="I151" s="352"/>
      <c r="J151" s="352"/>
    </row>
    <row r="152" spans="1:14" x14ac:dyDescent="0.35">
      <c r="A152" s="21" t="s">
        <v>8</v>
      </c>
      <c r="B152" s="346" t="s">
        <v>78</v>
      </c>
      <c r="C152" s="346"/>
      <c r="D152" s="346"/>
      <c r="E152" s="346"/>
      <c r="F152" s="346"/>
      <c r="G152" s="352">
        <f>I93</f>
        <v>98.931272122222225</v>
      </c>
      <c r="H152" s="352"/>
      <c r="I152" s="352"/>
      <c r="J152" s="352"/>
    </row>
    <row r="153" spans="1:14" x14ac:dyDescent="0.35">
      <c r="A153" s="21" t="s">
        <v>10</v>
      </c>
      <c r="B153" s="346" t="s">
        <v>85</v>
      </c>
      <c r="C153" s="346"/>
      <c r="D153" s="346"/>
      <c r="E153" s="346"/>
      <c r="F153" s="346"/>
      <c r="G153" s="352">
        <f>G124</f>
        <v>306.28283835768661</v>
      </c>
      <c r="H153" s="352"/>
      <c r="I153" s="352"/>
      <c r="J153" s="352"/>
    </row>
    <row r="154" spans="1:14" x14ac:dyDescent="0.35">
      <c r="A154" s="21" t="s">
        <v>56</v>
      </c>
      <c r="B154" s="346" t="s">
        <v>109</v>
      </c>
      <c r="C154" s="346"/>
      <c r="D154" s="346"/>
      <c r="E154" s="346"/>
      <c r="F154" s="346"/>
      <c r="G154" s="352">
        <f>G132</f>
        <v>62.888209416666669</v>
      </c>
      <c r="H154" s="352"/>
      <c r="I154" s="352"/>
      <c r="J154" s="352"/>
    </row>
    <row r="155" spans="1:14" x14ac:dyDescent="0.35">
      <c r="A155" s="347" t="s">
        <v>128</v>
      </c>
      <c r="B155" s="347"/>
      <c r="C155" s="347"/>
      <c r="D155" s="347"/>
      <c r="E155" s="347"/>
      <c r="F155" s="347"/>
      <c r="G155" s="413">
        <f>SUM(G150:J154)</f>
        <v>3872.6848661053755</v>
      </c>
      <c r="H155" s="413"/>
      <c r="I155" s="413"/>
      <c r="J155" s="413"/>
    </row>
    <row r="156" spans="1:14" x14ac:dyDescent="0.35">
      <c r="A156" s="21" t="s">
        <v>58</v>
      </c>
      <c r="B156" s="346" t="s">
        <v>129</v>
      </c>
      <c r="C156" s="346"/>
      <c r="D156" s="346"/>
      <c r="E156" s="346"/>
      <c r="F156" s="346"/>
      <c r="G156" s="352">
        <f>I145</f>
        <v>892.59099542931699</v>
      </c>
      <c r="H156" s="352"/>
      <c r="I156" s="352"/>
      <c r="J156" s="352"/>
    </row>
    <row r="157" spans="1:14" x14ac:dyDescent="0.35">
      <c r="A157" s="347" t="s">
        <v>130</v>
      </c>
      <c r="B157" s="347"/>
      <c r="C157" s="347"/>
      <c r="D157" s="347"/>
      <c r="E157" s="347"/>
      <c r="F157" s="347"/>
      <c r="G157" s="413">
        <f>SUM(G155:J156)</f>
        <v>4765.275861534692</v>
      </c>
      <c r="H157" s="413"/>
      <c r="I157" s="413"/>
      <c r="J157" s="413"/>
    </row>
    <row r="158" spans="1:14" x14ac:dyDescent="0.35">
      <c r="A158" s="347" t="s">
        <v>131</v>
      </c>
      <c r="B158" s="347"/>
      <c r="C158" s="347"/>
      <c r="D158" s="347"/>
      <c r="E158" s="347"/>
      <c r="F158" s="347"/>
      <c r="G158" s="436">
        <v>2</v>
      </c>
      <c r="H158" s="436"/>
      <c r="I158" s="436"/>
      <c r="J158" s="436"/>
      <c r="N158" s="178"/>
    </row>
    <row r="159" spans="1:14" x14ac:dyDescent="0.35">
      <c r="A159" s="11"/>
      <c r="B159" s="11"/>
      <c r="C159" s="11"/>
      <c r="D159" s="11"/>
      <c r="E159" s="11"/>
      <c r="F159" s="11"/>
      <c r="G159" s="11"/>
      <c r="H159" s="11"/>
      <c r="I159" s="11"/>
      <c r="J159" s="11"/>
    </row>
    <row r="160" spans="1:14" x14ac:dyDescent="0.35">
      <c r="A160" s="434" t="s">
        <v>132</v>
      </c>
      <c r="B160" s="434"/>
      <c r="C160" s="434"/>
      <c r="D160" s="434"/>
      <c r="E160" s="434"/>
      <c r="F160" s="434"/>
      <c r="G160" s="434"/>
      <c r="H160" s="434"/>
      <c r="I160" s="434"/>
      <c r="J160" s="434"/>
    </row>
    <row r="161" spans="1:10" x14ac:dyDescent="0.35">
      <c r="A161" s="429" t="s">
        <v>133</v>
      </c>
      <c r="B161" s="429"/>
      <c r="C161" s="429" t="s">
        <v>208</v>
      </c>
      <c r="D161" s="429"/>
      <c r="E161" s="429"/>
      <c r="F161" s="429"/>
      <c r="G161" s="429" t="s">
        <v>134</v>
      </c>
      <c r="H161" s="429"/>
      <c r="I161" s="429" t="s">
        <v>135</v>
      </c>
      <c r="J161" s="429"/>
    </row>
    <row r="162" spans="1:10" x14ac:dyDescent="0.35">
      <c r="A162" s="435">
        <f>G158</f>
        <v>2</v>
      </c>
      <c r="B162" s="429"/>
      <c r="C162" s="430">
        <f>1/(F17/A162)</f>
        <v>7.3269466781455495E-4</v>
      </c>
      <c r="D162" s="430"/>
      <c r="E162" s="430"/>
      <c r="F162" s="430"/>
      <c r="G162" s="431">
        <f>G157</f>
        <v>4765.275861534692</v>
      </c>
      <c r="H162" s="429"/>
      <c r="I162" s="432">
        <f>G162*C162</f>
        <v>3.4914922144118785</v>
      </c>
      <c r="J162" s="432"/>
    </row>
    <row r="166" spans="1:10" x14ac:dyDescent="0.35">
      <c r="H166" s="29"/>
    </row>
    <row r="168" spans="1:10" x14ac:dyDescent="0.35">
      <c r="H168" s="29"/>
    </row>
  </sheetData>
  <sheetProtection algorithmName="SHA-512" hashValue="OlFKjjpBtEUflAYqOV3evCUhCIEFCJjp35Q5LynTvQfQ7BKDEAdGC9ulio/lLylXSIY3+j8XhcXZgWypA6BPJQ==" saltValue="5P/RtRgwvzw2xZRNIMR7ZA==" spinCount="100000" sheet="1" objects="1" scenarios="1"/>
  <mergeCells count="353">
    <mergeCell ref="A5:J5"/>
    <mergeCell ref="A6:J6"/>
    <mergeCell ref="A7:J7"/>
    <mergeCell ref="A8:J8"/>
    <mergeCell ref="B9:F9"/>
    <mergeCell ref="G9:J9"/>
    <mergeCell ref="A1:J1"/>
    <mergeCell ref="A2:J2"/>
    <mergeCell ref="B3:F3"/>
    <mergeCell ref="G3:H3"/>
    <mergeCell ref="I3:J3"/>
    <mergeCell ref="A4:J4"/>
    <mergeCell ref="A13:J13"/>
    <mergeCell ref="A14:J14"/>
    <mergeCell ref="A15:J15"/>
    <mergeCell ref="A16:C16"/>
    <mergeCell ref="D16:E16"/>
    <mergeCell ref="F16:J16"/>
    <mergeCell ref="B10:F10"/>
    <mergeCell ref="G10:J10"/>
    <mergeCell ref="B11:F11"/>
    <mergeCell ref="G11:J11"/>
    <mergeCell ref="B12:F12"/>
    <mergeCell ref="G12:J12"/>
    <mergeCell ref="B21:F21"/>
    <mergeCell ref="G21:J21"/>
    <mergeCell ref="B22:F22"/>
    <mergeCell ref="G22:J22"/>
    <mergeCell ref="B23:F23"/>
    <mergeCell ref="G23:J23"/>
    <mergeCell ref="A17:C17"/>
    <mergeCell ref="D17:E17"/>
    <mergeCell ref="F17:J17"/>
    <mergeCell ref="A18:J18"/>
    <mergeCell ref="A19:J19"/>
    <mergeCell ref="B20:F20"/>
    <mergeCell ref="G20:H20"/>
    <mergeCell ref="I20:J20"/>
    <mergeCell ref="B29:F29"/>
    <mergeCell ref="G29:J29"/>
    <mergeCell ref="B30:F30"/>
    <mergeCell ref="G30:J30"/>
    <mergeCell ref="B31:F31"/>
    <mergeCell ref="G31:J31"/>
    <mergeCell ref="B24:F24"/>
    <mergeCell ref="G24:J24"/>
    <mergeCell ref="B25:F25"/>
    <mergeCell ref="G25:J25"/>
    <mergeCell ref="A26:J26"/>
    <mergeCell ref="A27:J27"/>
    <mergeCell ref="B35:F35"/>
    <mergeCell ref="G35:H35"/>
    <mergeCell ref="I35:J35"/>
    <mergeCell ref="A36:J36"/>
    <mergeCell ref="B37:F37"/>
    <mergeCell ref="G37:H37"/>
    <mergeCell ref="I37:J37"/>
    <mergeCell ref="B32:F32"/>
    <mergeCell ref="G32:J32"/>
    <mergeCell ref="B33:F33"/>
    <mergeCell ref="G33:J33"/>
    <mergeCell ref="A34:F34"/>
    <mergeCell ref="G34:J34"/>
    <mergeCell ref="B41:F41"/>
    <mergeCell ref="G41:H41"/>
    <mergeCell ref="I41:J41"/>
    <mergeCell ref="B42:F42"/>
    <mergeCell ref="G42:H42"/>
    <mergeCell ref="I42:J42"/>
    <mergeCell ref="A38:J38"/>
    <mergeCell ref="A39:F39"/>
    <mergeCell ref="G39:J39"/>
    <mergeCell ref="B40:F40"/>
    <mergeCell ref="G40:H40"/>
    <mergeCell ref="I40:J40"/>
    <mergeCell ref="A45:J45"/>
    <mergeCell ref="A46:J46"/>
    <mergeCell ref="A47:F47"/>
    <mergeCell ref="G47:J47"/>
    <mergeCell ref="A48:J48"/>
    <mergeCell ref="B49:F49"/>
    <mergeCell ref="G49:H49"/>
    <mergeCell ref="I49:J49"/>
    <mergeCell ref="B43:F43"/>
    <mergeCell ref="G43:H43"/>
    <mergeCell ref="I43:J43"/>
    <mergeCell ref="A44:F44"/>
    <mergeCell ref="G44:H44"/>
    <mergeCell ref="I44:J44"/>
    <mergeCell ref="B52:F52"/>
    <mergeCell ref="G52:H52"/>
    <mergeCell ref="I52:J52"/>
    <mergeCell ref="B53:F53"/>
    <mergeCell ref="G53:H53"/>
    <mergeCell ref="I53:J53"/>
    <mergeCell ref="B50:F50"/>
    <mergeCell ref="G50:H50"/>
    <mergeCell ref="I50:J50"/>
    <mergeCell ref="B51:F51"/>
    <mergeCell ref="G51:H51"/>
    <mergeCell ref="I51:J51"/>
    <mergeCell ref="B56:F56"/>
    <mergeCell ref="G56:H56"/>
    <mergeCell ref="I56:J56"/>
    <mergeCell ref="B57:F57"/>
    <mergeCell ref="G57:H57"/>
    <mergeCell ref="I57:J57"/>
    <mergeCell ref="B54:F54"/>
    <mergeCell ref="G54:H54"/>
    <mergeCell ref="I54:J54"/>
    <mergeCell ref="B55:F55"/>
    <mergeCell ref="G55:H55"/>
    <mergeCell ref="I55:J55"/>
    <mergeCell ref="B62:F62"/>
    <mergeCell ref="G62:H62"/>
    <mergeCell ref="I62:J62"/>
    <mergeCell ref="B63:F63"/>
    <mergeCell ref="G63:H63"/>
    <mergeCell ref="I63:J63"/>
    <mergeCell ref="A58:F58"/>
    <mergeCell ref="G58:H58"/>
    <mergeCell ref="I58:J58"/>
    <mergeCell ref="A59:J59"/>
    <mergeCell ref="A60:J60"/>
    <mergeCell ref="B61:F61"/>
    <mergeCell ref="G61:H61"/>
    <mergeCell ref="I61:J61"/>
    <mergeCell ref="B66:F66"/>
    <mergeCell ref="G66:H66"/>
    <mergeCell ref="I66:J66"/>
    <mergeCell ref="B67:F67"/>
    <mergeCell ref="G67:H67"/>
    <mergeCell ref="I67:J67"/>
    <mergeCell ref="B64:F64"/>
    <mergeCell ref="G64:H64"/>
    <mergeCell ref="I64:J64"/>
    <mergeCell ref="B65:F65"/>
    <mergeCell ref="G65:H65"/>
    <mergeCell ref="I65:J65"/>
    <mergeCell ref="B70:F70"/>
    <mergeCell ref="G70:H70"/>
    <mergeCell ref="I70:J70"/>
    <mergeCell ref="B71:F71"/>
    <mergeCell ref="G71:H71"/>
    <mergeCell ref="I71:J71"/>
    <mergeCell ref="B68:F68"/>
    <mergeCell ref="G68:H68"/>
    <mergeCell ref="I68:J68"/>
    <mergeCell ref="B69:F69"/>
    <mergeCell ref="G69:H69"/>
    <mergeCell ref="I69:J69"/>
    <mergeCell ref="B77:F77"/>
    <mergeCell ref="G77:J77"/>
    <mergeCell ref="B78:F78"/>
    <mergeCell ref="G78:J78"/>
    <mergeCell ref="B79:F79"/>
    <mergeCell ref="G79:J79"/>
    <mergeCell ref="A72:H72"/>
    <mergeCell ref="I72:J72"/>
    <mergeCell ref="A73:J73"/>
    <mergeCell ref="A74:J74"/>
    <mergeCell ref="A75:J75"/>
    <mergeCell ref="B76:F76"/>
    <mergeCell ref="G76:J76"/>
    <mergeCell ref="A85:F85"/>
    <mergeCell ref="G85:J85"/>
    <mergeCell ref="B86:F86"/>
    <mergeCell ref="G86:H86"/>
    <mergeCell ref="I86:J86"/>
    <mergeCell ref="B87:F87"/>
    <mergeCell ref="I87:J87"/>
    <mergeCell ref="A80:F80"/>
    <mergeCell ref="G80:J80"/>
    <mergeCell ref="A81:J81"/>
    <mergeCell ref="A82:J82"/>
    <mergeCell ref="A83:J83"/>
    <mergeCell ref="A84:F84"/>
    <mergeCell ref="G84:J84"/>
    <mergeCell ref="B91:F91"/>
    <mergeCell ref="G91:H91"/>
    <mergeCell ref="I91:J91"/>
    <mergeCell ref="B92:F92"/>
    <mergeCell ref="G92:H92"/>
    <mergeCell ref="I92:J92"/>
    <mergeCell ref="B88:F88"/>
    <mergeCell ref="G88:H88"/>
    <mergeCell ref="I88:J88"/>
    <mergeCell ref="B89:F89"/>
    <mergeCell ref="I89:J89"/>
    <mergeCell ref="B90:F90"/>
    <mergeCell ref="G90:H90"/>
    <mergeCell ref="I90:J90"/>
    <mergeCell ref="A97:J97"/>
    <mergeCell ref="A98:F98"/>
    <mergeCell ref="G98:J98"/>
    <mergeCell ref="B100:F100"/>
    <mergeCell ref="G100:H100"/>
    <mergeCell ref="I100:J100"/>
    <mergeCell ref="A93:F93"/>
    <mergeCell ref="G93:H93"/>
    <mergeCell ref="I93:J93"/>
    <mergeCell ref="A94:J94"/>
    <mergeCell ref="A95:J95"/>
    <mergeCell ref="B96:F96"/>
    <mergeCell ref="G96:H96"/>
    <mergeCell ref="I96:J96"/>
    <mergeCell ref="B103:F103"/>
    <mergeCell ref="G103:H103"/>
    <mergeCell ref="I103:J103"/>
    <mergeCell ref="B104:F104"/>
    <mergeCell ref="G104:H104"/>
    <mergeCell ref="I104:J104"/>
    <mergeCell ref="B101:F101"/>
    <mergeCell ref="G101:H101"/>
    <mergeCell ref="I101:J101"/>
    <mergeCell ref="B102:F102"/>
    <mergeCell ref="G102:H102"/>
    <mergeCell ref="I102:J102"/>
    <mergeCell ref="A107:F107"/>
    <mergeCell ref="G107:H107"/>
    <mergeCell ref="I107:J107"/>
    <mergeCell ref="B108:F108"/>
    <mergeCell ref="G108:H108"/>
    <mergeCell ref="I108:J108"/>
    <mergeCell ref="B105:F105"/>
    <mergeCell ref="G105:H105"/>
    <mergeCell ref="I105:J105"/>
    <mergeCell ref="B106:F106"/>
    <mergeCell ref="G106:H106"/>
    <mergeCell ref="I106:J106"/>
    <mergeCell ref="A111:F111"/>
    <mergeCell ref="G111:H111"/>
    <mergeCell ref="I111:J111"/>
    <mergeCell ref="B112:F112"/>
    <mergeCell ref="G112:H112"/>
    <mergeCell ref="I112:J112"/>
    <mergeCell ref="A109:F109"/>
    <mergeCell ref="G109:H109"/>
    <mergeCell ref="I109:J109"/>
    <mergeCell ref="B110:F110"/>
    <mergeCell ref="G110:H110"/>
    <mergeCell ref="I110:J110"/>
    <mergeCell ref="A117:F117"/>
    <mergeCell ref="G117:J117"/>
    <mergeCell ref="B118:F118"/>
    <mergeCell ref="G118:H118"/>
    <mergeCell ref="I118:J118"/>
    <mergeCell ref="A119:J119"/>
    <mergeCell ref="A113:J113"/>
    <mergeCell ref="A114:F114"/>
    <mergeCell ref="G114:J114"/>
    <mergeCell ref="B115:F115"/>
    <mergeCell ref="G115:J115"/>
    <mergeCell ref="B116:F116"/>
    <mergeCell ref="G116:J116"/>
    <mergeCell ref="B123:F123"/>
    <mergeCell ref="G123:J123"/>
    <mergeCell ref="A124:F124"/>
    <mergeCell ref="G124:J124"/>
    <mergeCell ref="B125:F125"/>
    <mergeCell ref="G125:H125"/>
    <mergeCell ref="I125:J125"/>
    <mergeCell ref="B120:F120"/>
    <mergeCell ref="G120:J120"/>
    <mergeCell ref="B121:F121"/>
    <mergeCell ref="G121:J121"/>
    <mergeCell ref="B122:F122"/>
    <mergeCell ref="G122:J122"/>
    <mergeCell ref="B129:F129"/>
    <mergeCell ref="G129:J129"/>
    <mergeCell ref="B130:F130"/>
    <mergeCell ref="G130:J130"/>
    <mergeCell ref="B131:F131"/>
    <mergeCell ref="G131:J131"/>
    <mergeCell ref="B126:F126"/>
    <mergeCell ref="G126:H126"/>
    <mergeCell ref="I126:J126"/>
    <mergeCell ref="A127:J127"/>
    <mergeCell ref="B128:F128"/>
    <mergeCell ref="G128:H128"/>
    <mergeCell ref="I128:J128"/>
    <mergeCell ref="A135:F135"/>
    <mergeCell ref="G135:J135"/>
    <mergeCell ref="A136:F136"/>
    <mergeCell ref="G136:J136"/>
    <mergeCell ref="A137:F137"/>
    <mergeCell ref="G137:J137"/>
    <mergeCell ref="A132:F132"/>
    <mergeCell ref="G132:J132"/>
    <mergeCell ref="B133:F133"/>
    <mergeCell ref="G133:H133"/>
    <mergeCell ref="I133:J133"/>
    <mergeCell ref="A134:J134"/>
    <mergeCell ref="B140:F140"/>
    <mergeCell ref="G140:H140"/>
    <mergeCell ref="I140:J140"/>
    <mergeCell ref="B141:F141"/>
    <mergeCell ref="G141:H141"/>
    <mergeCell ref="I141:J141"/>
    <mergeCell ref="B138:F138"/>
    <mergeCell ref="G138:H138"/>
    <mergeCell ref="I138:J138"/>
    <mergeCell ref="B139:F139"/>
    <mergeCell ref="G139:H139"/>
    <mergeCell ref="I139:J139"/>
    <mergeCell ref="B144:F144"/>
    <mergeCell ref="G144:H144"/>
    <mergeCell ref="I144:J144"/>
    <mergeCell ref="A145:F145"/>
    <mergeCell ref="G145:H145"/>
    <mergeCell ref="I145:J145"/>
    <mergeCell ref="B142:F142"/>
    <mergeCell ref="G142:H142"/>
    <mergeCell ref="I142:J142"/>
    <mergeCell ref="B143:F143"/>
    <mergeCell ref="G143:H143"/>
    <mergeCell ref="I143:J143"/>
    <mergeCell ref="B149:F149"/>
    <mergeCell ref="G149:J149"/>
    <mergeCell ref="B150:F150"/>
    <mergeCell ref="G150:J150"/>
    <mergeCell ref="B151:F151"/>
    <mergeCell ref="G151:J151"/>
    <mergeCell ref="B146:F146"/>
    <mergeCell ref="G146:H146"/>
    <mergeCell ref="I146:J146"/>
    <mergeCell ref="A147:J147"/>
    <mergeCell ref="B148:F148"/>
    <mergeCell ref="G148:H148"/>
    <mergeCell ref="I148:J148"/>
    <mergeCell ref="A155:F155"/>
    <mergeCell ref="G155:J155"/>
    <mergeCell ref="B156:F156"/>
    <mergeCell ref="G156:J156"/>
    <mergeCell ref="A157:F157"/>
    <mergeCell ref="G157:J157"/>
    <mergeCell ref="B152:F152"/>
    <mergeCell ref="G152:J152"/>
    <mergeCell ref="B153:F153"/>
    <mergeCell ref="G153:J153"/>
    <mergeCell ref="B154:F154"/>
    <mergeCell ref="G154:J154"/>
    <mergeCell ref="A162:B162"/>
    <mergeCell ref="C162:F162"/>
    <mergeCell ref="G162:H162"/>
    <mergeCell ref="I162:J162"/>
    <mergeCell ref="A158:F158"/>
    <mergeCell ref="G158:J158"/>
    <mergeCell ref="A160:J160"/>
    <mergeCell ref="A161:B161"/>
    <mergeCell ref="C161:F161"/>
    <mergeCell ref="G161:H161"/>
    <mergeCell ref="I161:J161"/>
  </mergeCells>
  <conditionalFormatting sqref="G157:J157">
    <cfRule type="cellIs" dxfId="3" priority="1" operator="greaterThan">
      <formula>4765.27586153469</formula>
    </cfRule>
  </conditionalFormatting>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5FB835-79C2-4CDE-BEA6-021996C044F3}">
  <sheetPr>
    <tabColor theme="9" tint="0.59999389629810485"/>
  </sheetPr>
  <dimension ref="A1:M167"/>
  <sheetViews>
    <sheetView topLeftCell="A133" workbookViewId="0">
      <selection activeCell="H167" sqref="H167"/>
    </sheetView>
  </sheetViews>
  <sheetFormatPr defaultRowHeight="14.5" x14ac:dyDescent="0.35"/>
  <cols>
    <col min="2" max="2" width="13.26953125" customWidth="1"/>
    <col min="3" max="3" width="13.36328125" customWidth="1"/>
    <col min="4" max="4" width="12.6328125" customWidth="1"/>
    <col min="5" max="5" width="13.36328125" customWidth="1"/>
    <col min="6" max="6" width="12.90625" customWidth="1"/>
    <col min="8" max="8" width="11.54296875" bestFit="1" customWidth="1"/>
    <col min="9" max="9" width="13" bestFit="1" customWidth="1"/>
    <col min="10" max="10" width="9.90625" bestFit="1" customWidth="1"/>
    <col min="13" max="13" width="20.453125" bestFit="1" customWidth="1"/>
  </cols>
  <sheetData>
    <row r="1" spans="1:10" x14ac:dyDescent="0.35">
      <c r="A1" s="287" t="s">
        <v>0</v>
      </c>
      <c r="B1" s="287"/>
      <c r="C1" s="287"/>
      <c r="D1" s="287"/>
      <c r="E1" s="287"/>
      <c r="F1" s="287"/>
      <c r="G1" s="287"/>
      <c r="H1" s="287"/>
      <c r="I1" s="287"/>
      <c r="J1" s="287"/>
    </row>
    <row r="2" spans="1:10" x14ac:dyDescent="0.35">
      <c r="A2" s="287" t="s">
        <v>1</v>
      </c>
      <c r="B2" s="287"/>
      <c r="C2" s="287"/>
      <c r="D2" s="287"/>
      <c r="E2" s="287"/>
      <c r="F2" s="287"/>
      <c r="G2" s="287"/>
      <c r="H2" s="287"/>
      <c r="I2" s="287"/>
      <c r="J2" s="287"/>
    </row>
    <row r="3" spans="1:10" x14ac:dyDescent="0.35">
      <c r="A3" s="158"/>
      <c r="B3" s="288"/>
      <c r="C3" s="288"/>
      <c r="D3" s="288"/>
      <c r="E3" s="288"/>
      <c r="F3" s="288"/>
      <c r="G3" s="288"/>
      <c r="H3" s="288"/>
      <c r="I3" s="288"/>
      <c r="J3" s="288"/>
    </row>
    <row r="4" spans="1:10" x14ac:dyDescent="0.35">
      <c r="A4" s="280" t="s">
        <v>209</v>
      </c>
      <c r="B4" s="280"/>
      <c r="C4" s="280"/>
      <c r="D4" s="280"/>
      <c r="E4" s="280"/>
      <c r="F4" s="280"/>
      <c r="G4" s="280"/>
      <c r="H4" s="280"/>
      <c r="I4" s="280"/>
      <c r="J4" s="280"/>
    </row>
    <row r="5" spans="1:10" x14ac:dyDescent="0.35">
      <c r="A5" s="280" t="s">
        <v>140</v>
      </c>
      <c r="B5" s="280"/>
      <c r="C5" s="280"/>
      <c r="D5" s="280"/>
      <c r="E5" s="280"/>
      <c r="F5" s="280"/>
      <c r="G5" s="280"/>
      <c r="H5" s="280"/>
      <c r="I5" s="280"/>
      <c r="J5" s="280"/>
    </row>
    <row r="6" spans="1:10" x14ac:dyDescent="0.35">
      <c r="A6" s="303"/>
      <c r="B6" s="303"/>
      <c r="C6" s="303"/>
      <c r="D6" s="303"/>
      <c r="E6" s="303"/>
      <c r="F6" s="303"/>
      <c r="G6" s="303"/>
      <c r="H6" s="303"/>
      <c r="I6" s="303"/>
      <c r="J6" s="303"/>
    </row>
    <row r="7" spans="1:10" x14ac:dyDescent="0.35">
      <c r="A7" s="287" t="s">
        <v>2</v>
      </c>
      <c r="B7" s="287"/>
      <c r="C7" s="287"/>
      <c r="D7" s="287"/>
      <c r="E7" s="287"/>
      <c r="F7" s="287"/>
      <c r="G7" s="287"/>
      <c r="H7" s="287"/>
      <c r="I7" s="287"/>
      <c r="J7" s="287"/>
    </row>
    <row r="8" spans="1:10" x14ac:dyDescent="0.35">
      <c r="A8" s="308"/>
      <c r="B8" s="308"/>
      <c r="C8" s="308"/>
      <c r="D8" s="308"/>
      <c r="E8" s="308"/>
      <c r="F8" s="308"/>
      <c r="G8" s="308"/>
      <c r="H8" s="308"/>
      <c r="I8" s="308"/>
      <c r="J8" s="308"/>
    </row>
    <row r="9" spans="1:10" x14ac:dyDescent="0.35">
      <c r="A9" s="159" t="s">
        <v>3</v>
      </c>
      <c r="B9" s="310" t="s">
        <v>4</v>
      </c>
      <c r="C9" s="310"/>
      <c r="D9" s="310"/>
      <c r="E9" s="310"/>
      <c r="F9" s="310"/>
      <c r="G9" s="311"/>
      <c r="H9" s="311"/>
      <c r="I9" s="311"/>
      <c r="J9" s="311"/>
    </row>
    <row r="10" spans="1:10" x14ac:dyDescent="0.35">
      <c r="A10" s="159" t="s">
        <v>5</v>
      </c>
      <c r="B10" s="310" t="s">
        <v>6</v>
      </c>
      <c r="C10" s="310"/>
      <c r="D10" s="310"/>
      <c r="E10" s="310"/>
      <c r="F10" s="310"/>
      <c r="G10" s="311" t="s">
        <v>411</v>
      </c>
      <c r="H10" s="311"/>
      <c r="I10" s="311"/>
      <c r="J10" s="311"/>
    </row>
    <row r="11" spans="1:10" x14ac:dyDescent="0.35">
      <c r="A11" s="159" t="s">
        <v>8</v>
      </c>
      <c r="B11" s="310" t="s">
        <v>9</v>
      </c>
      <c r="C11" s="310"/>
      <c r="D11" s="310"/>
      <c r="E11" s="310"/>
      <c r="F11" s="310"/>
      <c r="G11" s="297" t="s">
        <v>136</v>
      </c>
      <c r="H11" s="298"/>
      <c r="I11" s="298"/>
      <c r="J11" s="299"/>
    </row>
    <row r="12" spans="1:10" x14ac:dyDescent="0.35">
      <c r="A12" s="159" t="s">
        <v>10</v>
      </c>
      <c r="B12" s="310" t="s">
        <v>11</v>
      </c>
      <c r="C12" s="310"/>
      <c r="D12" s="310"/>
      <c r="E12" s="310"/>
      <c r="F12" s="310"/>
      <c r="G12" s="311" t="s">
        <v>12</v>
      </c>
      <c r="H12" s="311"/>
      <c r="I12" s="311"/>
      <c r="J12" s="311"/>
    </row>
    <row r="13" spans="1:10" x14ac:dyDescent="0.35">
      <c r="A13" s="308"/>
      <c r="B13" s="308"/>
      <c r="C13" s="308"/>
      <c r="D13" s="308"/>
      <c r="E13" s="308"/>
      <c r="F13" s="308"/>
      <c r="G13" s="308"/>
      <c r="H13" s="308"/>
      <c r="I13" s="308"/>
      <c r="J13" s="308"/>
    </row>
    <row r="14" spans="1:10" x14ac:dyDescent="0.35">
      <c r="A14" s="287" t="s">
        <v>13</v>
      </c>
      <c r="B14" s="287"/>
      <c r="C14" s="287"/>
      <c r="D14" s="287"/>
      <c r="E14" s="287"/>
      <c r="F14" s="287"/>
      <c r="G14" s="287"/>
      <c r="H14" s="287"/>
      <c r="I14" s="287"/>
      <c r="J14" s="287"/>
    </row>
    <row r="15" spans="1:10" x14ac:dyDescent="0.35">
      <c r="A15" s="308"/>
      <c r="B15" s="308"/>
      <c r="C15" s="308"/>
      <c r="D15" s="308"/>
      <c r="E15" s="308"/>
      <c r="F15" s="308"/>
      <c r="G15" s="308"/>
      <c r="H15" s="308"/>
      <c r="I15" s="308"/>
      <c r="J15" s="308"/>
    </row>
    <row r="16" spans="1:10" x14ac:dyDescent="0.35">
      <c r="A16" s="301" t="s">
        <v>14</v>
      </c>
      <c r="B16" s="301"/>
      <c r="C16" s="301"/>
      <c r="D16" s="311" t="s">
        <v>15</v>
      </c>
      <c r="E16" s="311"/>
      <c r="F16" s="311" t="s">
        <v>16</v>
      </c>
      <c r="G16" s="311"/>
      <c r="H16" s="311"/>
      <c r="I16" s="311"/>
      <c r="J16" s="311"/>
    </row>
    <row r="17" spans="1:10" x14ac:dyDescent="0.35">
      <c r="A17" s="304" t="s">
        <v>205</v>
      </c>
      <c r="B17" s="304"/>
      <c r="C17" s="304"/>
      <c r="D17" s="305" t="s">
        <v>18</v>
      </c>
      <c r="E17" s="306"/>
      <c r="F17" s="307">
        <v>1364.82</v>
      </c>
      <c r="G17" s="307"/>
      <c r="H17" s="307"/>
      <c r="I17" s="307"/>
      <c r="J17" s="307"/>
    </row>
    <row r="18" spans="1:10" x14ac:dyDescent="0.35">
      <c r="A18" s="308"/>
      <c r="B18" s="308"/>
      <c r="C18" s="308"/>
      <c r="D18" s="308"/>
      <c r="E18" s="308"/>
      <c r="F18" s="308"/>
      <c r="G18" s="308"/>
      <c r="H18" s="308"/>
      <c r="I18" s="308"/>
      <c r="J18" s="308"/>
    </row>
    <row r="19" spans="1:10" x14ac:dyDescent="0.35">
      <c r="A19" s="287" t="s">
        <v>19</v>
      </c>
      <c r="B19" s="287"/>
      <c r="C19" s="287"/>
      <c r="D19" s="287"/>
      <c r="E19" s="287"/>
      <c r="F19" s="287"/>
      <c r="G19" s="287"/>
      <c r="H19" s="287"/>
      <c r="I19" s="287"/>
      <c r="J19" s="287"/>
    </row>
    <row r="20" spans="1:10" x14ac:dyDescent="0.35">
      <c r="A20" s="158"/>
      <c r="B20" s="309"/>
      <c r="C20" s="309"/>
      <c r="D20" s="309"/>
      <c r="E20" s="309"/>
      <c r="F20" s="309"/>
      <c r="G20" s="309"/>
      <c r="H20" s="309"/>
      <c r="I20" s="309"/>
      <c r="J20" s="309"/>
    </row>
    <row r="21" spans="1:10" x14ac:dyDescent="0.35">
      <c r="A21" s="163" t="s">
        <v>20</v>
      </c>
      <c r="B21" s="300" t="s">
        <v>21</v>
      </c>
      <c r="C21" s="300"/>
      <c r="D21" s="300"/>
      <c r="E21" s="300"/>
      <c r="F21" s="300"/>
      <c r="G21" s="301" t="s">
        <v>29</v>
      </c>
      <c r="H21" s="301"/>
      <c r="I21" s="301"/>
      <c r="J21" s="301"/>
    </row>
    <row r="22" spans="1:10" x14ac:dyDescent="0.35">
      <c r="A22" s="163" t="s">
        <v>22</v>
      </c>
      <c r="B22" s="300" t="s">
        <v>23</v>
      </c>
      <c r="C22" s="300"/>
      <c r="D22" s="300"/>
      <c r="E22" s="300"/>
      <c r="F22" s="300"/>
      <c r="G22" s="301" t="s">
        <v>206</v>
      </c>
      <c r="H22" s="301"/>
      <c r="I22" s="301"/>
      <c r="J22" s="301"/>
    </row>
    <row r="23" spans="1:10" x14ac:dyDescent="0.35">
      <c r="A23" s="163" t="s">
        <v>25</v>
      </c>
      <c r="B23" s="300" t="s">
        <v>26</v>
      </c>
      <c r="C23" s="300"/>
      <c r="D23" s="300"/>
      <c r="E23" s="300"/>
      <c r="F23" s="300"/>
      <c r="G23" s="312">
        <v>1412.62</v>
      </c>
      <c r="H23" s="312"/>
      <c r="I23" s="312"/>
      <c r="J23" s="312"/>
    </row>
    <row r="24" spans="1:10" x14ac:dyDescent="0.35">
      <c r="A24" s="163" t="s">
        <v>27</v>
      </c>
      <c r="B24" s="300" t="s">
        <v>28</v>
      </c>
      <c r="C24" s="300"/>
      <c r="D24" s="300"/>
      <c r="E24" s="300"/>
      <c r="F24" s="300"/>
      <c r="G24" s="301" t="s">
        <v>207</v>
      </c>
      <c r="H24" s="301"/>
      <c r="I24" s="301"/>
      <c r="J24" s="301"/>
    </row>
    <row r="25" spans="1:10" x14ac:dyDescent="0.35">
      <c r="A25" s="163" t="s">
        <v>30</v>
      </c>
      <c r="B25" s="300" t="s">
        <v>31</v>
      </c>
      <c r="C25" s="300"/>
      <c r="D25" s="300"/>
      <c r="E25" s="300"/>
      <c r="F25" s="300"/>
      <c r="G25" s="302">
        <v>45292</v>
      </c>
      <c r="H25" s="302"/>
      <c r="I25" s="302"/>
      <c r="J25" s="302"/>
    </row>
    <row r="26" spans="1:10" x14ac:dyDescent="0.35">
      <c r="A26" s="319"/>
      <c r="B26" s="319"/>
      <c r="C26" s="319"/>
      <c r="D26" s="319"/>
      <c r="E26" s="319"/>
      <c r="F26" s="319"/>
      <c r="G26" s="319"/>
      <c r="H26" s="319"/>
      <c r="I26" s="319"/>
      <c r="J26" s="319"/>
    </row>
    <row r="27" spans="1:10" x14ac:dyDescent="0.35">
      <c r="A27" s="287" t="s">
        <v>32</v>
      </c>
      <c r="B27" s="287"/>
      <c r="C27" s="287"/>
      <c r="D27" s="287"/>
      <c r="E27" s="287"/>
      <c r="F27" s="287"/>
      <c r="G27" s="287"/>
      <c r="H27" s="287"/>
      <c r="I27" s="287"/>
      <c r="J27" s="287"/>
    </row>
    <row r="28" spans="1:10" x14ac:dyDescent="0.35">
      <c r="A28" s="158"/>
      <c r="B28" s="162"/>
      <c r="C28" s="162"/>
      <c r="D28" s="162"/>
      <c r="E28" s="162"/>
      <c r="F28" s="162"/>
      <c r="G28" s="162"/>
      <c r="H28" s="162"/>
      <c r="I28" s="162"/>
      <c r="J28" s="162"/>
    </row>
    <row r="29" spans="1:10" x14ac:dyDescent="0.35">
      <c r="A29" s="164">
        <v>1</v>
      </c>
      <c r="B29" s="322" t="s">
        <v>33</v>
      </c>
      <c r="C29" s="322"/>
      <c r="D29" s="322"/>
      <c r="E29" s="322"/>
      <c r="F29" s="322"/>
      <c r="G29" s="324" t="s">
        <v>34</v>
      </c>
      <c r="H29" s="324"/>
      <c r="I29" s="324"/>
      <c r="J29" s="324"/>
    </row>
    <row r="30" spans="1:10" x14ac:dyDescent="0.35">
      <c r="A30" s="14" t="s">
        <v>3</v>
      </c>
      <c r="B30" s="325" t="s">
        <v>35</v>
      </c>
      <c r="C30" s="325"/>
      <c r="D30" s="325"/>
      <c r="E30" s="325"/>
      <c r="F30" s="325"/>
      <c r="G30" s="321">
        <f>G23</f>
        <v>1412.62</v>
      </c>
      <c r="H30" s="321"/>
      <c r="I30" s="321"/>
      <c r="J30" s="321"/>
    </row>
    <row r="31" spans="1:10" x14ac:dyDescent="0.35">
      <c r="A31" s="14" t="s">
        <v>5</v>
      </c>
      <c r="B31" s="325" t="s">
        <v>36</v>
      </c>
      <c r="C31" s="325"/>
      <c r="D31" s="325"/>
      <c r="E31" s="325"/>
      <c r="F31" s="325"/>
      <c r="G31" s="321">
        <v>0</v>
      </c>
      <c r="H31" s="321"/>
      <c r="I31" s="321"/>
      <c r="J31" s="321"/>
    </row>
    <row r="32" spans="1:10" x14ac:dyDescent="0.35">
      <c r="A32" s="14" t="s">
        <v>8</v>
      </c>
      <c r="B32" s="313" t="s">
        <v>37</v>
      </c>
      <c r="C32" s="314"/>
      <c r="D32" s="314"/>
      <c r="E32" s="314"/>
      <c r="F32" s="315"/>
      <c r="G32" s="316">
        <f>1412*40%</f>
        <v>564.80000000000007</v>
      </c>
      <c r="H32" s="317"/>
      <c r="I32" s="317"/>
      <c r="J32" s="318"/>
    </row>
    <row r="33" spans="1:10" x14ac:dyDescent="0.35">
      <c r="A33" s="14" t="s">
        <v>10</v>
      </c>
      <c r="B33" s="320" t="s">
        <v>38</v>
      </c>
      <c r="C33" s="320"/>
      <c r="D33" s="320"/>
      <c r="E33" s="320"/>
      <c r="F33" s="320"/>
      <c r="G33" s="321">
        <v>0</v>
      </c>
      <c r="H33" s="321"/>
      <c r="I33" s="321"/>
      <c r="J33" s="321"/>
    </row>
    <row r="34" spans="1:10" x14ac:dyDescent="0.35">
      <c r="A34" s="322" t="s">
        <v>39</v>
      </c>
      <c r="B34" s="322"/>
      <c r="C34" s="322"/>
      <c r="D34" s="322"/>
      <c r="E34" s="322"/>
      <c r="F34" s="322"/>
      <c r="G34" s="323">
        <f>SUM(G30:J33)</f>
        <v>1977.42</v>
      </c>
      <c r="H34" s="323"/>
      <c r="I34" s="323"/>
      <c r="J34" s="323"/>
    </row>
    <row r="35" spans="1:10" x14ac:dyDescent="0.35">
      <c r="A35" s="158"/>
      <c r="B35" s="288"/>
      <c r="C35" s="288"/>
      <c r="D35" s="288"/>
      <c r="E35" s="288"/>
      <c r="F35" s="288"/>
      <c r="G35" s="288"/>
      <c r="H35" s="288"/>
      <c r="I35" s="288"/>
      <c r="J35" s="288"/>
    </row>
    <row r="36" spans="1:10" x14ac:dyDescent="0.35">
      <c r="A36" s="287" t="s">
        <v>40</v>
      </c>
      <c r="B36" s="287"/>
      <c r="C36" s="287"/>
      <c r="D36" s="287"/>
      <c r="E36" s="287"/>
      <c r="F36" s="287"/>
      <c r="G36" s="287"/>
      <c r="H36" s="287"/>
      <c r="I36" s="287"/>
      <c r="J36" s="287"/>
    </row>
    <row r="37" spans="1:10" x14ac:dyDescent="0.35">
      <c r="A37" s="158"/>
      <c r="B37" s="288"/>
      <c r="C37" s="288"/>
      <c r="D37" s="288"/>
      <c r="E37" s="288"/>
      <c r="F37" s="288"/>
      <c r="G37" s="288"/>
      <c r="H37" s="288"/>
      <c r="I37" s="288"/>
      <c r="J37" s="288"/>
    </row>
    <row r="38" spans="1:10" x14ac:dyDescent="0.35">
      <c r="A38" s="326" t="s">
        <v>41</v>
      </c>
      <c r="B38" s="326"/>
      <c r="C38" s="326"/>
      <c r="D38" s="326"/>
      <c r="E38" s="326"/>
      <c r="F38" s="326"/>
      <c r="G38" s="326"/>
      <c r="H38" s="326"/>
      <c r="I38" s="326"/>
      <c r="J38" s="326"/>
    </row>
    <row r="39" spans="1:10" x14ac:dyDescent="0.35">
      <c r="A39" s="327" t="s">
        <v>42</v>
      </c>
      <c r="B39" s="327"/>
      <c r="C39" s="327"/>
      <c r="D39" s="327"/>
      <c r="E39" s="327"/>
      <c r="F39" s="327"/>
      <c r="G39" s="328">
        <f>G34</f>
        <v>1977.42</v>
      </c>
      <c r="H39" s="328"/>
      <c r="I39" s="328"/>
      <c r="J39" s="328"/>
    </row>
    <row r="40" spans="1:10" x14ac:dyDescent="0.35">
      <c r="A40" s="158"/>
      <c r="B40" s="309"/>
      <c r="C40" s="309"/>
      <c r="D40" s="309"/>
      <c r="E40" s="309"/>
      <c r="F40" s="309"/>
      <c r="G40" s="309"/>
      <c r="H40" s="309"/>
      <c r="I40" s="309"/>
      <c r="J40" s="309"/>
    </row>
    <row r="41" spans="1:10" x14ac:dyDescent="0.35">
      <c r="A41" s="163" t="s">
        <v>43</v>
      </c>
      <c r="B41" s="311" t="s">
        <v>44</v>
      </c>
      <c r="C41" s="311"/>
      <c r="D41" s="311"/>
      <c r="E41" s="311"/>
      <c r="F41" s="311"/>
      <c r="G41" s="311" t="s">
        <v>45</v>
      </c>
      <c r="H41" s="311"/>
      <c r="I41" s="322" t="s">
        <v>34</v>
      </c>
      <c r="J41" s="322"/>
    </row>
    <row r="42" spans="1:10" x14ac:dyDescent="0.35">
      <c r="A42" s="160" t="s">
        <v>3</v>
      </c>
      <c r="B42" s="300" t="s">
        <v>46</v>
      </c>
      <c r="C42" s="300"/>
      <c r="D42" s="300"/>
      <c r="E42" s="300"/>
      <c r="F42" s="300"/>
      <c r="G42" s="331">
        <v>8.3299999999999999E-2</v>
      </c>
      <c r="H42" s="331"/>
      <c r="I42" s="330">
        <f>G39*G42</f>
        <v>164.719086</v>
      </c>
      <c r="J42" s="330"/>
    </row>
    <row r="43" spans="1:10" x14ac:dyDescent="0.35">
      <c r="A43" s="160" t="s">
        <v>5</v>
      </c>
      <c r="B43" s="300" t="s">
        <v>47</v>
      </c>
      <c r="C43" s="300"/>
      <c r="D43" s="300"/>
      <c r="E43" s="300"/>
      <c r="F43" s="300"/>
      <c r="G43" s="329">
        <v>2.7799999999999998E-2</v>
      </c>
      <c r="H43" s="329"/>
      <c r="I43" s="330">
        <f>G39*G43</f>
        <v>54.972276000000001</v>
      </c>
      <c r="J43" s="330"/>
    </row>
    <row r="44" spans="1:10" x14ac:dyDescent="0.35">
      <c r="A44" s="311" t="s">
        <v>39</v>
      </c>
      <c r="B44" s="311"/>
      <c r="C44" s="311"/>
      <c r="D44" s="311"/>
      <c r="E44" s="311"/>
      <c r="F44" s="311"/>
      <c r="G44" s="331">
        <f>SUM(G42:H43)</f>
        <v>0.1111</v>
      </c>
      <c r="H44" s="304"/>
      <c r="I44" s="332">
        <f>SUM(I42:J43)</f>
        <v>219.691362</v>
      </c>
      <c r="J44" s="332"/>
    </row>
    <row r="45" spans="1:10" x14ac:dyDescent="0.35">
      <c r="A45" s="288"/>
      <c r="B45" s="288"/>
      <c r="C45" s="288"/>
      <c r="D45" s="288"/>
      <c r="E45" s="288"/>
      <c r="F45" s="288"/>
      <c r="G45" s="288"/>
      <c r="H45" s="288"/>
      <c r="I45" s="288"/>
      <c r="J45" s="288"/>
    </row>
    <row r="46" spans="1:10" x14ac:dyDescent="0.35">
      <c r="A46" s="334" t="s">
        <v>48</v>
      </c>
      <c r="B46" s="334"/>
      <c r="C46" s="334"/>
      <c r="D46" s="334"/>
      <c r="E46" s="334"/>
      <c r="F46" s="334"/>
      <c r="G46" s="334"/>
      <c r="H46" s="334"/>
      <c r="I46" s="334"/>
      <c r="J46" s="334"/>
    </row>
    <row r="47" spans="1:10" x14ac:dyDescent="0.35">
      <c r="A47" s="335" t="s">
        <v>49</v>
      </c>
      <c r="B47" s="335"/>
      <c r="C47" s="335"/>
      <c r="D47" s="335"/>
      <c r="E47" s="335"/>
      <c r="F47" s="335"/>
      <c r="G47" s="336">
        <f>G34+I44</f>
        <v>2197.1113620000001</v>
      </c>
      <c r="H47" s="336"/>
      <c r="I47" s="336"/>
      <c r="J47" s="336"/>
    </row>
    <row r="48" spans="1:10" x14ac:dyDescent="0.35">
      <c r="A48" s="337"/>
      <c r="B48" s="337"/>
      <c r="C48" s="337"/>
      <c r="D48" s="337"/>
      <c r="E48" s="337"/>
      <c r="F48" s="337"/>
      <c r="G48" s="337"/>
      <c r="H48" s="337"/>
      <c r="I48" s="337"/>
      <c r="J48" s="337"/>
    </row>
    <row r="49" spans="1:10" x14ac:dyDescent="0.35">
      <c r="A49" s="165" t="s">
        <v>50</v>
      </c>
      <c r="B49" s="338" t="s">
        <v>51</v>
      </c>
      <c r="C49" s="338"/>
      <c r="D49" s="338"/>
      <c r="E49" s="338"/>
      <c r="F49" s="338"/>
      <c r="G49" s="339" t="s">
        <v>45</v>
      </c>
      <c r="H49" s="339"/>
      <c r="I49" s="340" t="s">
        <v>34</v>
      </c>
      <c r="J49" s="340"/>
    </row>
    <row r="50" spans="1:10" x14ac:dyDescent="0.35">
      <c r="A50" s="160" t="s">
        <v>3</v>
      </c>
      <c r="B50" s="300" t="s">
        <v>52</v>
      </c>
      <c r="C50" s="300"/>
      <c r="D50" s="300"/>
      <c r="E50" s="300"/>
      <c r="F50" s="300"/>
      <c r="G50" s="331">
        <v>0.2</v>
      </c>
      <c r="H50" s="331"/>
      <c r="I50" s="333">
        <f>G47*G50</f>
        <v>439.42227240000005</v>
      </c>
      <c r="J50" s="333"/>
    </row>
    <row r="51" spans="1:10" x14ac:dyDescent="0.35">
      <c r="A51" s="160" t="s">
        <v>5</v>
      </c>
      <c r="B51" s="300" t="s">
        <v>53</v>
      </c>
      <c r="C51" s="300"/>
      <c r="D51" s="300"/>
      <c r="E51" s="300"/>
      <c r="F51" s="300"/>
      <c r="G51" s="331">
        <v>2.5000000000000001E-2</v>
      </c>
      <c r="H51" s="331"/>
      <c r="I51" s="333">
        <f>G47*G51</f>
        <v>54.927784050000007</v>
      </c>
      <c r="J51" s="333"/>
    </row>
    <row r="52" spans="1:10" x14ac:dyDescent="0.35">
      <c r="A52" s="160" t="s">
        <v>8</v>
      </c>
      <c r="B52" s="341" t="s">
        <v>54</v>
      </c>
      <c r="C52" s="341"/>
      <c r="D52" s="341"/>
      <c r="E52" s="341"/>
      <c r="F52" s="341"/>
      <c r="G52" s="342">
        <v>0.03</v>
      </c>
      <c r="H52" s="343"/>
      <c r="I52" s="333">
        <f>G47*G52</f>
        <v>65.913340860000005</v>
      </c>
      <c r="J52" s="333"/>
    </row>
    <row r="53" spans="1:10" x14ac:dyDescent="0.35">
      <c r="A53" s="160" t="s">
        <v>10</v>
      </c>
      <c r="B53" s="300" t="s">
        <v>55</v>
      </c>
      <c r="C53" s="300"/>
      <c r="D53" s="300"/>
      <c r="E53" s="300"/>
      <c r="F53" s="300"/>
      <c r="G53" s="331">
        <v>1.4999999999999999E-2</v>
      </c>
      <c r="H53" s="331"/>
      <c r="I53" s="333">
        <f>G47*G53</f>
        <v>32.956670430000003</v>
      </c>
      <c r="J53" s="333"/>
    </row>
    <row r="54" spans="1:10" x14ac:dyDescent="0.35">
      <c r="A54" s="160" t="s">
        <v>56</v>
      </c>
      <c r="B54" s="300" t="s">
        <v>57</v>
      </c>
      <c r="C54" s="300"/>
      <c r="D54" s="300"/>
      <c r="E54" s="300"/>
      <c r="F54" s="300"/>
      <c r="G54" s="331">
        <v>0.01</v>
      </c>
      <c r="H54" s="331"/>
      <c r="I54" s="333">
        <f>G47*G54</f>
        <v>21.971113620000001</v>
      </c>
      <c r="J54" s="333"/>
    </row>
    <row r="55" spans="1:10" x14ac:dyDescent="0.35">
      <c r="A55" s="160" t="s">
        <v>58</v>
      </c>
      <c r="B55" s="300" t="s">
        <v>59</v>
      </c>
      <c r="C55" s="300"/>
      <c r="D55" s="300"/>
      <c r="E55" s="300"/>
      <c r="F55" s="300"/>
      <c r="G55" s="331">
        <v>6.0000000000000001E-3</v>
      </c>
      <c r="H55" s="331"/>
      <c r="I55" s="333">
        <f>G47*G55</f>
        <v>13.182668172000001</v>
      </c>
      <c r="J55" s="333"/>
    </row>
    <row r="56" spans="1:10" x14ac:dyDescent="0.35">
      <c r="A56" s="160" t="s">
        <v>60</v>
      </c>
      <c r="B56" s="300" t="s">
        <v>61</v>
      </c>
      <c r="C56" s="300"/>
      <c r="D56" s="300"/>
      <c r="E56" s="300"/>
      <c r="F56" s="300"/>
      <c r="G56" s="331">
        <v>2E-3</v>
      </c>
      <c r="H56" s="331"/>
      <c r="I56" s="333">
        <f>G47*G56</f>
        <v>4.3942227240000005</v>
      </c>
      <c r="J56" s="333"/>
    </row>
    <row r="57" spans="1:10" x14ac:dyDescent="0.35">
      <c r="A57" s="160" t="s">
        <v>62</v>
      </c>
      <c r="B57" s="300" t="s">
        <v>63</v>
      </c>
      <c r="C57" s="300"/>
      <c r="D57" s="300"/>
      <c r="E57" s="300"/>
      <c r="F57" s="300"/>
      <c r="G57" s="331">
        <v>0.08</v>
      </c>
      <c r="H57" s="331"/>
      <c r="I57" s="333">
        <f>G47*G57</f>
        <v>175.76890896</v>
      </c>
      <c r="J57" s="333"/>
    </row>
    <row r="58" spans="1:10" x14ac:dyDescent="0.35">
      <c r="A58" s="311" t="s">
        <v>64</v>
      </c>
      <c r="B58" s="311"/>
      <c r="C58" s="311"/>
      <c r="D58" s="311"/>
      <c r="E58" s="311"/>
      <c r="F58" s="311"/>
      <c r="G58" s="344">
        <f>SUM(G50:H57)</f>
        <v>0.36800000000000005</v>
      </c>
      <c r="H58" s="311"/>
      <c r="I58" s="345">
        <f>SUM(I50:J57)</f>
        <v>808.53698121600007</v>
      </c>
      <c r="J58" s="345"/>
    </row>
    <row r="59" spans="1:10" x14ac:dyDescent="0.35">
      <c r="A59" s="319"/>
      <c r="B59" s="319"/>
      <c r="C59" s="319"/>
      <c r="D59" s="319"/>
      <c r="E59" s="319"/>
      <c r="F59" s="319"/>
      <c r="G59" s="319"/>
      <c r="H59" s="319"/>
      <c r="I59" s="319"/>
      <c r="J59" s="319"/>
    </row>
    <row r="60" spans="1:10" x14ac:dyDescent="0.35">
      <c r="A60" s="326" t="s">
        <v>65</v>
      </c>
      <c r="B60" s="326"/>
      <c r="C60" s="326"/>
      <c r="D60" s="326"/>
      <c r="E60" s="326"/>
      <c r="F60" s="326"/>
      <c r="G60" s="326"/>
      <c r="H60" s="326"/>
      <c r="I60" s="326"/>
      <c r="J60" s="326"/>
    </row>
    <row r="61" spans="1:10" x14ac:dyDescent="0.35">
      <c r="A61" s="158"/>
      <c r="B61" s="309"/>
      <c r="C61" s="309"/>
      <c r="D61" s="309"/>
      <c r="E61" s="309"/>
      <c r="F61" s="309"/>
      <c r="G61" s="309"/>
      <c r="H61" s="309"/>
      <c r="I61" s="309"/>
      <c r="J61" s="309"/>
    </row>
    <row r="62" spans="1:10" x14ac:dyDescent="0.35">
      <c r="A62" s="167" t="s">
        <v>66</v>
      </c>
      <c r="B62" s="347" t="s">
        <v>67</v>
      </c>
      <c r="C62" s="347"/>
      <c r="D62" s="347"/>
      <c r="E62" s="347"/>
      <c r="F62" s="347"/>
      <c r="G62" s="295" t="s">
        <v>138</v>
      </c>
      <c r="H62" s="296"/>
      <c r="I62" s="353" t="s">
        <v>34</v>
      </c>
      <c r="J62" s="354"/>
    </row>
    <row r="63" spans="1:10" x14ac:dyDescent="0.35">
      <c r="A63" s="22" t="s">
        <v>3</v>
      </c>
      <c r="B63" s="346" t="s">
        <v>68</v>
      </c>
      <c r="C63" s="346"/>
      <c r="D63" s="346"/>
      <c r="E63" s="346"/>
      <c r="F63" s="346"/>
      <c r="G63" s="291">
        <v>0.06</v>
      </c>
      <c r="H63" s="292"/>
      <c r="I63" s="281">
        <f>(2*3.5*21.25)-(G63*G30)</f>
        <v>63.992800000000017</v>
      </c>
      <c r="J63" s="283"/>
    </row>
    <row r="64" spans="1:10" x14ac:dyDescent="0.35">
      <c r="A64" s="22" t="s">
        <v>5</v>
      </c>
      <c r="B64" s="346" t="s">
        <v>69</v>
      </c>
      <c r="C64" s="346"/>
      <c r="D64" s="346"/>
      <c r="E64" s="346"/>
      <c r="F64" s="346"/>
      <c r="G64" s="291">
        <v>3.5000000000000003E-2</v>
      </c>
      <c r="H64" s="292"/>
      <c r="I64" s="352">
        <f>(20*22)-(20*22*G64)</f>
        <v>424.6</v>
      </c>
      <c r="J64" s="352"/>
    </row>
    <row r="65" spans="1:10" x14ac:dyDescent="0.35">
      <c r="A65" s="22" t="s">
        <v>8</v>
      </c>
      <c r="B65" s="346" t="s">
        <v>70</v>
      </c>
      <c r="C65" s="346"/>
      <c r="D65" s="346"/>
      <c r="E65" s="346"/>
      <c r="F65" s="346"/>
      <c r="G65" s="289" t="s">
        <v>139</v>
      </c>
      <c r="H65" s="290"/>
      <c r="I65" s="352">
        <v>99.84</v>
      </c>
      <c r="J65" s="352"/>
    </row>
    <row r="66" spans="1:10" x14ac:dyDescent="0.35">
      <c r="A66" s="22" t="s">
        <v>10</v>
      </c>
      <c r="B66" s="346" t="s">
        <v>71</v>
      </c>
      <c r="C66" s="346"/>
      <c r="D66" s="346"/>
      <c r="E66" s="346"/>
      <c r="F66" s="346"/>
      <c r="G66" s="289" t="s">
        <v>139</v>
      </c>
      <c r="H66" s="290"/>
      <c r="I66" s="352">
        <v>5</v>
      </c>
      <c r="J66" s="352"/>
    </row>
    <row r="67" spans="1:10" x14ac:dyDescent="0.35">
      <c r="A67" s="22" t="s">
        <v>56</v>
      </c>
      <c r="B67" s="346" t="s">
        <v>72</v>
      </c>
      <c r="C67" s="346"/>
      <c r="D67" s="346"/>
      <c r="E67" s="346"/>
      <c r="F67" s="346"/>
      <c r="G67" s="289" t="s">
        <v>139</v>
      </c>
      <c r="H67" s="290"/>
      <c r="I67" s="352">
        <v>10</v>
      </c>
      <c r="J67" s="352"/>
    </row>
    <row r="68" spans="1:10" x14ac:dyDescent="0.35">
      <c r="A68" s="22" t="s">
        <v>58</v>
      </c>
      <c r="B68" s="346" t="s">
        <v>73</v>
      </c>
      <c r="C68" s="346"/>
      <c r="D68" s="346"/>
      <c r="E68" s="346"/>
      <c r="F68" s="346"/>
      <c r="G68" s="289" t="s">
        <v>139</v>
      </c>
      <c r="H68" s="290"/>
      <c r="I68" s="352">
        <v>8</v>
      </c>
      <c r="J68" s="352"/>
    </row>
    <row r="69" spans="1:10" x14ac:dyDescent="0.35">
      <c r="A69" s="22" t="s">
        <v>60</v>
      </c>
      <c r="B69" s="349" t="s">
        <v>74</v>
      </c>
      <c r="C69" s="350"/>
      <c r="D69" s="350"/>
      <c r="E69" s="350"/>
      <c r="F69" s="351"/>
      <c r="G69" s="293">
        <v>2.6069999999999999E-2</v>
      </c>
      <c r="H69" s="294"/>
      <c r="I69" s="352">
        <f xml:space="preserve"> (282.5*4*G69)/24</f>
        <v>1.2274624999999999</v>
      </c>
      <c r="J69" s="352"/>
    </row>
    <row r="70" spans="1:10" x14ac:dyDescent="0.35">
      <c r="A70" s="22" t="s">
        <v>62</v>
      </c>
      <c r="B70" s="349" t="s">
        <v>75</v>
      </c>
      <c r="C70" s="350"/>
      <c r="D70" s="350"/>
      <c r="E70" s="350"/>
      <c r="F70" s="351"/>
      <c r="G70" s="291">
        <v>1.0416E-2</v>
      </c>
      <c r="H70" s="292"/>
      <c r="I70" s="352">
        <f>((1412.62)*G70)/24</f>
        <v>0.61307707999999994</v>
      </c>
      <c r="J70" s="352"/>
    </row>
    <row r="71" spans="1:10" x14ac:dyDescent="0.35">
      <c r="A71" s="22" t="s">
        <v>20</v>
      </c>
      <c r="B71" s="300" t="s">
        <v>38</v>
      </c>
      <c r="C71" s="300"/>
      <c r="D71" s="300"/>
      <c r="E71" s="300"/>
      <c r="F71" s="300"/>
      <c r="G71" s="289" t="s">
        <v>139</v>
      </c>
      <c r="H71" s="290"/>
      <c r="I71" s="321">
        <v>0</v>
      </c>
      <c r="J71" s="321"/>
    </row>
    <row r="72" spans="1:10" x14ac:dyDescent="0.35">
      <c r="A72" s="355" t="s">
        <v>39</v>
      </c>
      <c r="B72" s="356"/>
      <c r="C72" s="356"/>
      <c r="D72" s="356"/>
      <c r="E72" s="356"/>
      <c r="F72" s="356"/>
      <c r="G72" s="356"/>
      <c r="H72" s="357"/>
      <c r="I72" s="323">
        <f>SUM(I63:J71)</f>
        <v>613.27333958000008</v>
      </c>
      <c r="J72" s="323"/>
    </row>
    <row r="73" spans="1:10" x14ac:dyDescent="0.35">
      <c r="A73" s="348"/>
      <c r="B73" s="348"/>
      <c r="C73" s="348"/>
      <c r="D73" s="348"/>
      <c r="E73" s="348"/>
      <c r="F73" s="348"/>
      <c r="G73" s="348"/>
      <c r="H73" s="348"/>
      <c r="I73" s="348"/>
      <c r="J73" s="348"/>
    </row>
    <row r="74" spans="1:10" x14ac:dyDescent="0.35">
      <c r="A74" s="326" t="s">
        <v>76</v>
      </c>
      <c r="B74" s="326"/>
      <c r="C74" s="326"/>
      <c r="D74" s="326"/>
      <c r="E74" s="326"/>
      <c r="F74" s="326"/>
      <c r="G74" s="326"/>
      <c r="H74" s="326"/>
      <c r="I74" s="326"/>
      <c r="J74" s="326"/>
    </row>
    <row r="75" spans="1:10" x14ac:dyDescent="0.35">
      <c r="A75" s="358"/>
      <c r="B75" s="358"/>
      <c r="C75" s="358"/>
      <c r="D75" s="358"/>
      <c r="E75" s="358"/>
      <c r="F75" s="358"/>
      <c r="G75" s="358"/>
      <c r="H75" s="358"/>
      <c r="I75" s="358"/>
      <c r="J75" s="358"/>
    </row>
    <row r="76" spans="1:10" x14ac:dyDescent="0.35">
      <c r="A76" s="163">
        <v>2</v>
      </c>
      <c r="B76" s="311" t="s">
        <v>77</v>
      </c>
      <c r="C76" s="311"/>
      <c r="D76" s="311"/>
      <c r="E76" s="311"/>
      <c r="F76" s="311"/>
      <c r="G76" s="311" t="s">
        <v>34</v>
      </c>
      <c r="H76" s="311"/>
      <c r="I76" s="311"/>
      <c r="J76" s="311"/>
    </row>
    <row r="77" spans="1:10" x14ac:dyDescent="0.35">
      <c r="A77" s="160" t="s">
        <v>43</v>
      </c>
      <c r="B77" s="300" t="s">
        <v>44</v>
      </c>
      <c r="C77" s="300"/>
      <c r="D77" s="300"/>
      <c r="E77" s="300"/>
      <c r="F77" s="300"/>
      <c r="G77" s="321">
        <f>I44</f>
        <v>219.691362</v>
      </c>
      <c r="H77" s="321"/>
      <c r="I77" s="321"/>
      <c r="J77" s="321"/>
    </row>
    <row r="78" spans="1:10" x14ac:dyDescent="0.35">
      <c r="A78" s="160" t="s">
        <v>50</v>
      </c>
      <c r="B78" s="300" t="s">
        <v>51</v>
      </c>
      <c r="C78" s="300"/>
      <c r="D78" s="300"/>
      <c r="E78" s="300"/>
      <c r="F78" s="300"/>
      <c r="G78" s="321">
        <f>I58</f>
        <v>808.53698121600007</v>
      </c>
      <c r="H78" s="321"/>
      <c r="I78" s="321"/>
      <c r="J78" s="321"/>
    </row>
    <row r="79" spans="1:10" x14ac:dyDescent="0.35">
      <c r="A79" s="160" t="s">
        <v>66</v>
      </c>
      <c r="B79" s="300" t="s">
        <v>67</v>
      </c>
      <c r="C79" s="300"/>
      <c r="D79" s="300"/>
      <c r="E79" s="300"/>
      <c r="F79" s="300"/>
      <c r="G79" s="321">
        <f>I72</f>
        <v>613.27333958000008</v>
      </c>
      <c r="H79" s="321"/>
      <c r="I79" s="321"/>
      <c r="J79" s="321"/>
    </row>
    <row r="80" spans="1:10" x14ac:dyDescent="0.35">
      <c r="A80" s="311" t="s">
        <v>39</v>
      </c>
      <c r="B80" s="311"/>
      <c r="C80" s="311"/>
      <c r="D80" s="311"/>
      <c r="E80" s="311"/>
      <c r="F80" s="311"/>
      <c r="G80" s="323">
        <f>SUM(G77:J79)</f>
        <v>1641.5016827960001</v>
      </c>
      <c r="H80" s="323"/>
      <c r="I80" s="323"/>
      <c r="J80" s="323"/>
    </row>
    <row r="81" spans="1:10" x14ac:dyDescent="0.35">
      <c r="A81" s="319"/>
      <c r="B81" s="319"/>
      <c r="C81" s="319"/>
      <c r="D81" s="319"/>
      <c r="E81" s="319"/>
      <c r="F81" s="319"/>
      <c r="G81" s="319"/>
      <c r="H81" s="319"/>
      <c r="I81" s="319"/>
      <c r="J81" s="319"/>
    </row>
    <row r="82" spans="1:10" x14ac:dyDescent="0.35">
      <c r="A82" s="303"/>
      <c r="B82" s="303"/>
      <c r="C82" s="303"/>
      <c r="D82" s="303"/>
      <c r="E82" s="303"/>
      <c r="F82" s="303"/>
      <c r="G82" s="303"/>
      <c r="H82" s="303"/>
      <c r="I82" s="303"/>
      <c r="J82" s="303"/>
    </row>
    <row r="83" spans="1:10" x14ac:dyDescent="0.35">
      <c r="A83" s="287" t="s">
        <v>78</v>
      </c>
      <c r="B83" s="287"/>
      <c r="C83" s="287"/>
      <c r="D83" s="287"/>
      <c r="E83" s="287"/>
      <c r="F83" s="287"/>
      <c r="G83" s="287"/>
      <c r="H83" s="287"/>
      <c r="I83" s="287"/>
      <c r="J83" s="287"/>
    </row>
    <row r="84" spans="1:10" x14ac:dyDescent="0.35">
      <c r="A84" s="361" t="s">
        <v>79</v>
      </c>
      <c r="B84" s="361"/>
      <c r="C84" s="361"/>
      <c r="D84" s="361"/>
      <c r="E84" s="361"/>
      <c r="F84" s="361"/>
      <c r="G84" s="362">
        <f>G34</f>
        <v>1977.42</v>
      </c>
      <c r="H84" s="362"/>
      <c r="I84" s="362"/>
      <c r="J84" s="362"/>
    </row>
    <row r="85" spans="1:10" x14ac:dyDescent="0.35">
      <c r="A85" s="363"/>
      <c r="B85" s="363"/>
      <c r="C85" s="363"/>
      <c r="D85" s="363"/>
      <c r="E85" s="363"/>
      <c r="F85" s="363"/>
      <c r="G85" s="309"/>
      <c r="H85" s="309"/>
      <c r="I85" s="309"/>
      <c r="J85" s="309"/>
    </row>
    <row r="86" spans="1:10" x14ac:dyDescent="0.35">
      <c r="A86" s="164">
        <v>3</v>
      </c>
      <c r="B86" s="322" t="s">
        <v>80</v>
      </c>
      <c r="C86" s="322"/>
      <c r="D86" s="322"/>
      <c r="E86" s="322"/>
      <c r="F86" s="322"/>
      <c r="G86" s="364" t="s">
        <v>45</v>
      </c>
      <c r="H86" s="364"/>
      <c r="I86" s="322" t="s">
        <v>34</v>
      </c>
      <c r="J86" s="322"/>
    </row>
    <row r="87" spans="1:10" x14ac:dyDescent="0.35">
      <c r="A87" s="14" t="s">
        <v>3</v>
      </c>
      <c r="B87" s="359" t="s">
        <v>81</v>
      </c>
      <c r="C87" s="359"/>
      <c r="D87" s="359"/>
      <c r="E87" s="359"/>
      <c r="F87" s="359"/>
      <c r="G87" s="30">
        <v>0.05</v>
      </c>
      <c r="H87" s="24">
        <f>(1/12)*G87</f>
        <v>4.1666666666666666E-3</v>
      </c>
      <c r="I87" s="333">
        <f>G84*H87</f>
        <v>8.2392500000000002</v>
      </c>
      <c r="J87" s="333"/>
    </row>
    <row r="88" spans="1:10" x14ac:dyDescent="0.35">
      <c r="A88" s="14" t="s">
        <v>5</v>
      </c>
      <c r="B88" s="359" t="s">
        <v>82</v>
      </c>
      <c r="C88" s="359"/>
      <c r="D88" s="359"/>
      <c r="E88" s="359"/>
      <c r="F88" s="359"/>
      <c r="G88" s="329">
        <f>H87*0.08</f>
        <v>3.3333333333333332E-4</v>
      </c>
      <c r="H88" s="329"/>
      <c r="I88" s="360">
        <f>G84*G88</f>
        <v>0.65913999999999995</v>
      </c>
      <c r="J88" s="360"/>
    </row>
    <row r="89" spans="1:10" x14ac:dyDescent="0.35">
      <c r="A89" s="14" t="s">
        <v>8</v>
      </c>
      <c r="B89" s="359" t="s">
        <v>203</v>
      </c>
      <c r="C89" s="359"/>
      <c r="D89" s="359"/>
      <c r="E89" s="359"/>
      <c r="F89" s="359"/>
      <c r="G89" s="30">
        <v>0.9</v>
      </c>
      <c r="H89" s="24">
        <f>(1+2/12+(1/3*1/12))*0.08*0.4*G89</f>
        <v>3.4400000000000007E-2</v>
      </c>
      <c r="I89" s="365">
        <f>G84*H89</f>
        <v>68.023248000000009</v>
      </c>
      <c r="J89" s="366"/>
    </row>
    <row r="90" spans="1:10" x14ac:dyDescent="0.35">
      <c r="A90" s="14" t="s">
        <v>10</v>
      </c>
      <c r="B90" s="359" t="s">
        <v>83</v>
      </c>
      <c r="C90" s="359"/>
      <c r="D90" s="359"/>
      <c r="E90" s="359"/>
      <c r="F90" s="359"/>
      <c r="G90" s="329">
        <f>((7/30) + (7/30*0.1))/ 24</f>
        <v>1.0694444444444444E-2</v>
      </c>
      <c r="H90" s="329"/>
      <c r="I90" s="365">
        <f>G84*G90</f>
        <v>21.147408333333335</v>
      </c>
      <c r="J90" s="366"/>
    </row>
    <row r="91" spans="1:10" x14ac:dyDescent="0.35">
      <c r="A91" s="14" t="s">
        <v>56</v>
      </c>
      <c r="B91" s="359" t="s">
        <v>84</v>
      </c>
      <c r="C91" s="359"/>
      <c r="D91" s="359"/>
      <c r="E91" s="359"/>
      <c r="F91" s="359"/>
      <c r="G91" s="329">
        <f>G90*G58</f>
        <v>3.9355555555555559E-3</v>
      </c>
      <c r="H91" s="329"/>
      <c r="I91" s="365">
        <f>G84*G91</f>
        <v>7.7822462666666672</v>
      </c>
      <c r="J91" s="366"/>
    </row>
    <row r="92" spans="1:10" x14ac:dyDescent="0.35">
      <c r="A92" s="14" t="s">
        <v>58</v>
      </c>
      <c r="B92" s="359" t="s">
        <v>204</v>
      </c>
      <c r="C92" s="359"/>
      <c r="D92" s="359"/>
      <c r="E92" s="359"/>
      <c r="F92" s="359"/>
      <c r="G92" s="367">
        <f>G90*0.08*0.4</f>
        <v>3.4222222222222228E-4</v>
      </c>
      <c r="H92" s="367"/>
      <c r="I92" s="368">
        <f>G84*G92</f>
        <v>0.67671706666666676</v>
      </c>
      <c r="J92" s="369"/>
    </row>
    <row r="93" spans="1:10" x14ac:dyDescent="0.35">
      <c r="A93" s="322" t="s">
        <v>39</v>
      </c>
      <c r="B93" s="322"/>
      <c r="C93" s="322"/>
      <c r="D93" s="322"/>
      <c r="E93" s="322"/>
      <c r="F93" s="322"/>
      <c r="G93" s="372">
        <f>SUM(H87,G88,H89,G90,G91,G92)</f>
        <v>5.3872222222222224E-2</v>
      </c>
      <c r="H93" s="372"/>
      <c r="I93" s="345">
        <f>SUM(I87:J92)</f>
        <v>106.52800966666668</v>
      </c>
      <c r="J93" s="345"/>
    </row>
    <row r="94" spans="1:10" x14ac:dyDescent="0.35">
      <c r="A94" s="373"/>
      <c r="B94" s="373"/>
      <c r="C94" s="373"/>
      <c r="D94" s="373"/>
      <c r="E94" s="373"/>
      <c r="F94" s="373"/>
      <c r="G94" s="373"/>
      <c r="H94" s="373"/>
      <c r="I94" s="373"/>
      <c r="J94" s="373"/>
    </row>
    <row r="95" spans="1:10" x14ac:dyDescent="0.35">
      <c r="A95" s="287" t="s">
        <v>85</v>
      </c>
      <c r="B95" s="287"/>
      <c r="C95" s="287"/>
      <c r="D95" s="287"/>
      <c r="E95" s="287"/>
      <c r="F95" s="287"/>
      <c r="G95" s="287"/>
      <c r="H95" s="287"/>
      <c r="I95" s="287"/>
      <c r="J95" s="287"/>
    </row>
    <row r="96" spans="1:10" x14ac:dyDescent="0.35">
      <c r="A96" s="158"/>
      <c r="B96" s="288"/>
      <c r="C96" s="288"/>
      <c r="D96" s="288"/>
      <c r="E96" s="288"/>
      <c r="F96" s="288"/>
      <c r="G96" s="288"/>
      <c r="H96" s="288"/>
      <c r="I96" s="288"/>
      <c r="J96" s="288"/>
    </row>
    <row r="97" spans="1:10" x14ac:dyDescent="0.35">
      <c r="A97" s="326" t="s">
        <v>86</v>
      </c>
      <c r="B97" s="326"/>
      <c r="C97" s="326"/>
      <c r="D97" s="326"/>
      <c r="E97" s="326"/>
      <c r="F97" s="326"/>
      <c r="G97" s="326"/>
      <c r="H97" s="326"/>
      <c r="I97" s="326"/>
      <c r="J97" s="326"/>
    </row>
    <row r="98" spans="1:10" x14ac:dyDescent="0.35">
      <c r="A98" s="361" t="s">
        <v>87</v>
      </c>
      <c r="B98" s="361"/>
      <c r="C98" s="361"/>
      <c r="D98" s="361"/>
      <c r="E98" s="361"/>
      <c r="F98" s="361"/>
      <c r="G98" s="370">
        <f>G34</f>
        <v>1977.42</v>
      </c>
      <c r="H98" s="371"/>
      <c r="I98" s="371"/>
      <c r="J98" s="371"/>
    </row>
    <row r="99" spans="1:10" x14ac:dyDescent="0.35">
      <c r="A99" s="16"/>
      <c r="B99" s="16"/>
      <c r="C99" s="16"/>
      <c r="D99" s="16"/>
      <c r="E99" s="16"/>
      <c r="F99" s="16"/>
      <c r="G99" s="161"/>
      <c r="H99" s="161"/>
      <c r="I99" s="161"/>
      <c r="J99" s="161"/>
    </row>
    <row r="100" spans="1:10" x14ac:dyDescent="0.35">
      <c r="A100" s="166" t="s">
        <v>88</v>
      </c>
      <c r="B100" s="339" t="s">
        <v>89</v>
      </c>
      <c r="C100" s="339"/>
      <c r="D100" s="339"/>
      <c r="E100" s="339"/>
      <c r="F100" s="339"/>
      <c r="G100" s="322" t="s">
        <v>90</v>
      </c>
      <c r="H100" s="322"/>
      <c r="I100" s="311" t="s">
        <v>34</v>
      </c>
      <c r="J100" s="311"/>
    </row>
    <row r="101" spans="1:10" x14ac:dyDescent="0.35">
      <c r="A101" s="160" t="s">
        <v>3</v>
      </c>
      <c r="B101" s="300" t="s">
        <v>91</v>
      </c>
      <c r="C101" s="300"/>
      <c r="D101" s="300"/>
      <c r="E101" s="300"/>
      <c r="F101" s="300"/>
      <c r="G101" s="329">
        <f>1/12</f>
        <v>8.3333333333333329E-2</v>
      </c>
      <c r="H101" s="329"/>
      <c r="I101" s="321">
        <f>G101*G98</f>
        <v>164.785</v>
      </c>
      <c r="J101" s="321"/>
    </row>
    <row r="102" spans="1:10" x14ac:dyDescent="0.35">
      <c r="A102" s="14" t="s">
        <v>5</v>
      </c>
      <c r="B102" s="325" t="s">
        <v>92</v>
      </c>
      <c r="C102" s="325"/>
      <c r="D102" s="325"/>
      <c r="E102" s="325"/>
      <c r="F102" s="325"/>
      <c r="G102" s="374">
        <f>(1/30)/12</f>
        <v>2.7777777777777779E-3</v>
      </c>
      <c r="H102" s="374"/>
      <c r="I102" s="321">
        <f>G98*G102</f>
        <v>5.4928333333333335</v>
      </c>
      <c r="J102" s="321"/>
    </row>
    <row r="103" spans="1:10" x14ac:dyDescent="0.35">
      <c r="A103" s="14" t="s">
        <v>8</v>
      </c>
      <c r="B103" s="325" t="s">
        <v>93</v>
      </c>
      <c r="C103" s="325"/>
      <c r="D103" s="325"/>
      <c r="E103" s="325"/>
      <c r="F103" s="325"/>
      <c r="G103" s="374">
        <f>(5/30)/12*0.015</f>
        <v>2.0833333333333332E-4</v>
      </c>
      <c r="H103" s="374"/>
      <c r="I103" s="321">
        <f>G98*G103</f>
        <v>0.41196250000000001</v>
      </c>
      <c r="J103" s="321"/>
    </row>
    <row r="104" spans="1:10" x14ac:dyDescent="0.35">
      <c r="A104" s="14" t="s">
        <v>10</v>
      </c>
      <c r="B104" s="325" t="s">
        <v>94</v>
      </c>
      <c r="C104" s="325"/>
      <c r="D104" s="325"/>
      <c r="E104" s="325"/>
      <c r="F104" s="325"/>
      <c r="G104" s="374">
        <f>1/12*0.0078</f>
        <v>6.4999999999999997E-4</v>
      </c>
      <c r="H104" s="374"/>
      <c r="I104" s="321">
        <f>G98*G104</f>
        <v>1.285323</v>
      </c>
      <c r="J104" s="321"/>
    </row>
    <row r="105" spans="1:10" x14ac:dyDescent="0.35">
      <c r="A105" s="14" t="s">
        <v>56</v>
      </c>
      <c r="B105" s="325" t="s">
        <v>95</v>
      </c>
      <c r="C105" s="325"/>
      <c r="D105" s="325"/>
      <c r="E105" s="325"/>
      <c r="F105" s="325"/>
      <c r="G105" s="374">
        <f>((1/12)+(1/3*1/12))*0.02607*6/12</f>
        <v>1.4483333333333334E-3</v>
      </c>
      <c r="H105" s="374"/>
      <c r="I105" s="321">
        <f>G98*G105</f>
        <v>2.8639633</v>
      </c>
      <c r="J105" s="321"/>
    </row>
    <row r="106" spans="1:10" x14ac:dyDescent="0.35">
      <c r="A106" s="14" t="s">
        <v>58</v>
      </c>
      <c r="B106" s="325" t="s">
        <v>96</v>
      </c>
      <c r="C106" s="325"/>
      <c r="D106" s="325"/>
      <c r="E106" s="325"/>
      <c r="F106" s="325"/>
      <c r="G106" s="374">
        <f>(5/30/12)</f>
        <v>1.3888888888888888E-2</v>
      </c>
      <c r="H106" s="374"/>
      <c r="I106" s="321">
        <f>G98*G106</f>
        <v>27.464166666666667</v>
      </c>
      <c r="J106" s="321"/>
    </row>
    <row r="107" spans="1:10" x14ac:dyDescent="0.35">
      <c r="A107" s="375" t="s">
        <v>97</v>
      </c>
      <c r="B107" s="375"/>
      <c r="C107" s="375"/>
      <c r="D107" s="375"/>
      <c r="E107" s="375"/>
      <c r="F107" s="375"/>
      <c r="G107" s="376">
        <f>SUM(G101:H106)</f>
        <v>0.10230666666666666</v>
      </c>
      <c r="H107" s="376"/>
      <c r="I107" s="377">
        <f>SUM(I101:J106)</f>
        <v>202.30324879999998</v>
      </c>
      <c r="J107" s="377"/>
    </row>
    <row r="108" spans="1:10" x14ac:dyDescent="0.35">
      <c r="A108" s="172" t="s">
        <v>60</v>
      </c>
      <c r="B108" s="378" t="s">
        <v>98</v>
      </c>
      <c r="C108" s="378"/>
      <c r="D108" s="378"/>
      <c r="E108" s="378"/>
      <c r="F108" s="379"/>
      <c r="G108" s="380">
        <f>(G107-G105)*(2/12+(1/3*1/12))</f>
        <v>1.961134259259259E-2</v>
      </c>
      <c r="H108" s="379"/>
      <c r="I108" s="381">
        <f>G98*G108</f>
        <v>38.779861069444443</v>
      </c>
      <c r="J108" s="382"/>
    </row>
    <row r="109" spans="1:10" x14ac:dyDescent="0.35">
      <c r="A109" s="388" t="s">
        <v>99</v>
      </c>
      <c r="B109" s="389"/>
      <c r="C109" s="389"/>
      <c r="D109" s="389"/>
      <c r="E109" s="389"/>
      <c r="F109" s="390"/>
      <c r="G109" s="391">
        <f>SUM(G107:H108)</f>
        <v>0.12191800925925925</v>
      </c>
      <c r="H109" s="392"/>
      <c r="I109" s="393">
        <f>SUM(I107:J108)</f>
        <v>241.08310986944443</v>
      </c>
      <c r="J109" s="394"/>
    </row>
    <row r="110" spans="1:10" x14ac:dyDescent="0.35">
      <c r="A110" s="172" t="s">
        <v>62</v>
      </c>
      <c r="B110" s="395" t="s">
        <v>100</v>
      </c>
      <c r="C110" s="395"/>
      <c r="D110" s="395"/>
      <c r="E110" s="395"/>
      <c r="F110" s="396"/>
      <c r="G110" s="380">
        <f>G109*G58</f>
        <v>4.486582740740741E-2</v>
      </c>
      <c r="H110" s="397"/>
      <c r="I110" s="381">
        <f>G98*G110</f>
        <v>88.718584431955563</v>
      </c>
      <c r="J110" s="382"/>
    </row>
    <row r="111" spans="1:10" x14ac:dyDescent="0.35">
      <c r="A111" s="383" t="s">
        <v>39</v>
      </c>
      <c r="B111" s="378"/>
      <c r="C111" s="378"/>
      <c r="D111" s="378"/>
      <c r="E111" s="378"/>
      <c r="F111" s="379"/>
      <c r="G111" s="384">
        <f>SUM(G109:H110)</f>
        <v>0.16678383666666666</v>
      </c>
      <c r="H111" s="385"/>
      <c r="I111" s="386">
        <f>G98*G111</f>
        <v>329.8016943014</v>
      </c>
      <c r="J111" s="387"/>
    </row>
    <row r="112" spans="1:10" x14ac:dyDescent="0.35">
      <c r="A112" s="168"/>
      <c r="B112" s="404"/>
      <c r="C112" s="404"/>
      <c r="D112" s="404"/>
      <c r="E112" s="404"/>
      <c r="F112" s="404"/>
      <c r="G112" s="404"/>
      <c r="H112" s="404"/>
      <c r="I112" s="404"/>
      <c r="J112" s="404"/>
    </row>
    <row r="113" spans="1:10" x14ac:dyDescent="0.35">
      <c r="A113" s="400" t="s">
        <v>101</v>
      </c>
      <c r="B113" s="400"/>
      <c r="C113" s="400"/>
      <c r="D113" s="400"/>
      <c r="E113" s="400"/>
      <c r="F113" s="400"/>
      <c r="G113" s="400"/>
      <c r="H113" s="400"/>
      <c r="I113" s="400"/>
      <c r="J113" s="400"/>
    </row>
    <row r="114" spans="1:10" x14ac:dyDescent="0.35">
      <c r="A114" s="401"/>
      <c r="B114" s="401"/>
      <c r="C114" s="401"/>
      <c r="D114" s="401"/>
      <c r="E114" s="401"/>
      <c r="F114" s="401"/>
      <c r="G114" s="402"/>
      <c r="H114" s="402"/>
      <c r="I114" s="402"/>
      <c r="J114" s="402"/>
    </row>
    <row r="115" spans="1:10" x14ac:dyDescent="0.35">
      <c r="A115" s="163" t="s">
        <v>102</v>
      </c>
      <c r="B115" s="311" t="s">
        <v>103</v>
      </c>
      <c r="C115" s="311"/>
      <c r="D115" s="311"/>
      <c r="E115" s="311"/>
      <c r="F115" s="311"/>
      <c r="G115" s="311" t="s">
        <v>34</v>
      </c>
      <c r="H115" s="311"/>
      <c r="I115" s="311"/>
      <c r="J115" s="311"/>
    </row>
    <row r="116" spans="1:10" x14ac:dyDescent="0.35">
      <c r="A116" s="160" t="s">
        <v>3</v>
      </c>
      <c r="B116" s="300" t="s">
        <v>104</v>
      </c>
      <c r="C116" s="300"/>
      <c r="D116" s="300"/>
      <c r="E116" s="300"/>
      <c r="F116" s="300"/>
      <c r="G116" s="333">
        <v>0</v>
      </c>
      <c r="H116" s="333"/>
      <c r="I116" s="333"/>
      <c r="J116" s="333"/>
    </row>
    <row r="117" spans="1:10" x14ac:dyDescent="0.35">
      <c r="A117" s="311" t="s">
        <v>39</v>
      </c>
      <c r="B117" s="311"/>
      <c r="C117" s="311"/>
      <c r="D117" s="311"/>
      <c r="E117" s="311"/>
      <c r="F117" s="311"/>
      <c r="G117" s="345">
        <f>SUM(G116)</f>
        <v>0</v>
      </c>
      <c r="H117" s="345"/>
      <c r="I117" s="345"/>
      <c r="J117" s="345"/>
    </row>
    <row r="118" spans="1:10" x14ac:dyDescent="0.35">
      <c r="A118" s="168"/>
      <c r="B118" s="398"/>
      <c r="C118" s="398"/>
      <c r="D118" s="398"/>
      <c r="E118" s="398"/>
      <c r="F118" s="398"/>
      <c r="G118" s="398"/>
      <c r="H118" s="398"/>
      <c r="I118" s="398"/>
      <c r="J118" s="398"/>
    </row>
    <row r="119" spans="1:10" x14ac:dyDescent="0.35">
      <c r="A119" s="399" t="s">
        <v>105</v>
      </c>
      <c r="B119" s="399"/>
      <c r="C119" s="399"/>
      <c r="D119" s="399"/>
      <c r="E119" s="399"/>
      <c r="F119" s="399"/>
      <c r="G119" s="399"/>
      <c r="H119" s="399"/>
      <c r="I119" s="399"/>
      <c r="J119" s="399"/>
    </row>
    <row r="120" spans="1:10" x14ac:dyDescent="0.35">
      <c r="A120" s="168"/>
      <c r="B120" s="404"/>
      <c r="C120" s="404"/>
      <c r="D120" s="404"/>
      <c r="E120" s="404"/>
      <c r="F120" s="404"/>
      <c r="G120" s="405"/>
      <c r="H120" s="405"/>
      <c r="I120" s="405"/>
      <c r="J120" s="405"/>
    </row>
    <row r="121" spans="1:10" x14ac:dyDescent="0.35">
      <c r="A121" s="163">
        <v>4</v>
      </c>
      <c r="B121" s="311" t="s">
        <v>106</v>
      </c>
      <c r="C121" s="311"/>
      <c r="D121" s="311"/>
      <c r="E121" s="311"/>
      <c r="F121" s="311"/>
      <c r="G121" s="311" t="s">
        <v>34</v>
      </c>
      <c r="H121" s="311"/>
      <c r="I121" s="311"/>
      <c r="J121" s="311"/>
    </row>
    <row r="122" spans="1:10" x14ac:dyDescent="0.35">
      <c r="A122" s="160" t="s">
        <v>88</v>
      </c>
      <c r="B122" s="300" t="s">
        <v>107</v>
      </c>
      <c r="C122" s="300"/>
      <c r="D122" s="300"/>
      <c r="E122" s="300"/>
      <c r="F122" s="300"/>
      <c r="G122" s="321">
        <f>I111</f>
        <v>329.8016943014</v>
      </c>
      <c r="H122" s="321"/>
      <c r="I122" s="321"/>
      <c r="J122" s="321"/>
    </row>
    <row r="123" spans="1:10" x14ac:dyDescent="0.35">
      <c r="A123" s="160" t="s">
        <v>102</v>
      </c>
      <c r="B123" s="403" t="s">
        <v>108</v>
      </c>
      <c r="C123" s="403"/>
      <c r="D123" s="403"/>
      <c r="E123" s="403"/>
      <c r="F123" s="403"/>
      <c r="G123" s="321">
        <f>G117</f>
        <v>0</v>
      </c>
      <c r="H123" s="321"/>
      <c r="I123" s="321"/>
      <c r="J123" s="321"/>
    </row>
    <row r="124" spans="1:10" x14ac:dyDescent="0.35">
      <c r="A124" s="311" t="s">
        <v>39</v>
      </c>
      <c r="B124" s="311"/>
      <c r="C124" s="311"/>
      <c r="D124" s="311"/>
      <c r="E124" s="311"/>
      <c r="F124" s="311"/>
      <c r="G124" s="323">
        <f>SUM(G122:J123)</f>
        <v>329.8016943014</v>
      </c>
      <c r="H124" s="323"/>
      <c r="I124" s="323"/>
      <c r="J124" s="323"/>
    </row>
    <row r="125" spans="1:10" x14ac:dyDescent="0.35">
      <c r="A125" s="168"/>
      <c r="B125" s="404"/>
      <c r="C125" s="404"/>
      <c r="D125" s="404"/>
      <c r="E125" s="404"/>
      <c r="F125" s="404"/>
      <c r="G125" s="404"/>
      <c r="H125" s="404"/>
      <c r="I125" s="404"/>
      <c r="J125" s="404"/>
    </row>
    <row r="126" spans="1:10" x14ac:dyDescent="0.35">
      <c r="A126" s="168"/>
      <c r="B126" s="398"/>
      <c r="C126" s="398"/>
      <c r="D126" s="398"/>
      <c r="E126" s="398"/>
      <c r="F126" s="398"/>
      <c r="G126" s="398"/>
      <c r="H126" s="398"/>
      <c r="I126" s="398"/>
      <c r="J126" s="398"/>
    </row>
    <row r="127" spans="1:10" x14ac:dyDescent="0.35">
      <c r="A127" s="407" t="s">
        <v>109</v>
      </c>
      <c r="B127" s="407"/>
      <c r="C127" s="407"/>
      <c r="D127" s="407"/>
      <c r="E127" s="407"/>
      <c r="F127" s="407"/>
      <c r="G127" s="407"/>
      <c r="H127" s="407"/>
      <c r="I127" s="407"/>
      <c r="J127" s="407"/>
    </row>
    <row r="128" spans="1:10" x14ac:dyDescent="0.35">
      <c r="A128" s="89"/>
      <c r="B128" s="408"/>
      <c r="C128" s="408"/>
      <c r="D128" s="408"/>
      <c r="E128" s="408"/>
      <c r="F128" s="408"/>
      <c r="G128" s="408"/>
      <c r="H128" s="408"/>
      <c r="I128" s="408"/>
      <c r="J128" s="408"/>
    </row>
    <row r="129" spans="1:10" x14ac:dyDescent="0.35">
      <c r="A129" s="167">
        <v>5</v>
      </c>
      <c r="B129" s="406" t="s">
        <v>110</v>
      </c>
      <c r="C129" s="406"/>
      <c r="D129" s="406"/>
      <c r="E129" s="406"/>
      <c r="F129" s="406"/>
      <c r="G129" s="347" t="s">
        <v>34</v>
      </c>
      <c r="H129" s="347"/>
      <c r="I129" s="347"/>
      <c r="J129" s="347"/>
    </row>
    <row r="130" spans="1:10" x14ac:dyDescent="0.35">
      <c r="A130" s="22" t="s">
        <v>3</v>
      </c>
      <c r="B130" s="346" t="s">
        <v>111</v>
      </c>
      <c r="C130" s="346"/>
      <c r="D130" s="346"/>
      <c r="E130" s="346"/>
      <c r="F130" s="346"/>
      <c r="G130" s="352">
        <f>Uniformes!F24</f>
        <v>41.54076666666667</v>
      </c>
      <c r="H130" s="352"/>
      <c r="I130" s="352"/>
      <c r="J130" s="352"/>
    </row>
    <row r="131" spans="1:10" x14ac:dyDescent="0.35">
      <c r="A131" s="22" t="s">
        <v>5</v>
      </c>
      <c r="B131" s="284" t="s">
        <v>202</v>
      </c>
      <c r="C131" s="285"/>
      <c r="D131" s="285"/>
      <c r="E131" s="285"/>
      <c r="F131" s="286"/>
      <c r="G131" s="281">
        <f>Equipamentos!L88</f>
        <v>21.347442749999995</v>
      </c>
      <c r="H131" s="282"/>
      <c r="I131" s="282"/>
      <c r="J131" s="283"/>
    </row>
    <row r="132" spans="1:10" x14ac:dyDescent="0.35">
      <c r="A132" s="347" t="s">
        <v>64</v>
      </c>
      <c r="B132" s="347"/>
      <c r="C132" s="347"/>
      <c r="D132" s="347"/>
      <c r="E132" s="347"/>
      <c r="F132" s="347"/>
      <c r="G132" s="413">
        <f>SUM(G130:J131)</f>
        <v>62.888209416666669</v>
      </c>
      <c r="H132" s="413"/>
      <c r="I132" s="413"/>
      <c r="J132" s="413"/>
    </row>
    <row r="133" spans="1:10" x14ac:dyDescent="0.35">
      <c r="A133" s="169"/>
      <c r="B133" s="414"/>
      <c r="C133" s="414"/>
      <c r="D133" s="414"/>
      <c r="E133" s="414"/>
      <c r="F133" s="414"/>
      <c r="G133" s="414"/>
      <c r="H133" s="414"/>
      <c r="I133" s="414"/>
      <c r="J133" s="414"/>
    </row>
    <row r="134" spans="1:10" x14ac:dyDescent="0.35">
      <c r="A134" s="407" t="s">
        <v>112</v>
      </c>
      <c r="B134" s="407"/>
      <c r="C134" s="407"/>
      <c r="D134" s="407"/>
      <c r="E134" s="407"/>
      <c r="F134" s="407"/>
      <c r="G134" s="407"/>
      <c r="H134" s="407"/>
      <c r="I134" s="407"/>
      <c r="J134" s="407"/>
    </row>
    <row r="135" spans="1:10" x14ac:dyDescent="0.35">
      <c r="A135" s="409" t="s">
        <v>113</v>
      </c>
      <c r="B135" s="409"/>
      <c r="C135" s="409"/>
      <c r="D135" s="409"/>
      <c r="E135" s="409"/>
      <c r="F135" s="409"/>
      <c r="G135" s="410">
        <f>G34+G80+I93+G124+G132</f>
        <v>4118.139596180733</v>
      </c>
      <c r="H135" s="411"/>
      <c r="I135" s="411"/>
      <c r="J135" s="411"/>
    </row>
    <row r="136" spans="1:10" x14ac:dyDescent="0.35">
      <c r="A136" s="409" t="s">
        <v>114</v>
      </c>
      <c r="B136" s="409"/>
      <c r="C136" s="409"/>
      <c r="D136" s="409"/>
      <c r="E136" s="409"/>
      <c r="F136" s="409"/>
      <c r="G136" s="410">
        <f>G135+I139</f>
        <v>4230.5648071564674</v>
      </c>
      <c r="H136" s="411"/>
      <c r="I136" s="411"/>
      <c r="J136" s="411"/>
    </row>
    <row r="137" spans="1:10" x14ac:dyDescent="0.35">
      <c r="A137" s="409" t="s">
        <v>115</v>
      </c>
      <c r="B137" s="409"/>
      <c r="C137" s="409"/>
      <c r="D137" s="409"/>
      <c r="E137" s="409"/>
      <c r="F137" s="409"/>
      <c r="G137" s="412">
        <f>(G136+I140)/(1-G141)</f>
        <v>5067.3039223678225</v>
      </c>
      <c r="H137" s="412"/>
      <c r="I137" s="412"/>
      <c r="J137" s="412"/>
    </row>
    <row r="138" spans="1:10" x14ac:dyDescent="0.35">
      <c r="A138" s="167">
        <v>6</v>
      </c>
      <c r="B138" s="406" t="s">
        <v>116</v>
      </c>
      <c r="C138" s="406"/>
      <c r="D138" s="406"/>
      <c r="E138" s="406"/>
      <c r="F138" s="406"/>
      <c r="G138" s="420" t="s">
        <v>45</v>
      </c>
      <c r="H138" s="420"/>
      <c r="I138" s="420" t="s">
        <v>34</v>
      </c>
      <c r="J138" s="420"/>
    </row>
    <row r="139" spans="1:10" x14ac:dyDescent="0.35">
      <c r="A139" s="22" t="s">
        <v>3</v>
      </c>
      <c r="B139" s="346" t="s">
        <v>117</v>
      </c>
      <c r="C139" s="346"/>
      <c r="D139" s="346"/>
      <c r="E139" s="346"/>
      <c r="F139" s="346"/>
      <c r="G139" s="415">
        <v>2.7300000000000001E-2</v>
      </c>
      <c r="H139" s="415"/>
      <c r="I139" s="416">
        <f>G135*G139</f>
        <v>112.42521097573402</v>
      </c>
      <c r="J139" s="346"/>
    </row>
    <row r="140" spans="1:10" x14ac:dyDescent="0.35">
      <c r="A140" s="22" t="s">
        <v>5</v>
      </c>
      <c r="B140" s="346" t="s">
        <v>118</v>
      </c>
      <c r="C140" s="346"/>
      <c r="D140" s="346"/>
      <c r="E140" s="346"/>
      <c r="F140" s="346"/>
      <c r="G140" s="415">
        <v>2.7099999999999999E-2</v>
      </c>
      <c r="H140" s="415"/>
      <c r="I140" s="416">
        <f>G136*G140</f>
        <v>114.64830627394026</v>
      </c>
      <c r="J140" s="346"/>
    </row>
    <row r="141" spans="1:10" x14ac:dyDescent="0.35">
      <c r="A141" s="22" t="s">
        <v>8</v>
      </c>
      <c r="B141" s="346" t="s">
        <v>119</v>
      </c>
      <c r="C141" s="346"/>
      <c r="D141" s="346"/>
      <c r="E141" s="346"/>
      <c r="F141" s="346"/>
      <c r="G141" s="417">
        <f>SUM(G142:H144)</f>
        <v>0.14250000000000002</v>
      </c>
      <c r="H141" s="417"/>
      <c r="I141" s="418">
        <f>G137*G141</f>
        <v>722.09080893741475</v>
      </c>
      <c r="J141" s="419"/>
    </row>
    <row r="142" spans="1:10" x14ac:dyDescent="0.35">
      <c r="A142" s="170" t="s">
        <v>120</v>
      </c>
      <c r="B142" s="421" t="s">
        <v>121</v>
      </c>
      <c r="C142" s="421"/>
      <c r="D142" s="421"/>
      <c r="E142" s="421"/>
      <c r="F142" s="421"/>
      <c r="G142" s="422">
        <f>'Item 1.1 (Encarregado)'!G142:H142</f>
        <v>7.5999999999999998E-2</v>
      </c>
      <c r="H142" s="422"/>
      <c r="I142" s="423">
        <f>G137*G142</f>
        <v>385.11509809995448</v>
      </c>
      <c r="J142" s="421"/>
    </row>
    <row r="143" spans="1:10" x14ac:dyDescent="0.35">
      <c r="A143" s="170" t="s">
        <v>122</v>
      </c>
      <c r="B143" s="421" t="s">
        <v>123</v>
      </c>
      <c r="C143" s="421"/>
      <c r="D143" s="421"/>
      <c r="E143" s="421"/>
      <c r="F143" s="421"/>
      <c r="G143" s="422">
        <f>'Item 1.1 (Encarregado)'!G143:H143</f>
        <v>1.6500000000000001E-2</v>
      </c>
      <c r="H143" s="422"/>
      <c r="I143" s="423">
        <f>G137*G143</f>
        <v>83.610514719069073</v>
      </c>
      <c r="J143" s="421"/>
    </row>
    <row r="144" spans="1:10" x14ac:dyDescent="0.35">
      <c r="A144" s="170" t="s">
        <v>124</v>
      </c>
      <c r="B144" s="421" t="s">
        <v>125</v>
      </c>
      <c r="C144" s="421"/>
      <c r="D144" s="421"/>
      <c r="E144" s="421"/>
      <c r="F144" s="421"/>
      <c r="G144" s="422">
        <v>0.05</v>
      </c>
      <c r="H144" s="422"/>
      <c r="I144" s="423">
        <f>G137*G144</f>
        <v>253.36519611839114</v>
      </c>
      <c r="J144" s="421"/>
    </row>
    <row r="145" spans="1:13" x14ac:dyDescent="0.35">
      <c r="A145" s="347" t="s">
        <v>64</v>
      </c>
      <c r="B145" s="347"/>
      <c r="C145" s="347"/>
      <c r="D145" s="347"/>
      <c r="E145" s="347"/>
      <c r="F145" s="347"/>
      <c r="G145" s="424"/>
      <c r="H145" s="424"/>
      <c r="I145" s="416">
        <f>SUM(I139:J141)</f>
        <v>949.16432618708905</v>
      </c>
      <c r="J145" s="346"/>
    </row>
    <row r="146" spans="1:13" x14ac:dyDescent="0.35">
      <c r="A146" s="171"/>
      <c r="B146" s="426"/>
      <c r="C146" s="426"/>
      <c r="D146" s="426"/>
      <c r="E146" s="426"/>
      <c r="F146" s="426"/>
      <c r="G146" s="426"/>
      <c r="H146" s="426"/>
      <c r="I146" s="426"/>
      <c r="J146" s="426"/>
    </row>
    <row r="147" spans="1:13" x14ac:dyDescent="0.35">
      <c r="A147" s="427" t="s">
        <v>126</v>
      </c>
      <c r="B147" s="427"/>
      <c r="C147" s="427"/>
      <c r="D147" s="427"/>
      <c r="E147" s="427"/>
      <c r="F147" s="427"/>
      <c r="G147" s="427"/>
      <c r="H147" s="427"/>
      <c r="I147" s="427"/>
      <c r="J147" s="427"/>
    </row>
    <row r="148" spans="1:13" x14ac:dyDescent="0.35">
      <c r="A148" s="18"/>
      <c r="B148" s="428"/>
      <c r="C148" s="428"/>
      <c r="D148" s="428"/>
      <c r="E148" s="428"/>
      <c r="F148" s="428"/>
      <c r="G148" s="428"/>
      <c r="H148" s="428"/>
      <c r="I148" s="428"/>
      <c r="J148" s="428"/>
    </row>
    <row r="149" spans="1:13" x14ac:dyDescent="0.35">
      <c r="A149" s="167"/>
      <c r="B149" s="347" t="s">
        <v>127</v>
      </c>
      <c r="C149" s="347"/>
      <c r="D149" s="347"/>
      <c r="E149" s="347"/>
      <c r="F149" s="347"/>
      <c r="G149" s="347" t="s">
        <v>34</v>
      </c>
      <c r="H149" s="347"/>
      <c r="I149" s="347"/>
      <c r="J149" s="347"/>
    </row>
    <row r="150" spans="1:13" x14ac:dyDescent="0.35">
      <c r="A150" s="167" t="s">
        <v>3</v>
      </c>
      <c r="B150" s="346" t="s">
        <v>32</v>
      </c>
      <c r="C150" s="346"/>
      <c r="D150" s="346"/>
      <c r="E150" s="346"/>
      <c r="F150" s="346"/>
      <c r="G150" s="352">
        <f>G34</f>
        <v>1977.42</v>
      </c>
      <c r="H150" s="352"/>
      <c r="I150" s="352"/>
      <c r="J150" s="352"/>
    </row>
    <row r="151" spans="1:13" x14ac:dyDescent="0.35">
      <c r="A151" s="167" t="s">
        <v>5</v>
      </c>
      <c r="B151" s="346" t="s">
        <v>40</v>
      </c>
      <c r="C151" s="346"/>
      <c r="D151" s="346"/>
      <c r="E151" s="346"/>
      <c r="F151" s="346"/>
      <c r="G151" s="352">
        <f>G80</f>
        <v>1641.5016827960001</v>
      </c>
      <c r="H151" s="352"/>
      <c r="I151" s="352"/>
      <c r="J151" s="352"/>
    </row>
    <row r="152" spans="1:13" x14ac:dyDescent="0.35">
      <c r="A152" s="167" t="s">
        <v>8</v>
      </c>
      <c r="B152" s="346" t="s">
        <v>78</v>
      </c>
      <c r="C152" s="346"/>
      <c r="D152" s="346"/>
      <c r="E152" s="346"/>
      <c r="F152" s="346"/>
      <c r="G152" s="352">
        <f>I93</f>
        <v>106.52800966666668</v>
      </c>
      <c r="H152" s="352"/>
      <c r="I152" s="352"/>
      <c r="J152" s="352"/>
    </row>
    <row r="153" spans="1:13" x14ac:dyDescent="0.35">
      <c r="A153" s="167" t="s">
        <v>10</v>
      </c>
      <c r="B153" s="346" t="s">
        <v>85</v>
      </c>
      <c r="C153" s="346"/>
      <c r="D153" s="346"/>
      <c r="E153" s="346"/>
      <c r="F153" s="346"/>
      <c r="G153" s="352">
        <f>G124</f>
        <v>329.8016943014</v>
      </c>
      <c r="H153" s="352"/>
      <c r="I153" s="352"/>
      <c r="J153" s="352"/>
    </row>
    <row r="154" spans="1:13" x14ac:dyDescent="0.35">
      <c r="A154" s="167" t="s">
        <v>56</v>
      </c>
      <c r="B154" s="346" t="s">
        <v>109</v>
      </c>
      <c r="C154" s="346"/>
      <c r="D154" s="346"/>
      <c r="E154" s="346"/>
      <c r="F154" s="346"/>
      <c r="G154" s="352">
        <f>G132</f>
        <v>62.888209416666669</v>
      </c>
      <c r="H154" s="352"/>
      <c r="I154" s="352"/>
      <c r="J154" s="352"/>
    </row>
    <row r="155" spans="1:13" x14ac:dyDescent="0.35">
      <c r="A155" s="347" t="s">
        <v>128</v>
      </c>
      <c r="B155" s="347"/>
      <c r="C155" s="347"/>
      <c r="D155" s="347"/>
      <c r="E155" s="347"/>
      <c r="F155" s="347"/>
      <c r="G155" s="413">
        <f>SUM(G150:J154)</f>
        <v>4118.139596180733</v>
      </c>
      <c r="H155" s="413"/>
      <c r="I155" s="413"/>
      <c r="J155" s="413"/>
    </row>
    <row r="156" spans="1:13" x14ac:dyDescent="0.35">
      <c r="A156" s="167" t="s">
        <v>58</v>
      </c>
      <c r="B156" s="346" t="s">
        <v>129</v>
      </c>
      <c r="C156" s="346"/>
      <c r="D156" s="346"/>
      <c r="E156" s="346"/>
      <c r="F156" s="346"/>
      <c r="G156" s="352">
        <f>I145</f>
        <v>949.16432618708905</v>
      </c>
      <c r="H156" s="352"/>
      <c r="I156" s="352"/>
      <c r="J156" s="352"/>
      <c r="M156" s="176"/>
    </row>
    <row r="157" spans="1:13" x14ac:dyDescent="0.35">
      <c r="A157" s="347" t="s">
        <v>130</v>
      </c>
      <c r="B157" s="347"/>
      <c r="C157" s="347"/>
      <c r="D157" s="347"/>
      <c r="E157" s="347"/>
      <c r="F157" s="347"/>
      <c r="G157" s="413">
        <f>SUM(G155:J156)</f>
        <v>5067.3039223678225</v>
      </c>
      <c r="H157" s="413"/>
      <c r="I157" s="413"/>
      <c r="J157" s="413"/>
    </row>
    <row r="158" spans="1:13" x14ac:dyDescent="0.35">
      <c r="A158" s="347" t="s">
        <v>131</v>
      </c>
      <c r="B158" s="347"/>
      <c r="C158" s="347"/>
      <c r="D158" s="347"/>
      <c r="E158" s="347"/>
      <c r="F158" s="347"/>
      <c r="G158" s="436">
        <v>1</v>
      </c>
      <c r="H158" s="436"/>
      <c r="I158" s="436"/>
      <c r="J158" s="436"/>
    </row>
    <row r="159" spans="1:13" x14ac:dyDescent="0.35">
      <c r="A159" s="11"/>
      <c r="B159" s="11"/>
      <c r="C159" s="11"/>
      <c r="D159" s="11"/>
      <c r="E159" s="11"/>
      <c r="F159" s="11"/>
      <c r="G159" s="11"/>
      <c r="H159" s="11"/>
      <c r="I159" s="11"/>
      <c r="J159" s="11"/>
    </row>
    <row r="160" spans="1:13" x14ac:dyDescent="0.35">
      <c r="A160" s="434" t="s">
        <v>132</v>
      </c>
      <c r="B160" s="434"/>
      <c r="C160" s="434"/>
      <c r="D160" s="434"/>
      <c r="E160" s="434"/>
      <c r="F160" s="434"/>
      <c r="G160" s="434"/>
      <c r="H160" s="434"/>
      <c r="I160" s="434"/>
      <c r="J160" s="434"/>
    </row>
    <row r="161" spans="1:10" x14ac:dyDescent="0.35">
      <c r="A161" s="429" t="s">
        <v>133</v>
      </c>
      <c r="B161" s="429"/>
      <c r="C161" s="429" t="s">
        <v>208</v>
      </c>
      <c r="D161" s="429"/>
      <c r="E161" s="429"/>
      <c r="F161" s="429"/>
      <c r="G161" s="429" t="s">
        <v>134</v>
      </c>
      <c r="H161" s="429"/>
      <c r="I161" s="429" t="s">
        <v>135</v>
      </c>
      <c r="J161" s="429"/>
    </row>
    <row r="162" spans="1:10" x14ac:dyDescent="0.35">
      <c r="A162" s="435">
        <f>G158</f>
        <v>1</v>
      </c>
      <c r="B162" s="429"/>
      <c r="C162" s="430">
        <f>1/(F17/A162)</f>
        <v>7.3269735203176976E-4</v>
      </c>
      <c r="D162" s="430"/>
      <c r="E162" s="430"/>
      <c r="F162" s="430"/>
      <c r="G162" s="431">
        <f>G157</f>
        <v>5067.3039223678225</v>
      </c>
      <c r="H162" s="429"/>
      <c r="I162" s="432">
        <f>G162*C162</f>
        <v>3.7128001658591043</v>
      </c>
      <c r="J162" s="432"/>
    </row>
    <row r="166" spans="1:10" x14ac:dyDescent="0.35">
      <c r="H166" s="29"/>
    </row>
    <row r="167" spans="1:10" x14ac:dyDescent="0.35">
      <c r="H167" s="29"/>
    </row>
  </sheetData>
  <sheetProtection algorithmName="SHA-512" hashValue="bJc/CGc6b3lfePdodbyJg30z9Mev/vFoXvWmnv+4a2jacU0BjdoWD9j+9RwxSY+OxxaXyDrX8cd8VBwCbnxUdA==" saltValue="O+T8y1QfO7b5v59eh3JfVQ==" spinCount="100000" sheet="1" objects="1" scenarios="1"/>
  <mergeCells count="353">
    <mergeCell ref="A5:J5"/>
    <mergeCell ref="A6:J6"/>
    <mergeCell ref="A7:J7"/>
    <mergeCell ref="A8:J8"/>
    <mergeCell ref="B9:F9"/>
    <mergeCell ref="G9:J9"/>
    <mergeCell ref="A1:J1"/>
    <mergeCell ref="A2:J2"/>
    <mergeCell ref="B3:F3"/>
    <mergeCell ref="G3:H3"/>
    <mergeCell ref="I3:J3"/>
    <mergeCell ref="A4:J4"/>
    <mergeCell ref="A13:J13"/>
    <mergeCell ref="A14:J14"/>
    <mergeCell ref="A15:J15"/>
    <mergeCell ref="A16:C16"/>
    <mergeCell ref="D16:E16"/>
    <mergeCell ref="F16:J16"/>
    <mergeCell ref="B10:F10"/>
    <mergeCell ref="G10:J10"/>
    <mergeCell ref="B11:F11"/>
    <mergeCell ref="G11:J11"/>
    <mergeCell ref="B12:F12"/>
    <mergeCell ref="G12:J12"/>
    <mergeCell ref="B21:F21"/>
    <mergeCell ref="G21:J21"/>
    <mergeCell ref="B22:F22"/>
    <mergeCell ref="G22:J22"/>
    <mergeCell ref="B23:F23"/>
    <mergeCell ref="G23:J23"/>
    <mergeCell ref="A17:C17"/>
    <mergeCell ref="D17:E17"/>
    <mergeCell ref="F17:J17"/>
    <mergeCell ref="A18:J18"/>
    <mergeCell ref="A19:J19"/>
    <mergeCell ref="B20:F20"/>
    <mergeCell ref="G20:H20"/>
    <mergeCell ref="I20:J20"/>
    <mergeCell ref="B29:F29"/>
    <mergeCell ref="G29:J29"/>
    <mergeCell ref="B30:F30"/>
    <mergeCell ref="G30:J30"/>
    <mergeCell ref="B31:F31"/>
    <mergeCell ref="G31:J31"/>
    <mergeCell ref="B24:F24"/>
    <mergeCell ref="G24:J24"/>
    <mergeCell ref="B25:F25"/>
    <mergeCell ref="G25:J25"/>
    <mergeCell ref="A26:J26"/>
    <mergeCell ref="A27:J27"/>
    <mergeCell ref="B35:F35"/>
    <mergeCell ref="G35:H35"/>
    <mergeCell ref="I35:J35"/>
    <mergeCell ref="A36:J36"/>
    <mergeCell ref="B37:F37"/>
    <mergeCell ref="G37:H37"/>
    <mergeCell ref="I37:J37"/>
    <mergeCell ref="B32:F32"/>
    <mergeCell ref="G32:J32"/>
    <mergeCell ref="B33:F33"/>
    <mergeCell ref="G33:J33"/>
    <mergeCell ref="A34:F34"/>
    <mergeCell ref="G34:J34"/>
    <mergeCell ref="B41:F41"/>
    <mergeCell ref="G41:H41"/>
    <mergeCell ref="I41:J41"/>
    <mergeCell ref="B42:F42"/>
    <mergeCell ref="G42:H42"/>
    <mergeCell ref="I42:J42"/>
    <mergeCell ref="A38:J38"/>
    <mergeCell ref="A39:F39"/>
    <mergeCell ref="G39:J39"/>
    <mergeCell ref="B40:F40"/>
    <mergeCell ref="G40:H40"/>
    <mergeCell ref="I40:J40"/>
    <mergeCell ref="A45:J45"/>
    <mergeCell ref="A46:J46"/>
    <mergeCell ref="A47:F47"/>
    <mergeCell ref="G47:J47"/>
    <mergeCell ref="A48:J48"/>
    <mergeCell ref="B49:F49"/>
    <mergeCell ref="G49:H49"/>
    <mergeCell ref="I49:J49"/>
    <mergeCell ref="B43:F43"/>
    <mergeCell ref="G43:H43"/>
    <mergeCell ref="I43:J43"/>
    <mergeCell ref="A44:F44"/>
    <mergeCell ref="G44:H44"/>
    <mergeCell ref="I44:J44"/>
    <mergeCell ref="B52:F52"/>
    <mergeCell ref="G52:H52"/>
    <mergeCell ref="I52:J52"/>
    <mergeCell ref="B53:F53"/>
    <mergeCell ref="G53:H53"/>
    <mergeCell ref="I53:J53"/>
    <mergeCell ref="B50:F50"/>
    <mergeCell ref="G50:H50"/>
    <mergeCell ref="I50:J50"/>
    <mergeCell ref="B51:F51"/>
    <mergeCell ref="G51:H51"/>
    <mergeCell ref="I51:J51"/>
    <mergeCell ref="B56:F56"/>
    <mergeCell ref="G56:H56"/>
    <mergeCell ref="I56:J56"/>
    <mergeCell ref="B57:F57"/>
    <mergeCell ref="G57:H57"/>
    <mergeCell ref="I57:J57"/>
    <mergeCell ref="B54:F54"/>
    <mergeCell ref="G54:H54"/>
    <mergeCell ref="I54:J54"/>
    <mergeCell ref="B55:F55"/>
    <mergeCell ref="G55:H55"/>
    <mergeCell ref="I55:J55"/>
    <mergeCell ref="B62:F62"/>
    <mergeCell ref="G62:H62"/>
    <mergeCell ref="I62:J62"/>
    <mergeCell ref="B63:F63"/>
    <mergeCell ref="G63:H63"/>
    <mergeCell ref="I63:J63"/>
    <mergeCell ref="A58:F58"/>
    <mergeCell ref="G58:H58"/>
    <mergeCell ref="I58:J58"/>
    <mergeCell ref="A59:J59"/>
    <mergeCell ref="A60:J60"/>
    <mergeCell ref="B61:F61"/>
    <mergeCell ref="G61:H61"/>
    <mergeCell ref="I61:J61"/>
    <mergeCell ref="B66:F66"/>
    <mergeCell ref="G66:H66"/>
    <mergeCell ref="I66:J66"/>
    <mergeCell ref="B67:F67"/>
    <mergeCell ref="G67:H67"/>
    <mergeCell ref="I67:J67"/>
    <mergeCell ref="B64:F64"/>
    <mergeCell ref="G64:H64"/>
    <mergeCell ref="I64:J64"/>
    <mergeCell ref="B65:F65"/>
    <mergeCell ref="G65:H65"/>
    <mergeCell ref="I65:J65"/>
    <mergeCell ref="B70:F70"/>
    <mergeCell ref="G70:H70"/>
    <mergeCell ref="I70:J70"/>
    <mergeCell ref="B71:F71"/>
    <mergeCell ref="G71:H71"/>
    <mergeCell ref="I71:J71"/>
    <mergeCell ref="B68:F68"/>
    <mergeCell ref="G68:H68"/>
    <mergeCell ref="I68:J68"/>
    <mergeCell ref="B69:F69"/>
    <mergeCell ref="G69:H69"/>
    <mergeCell ref="I69:J69"/>
    <mergeCell ref="B77:F77"/>
    <mergeCell ref="G77:J77"/>
    <mergeCell ref="B78:F78"/>
    <mergeCell ref="G78:J78"/>
    <mergeCell ref="B79:F79"/>
    <mergeCell ref="G79:J79"/>
    <mergeCell ref="A72:H72"/>
    <mergeCell ref="I72:J72"/>
    <mergeCell ref="A73:J73"/>
    <mergeCell ref="A74:J74"/>
    <mergeCell ref="A75:J75"/>
    <mergeCell ref="B76:F76"/>
    <mergeCell ref="G76:J76"/>
    <mergeCell ref="A85:F85"/>
    <mergeCell ref="G85:J85"/>
    <mergeCell ref="B86:F86"/>
    <mergeCell ref="G86:H86"/>
    <mergeCell ref="I86:J86"/>
    <mergeCell ref="B87:F87"/>
    <mergeCell ref="I87:J87"/>
    <mergeCell ref="A80:F80"/>
    <mergeCell ref="G80:J80"/>
    <mergeCell ref="A81:J81"/>
    <mergeCell ref="A82:J82"/>
    <mergeCell ref="A83:J83"/>
    <mergeCell ref="A84:F84"/>
    <mergeCell ref="G84:J84"/>
    <mergeCell ref="B91:F91"/>
    <mergeCell ref="G91:H91"/>
    <mergeCell ref="I91:J91"/>
    <mergeCell ref="B92:F92"/>
    <mergeCell ref="G92:H92"/>
    <mergeCell ref="I92:J92"/>
    <mergeCell ref="B88:F88"/>
    <mergeCell ref="G88:H88"/>
    <mergeCell ref="I88:J88"/>
    <mergeCell ref="B89:F89"/>
    <mergeCell ref="I89:J89"/>
    <mergeCell ref="B90:F90"/>
    <mergeCell ref="G90:H90"/>
    <mergeCell ref="I90:J90"/>
    <mergeCell ref="A97:J97"/>
    <mergeCell ref="A98:F98"/>
    <mergeCell ref="G98:J98"/>
    <mergeCell ref="B100:F100"/>
    <mergeCell ref="G100:H100"/>
    <mergeCell ref="I100:J100"/>
    <mergeCell ref="A93:F93"/>
    <mergeCell ref="G93:H93"/>
    <mergeCell ref="I93:J93"/>
    <mergeCell ref="A94:J94"/>
    <mergeCell ref="A95:J95"/>
    <mergeCell ref="B96:F96"/>
    <mergeCell ref="G96:H96"/>
    <mergeCell ref="I96:J96"/>
    <mergeCell ref="B103:F103"/>
    <mergeCell ref="G103:H103"/>
    <mergeCell ref="I103:J103"/>
    <mergeCell ref="B104:F104"/>
    <mergeCell ref="G104:H104"/>
    <mergeCell ref="I104:J104"/>
    <mergeCell ref="B101:F101"/>
    <mergeCell ref="G101:H101"/>
    <mergeCell ref="I101:J101"/>
    <mergeCell ref="B102:F102"/>
    <mergeCell ref="G102:H102"/>
    <mergeCell ref="I102:J102"/>
    <mergeCell ref="A107:F107"/>
    <mergeCell ref="G107:H107"/>
    <mergeCell ref="I107:J107"/>
    <mergeCell ref="B108:F108"/>
    <mergeCell ref="G108:H108"/>
    <mergeCell ref="I108:J108"/>
    <mergeCell ref="B105:F105"/>
    <mergeCell ref="G105:H105"/>
    <mergeCell ref="I105:J105"/>
    <mergeCell ref="B106:F106"/>
    <mergeCell ref="G106:H106"/>
    <mergeCell ref="I106:J106"/>
    <mergeCell ref="A111:F111"/>
    <mergeCell ref="G111:H111"/>
    <mergeCell ref="I111:J111"/>
    <mergeCell ref="B112:F112"/>
    <mergeCell ref="G112:H112"/>
    <mergeCell ref="I112:J112"/>
    <mergeCell ref="A109:F109"/>
    <mergeCell ref="G109:H109"/>
    <mergeCell ref="I109:J109"/>
    <mergeCell ref="B110:F110"/>
    <mergeCell ref="G110:H110"/>
    <mergeCell ref="I110:J110"/>
    <mergeCell ref="A117:F117"/>
    <mergeCell ref="G117:J117"/>
    <mergeCell ref="B118:F118"/>
    <mergeCell ref="G118:H118"/>
    <mergeCell ref="I118:J118"/>
    <mergeCell ref="A119:J119"/>
    <mergeCell ref="A113:J113"/>
    <mergeCell ref="A114:F114"/>
    <mergeCell ref="G114:J114"/>
    <mergeCell ref="B115:F115"/>
    <mergeCell ref="G115:J115"/>
    <mergeCell ref="B116:F116"/>
    <mergeCell ref="G116:J116"/>
    <mergeCell ref="B123:F123"/>
    <mergeCell ref="G123:J123"/>
    <mergeCell ref="A124:F124"/>
    <mergeCell ref="G124:J124"/>
    <mergeCell ref="B125:F125"/>
    <mergeCell ref="G125:H125"/>
    <mergeCell ref="I125:J125"/>
    <mergeCell ref="B120:F120"/>
    <mergeCell ref="G120:J120"/>
    <mergeCell ref="B121:F121"/>
    <mergeCell ref="G121:J121"/>
    <mergeCell ref="B122:F122"/>
    <mergeCell ref="G122:J122"/>
    <mergeCell ref="B129:F129"/>
    <mergeCell ref="G129:J129"/>
    <mergeCell ref="B130:F130"/>
    <mergeCell ref="G130:J130"/>
    <mergeCell ref="B131:F131"/>
    <mergeCell ref="G131:J131"/>
    <mergeCell ref="B126:F126"/>
    <mergeCell ref="G126:H126"/>
    <mergeCell ref="I126:J126"/>
    <mergeCell ref="A127:J127"/>
    <mergeCell ref="B128:F128"/>
    <mergeCell ref="G128:H128"/>
    <mergeCell ref="I128:J128"/>
    <mergeCell ref="A135:F135"/>
    <mergeCell ref="G135:J135"/>
    <mergeCell ref="A136:F136"/>
    <mergeCell ref="G136:J136"/>
    <mergeCell ref="A137:F137"/>
    <mergeCell ref="G137:J137"/>
    <mergeCell ref="A132:F132"/>
    <mergeCell ref="G132:J132"/>
    <mergeCell ref="B133:F133"/>
    <mergeCell ref="G133:H133"/>
    <mergeCell ref="I133:J133"/>
    <mergeCell ref="A134:J134"/>
    <mergeCell ref="B140:F140"/>
    <mergeCell ref="G140:H140"/>
    <mergeCell ref="I140:J140"/>
    <mergeCell ref="B141:F141"/>
    <mergeCell ref="G141:H141"/>
    <mergeCell ref="I141:J141"/>
    <mergeCell ref="B138:F138"/>
    <mergeCell ref="G138:H138"/>
    <mergeCell ref="I138:J138"/>
    <mergeCell ref="B139:F139"/>
    <mergeCell ref="G139:H139"/>
    <mergeCell ref="I139:J139"/>
    <mergeCell ref="B144:F144"/>
    <mergeCell ref="G144:H144"/>
    <mergeCell ref="I144:J144"/>
    <mergeCell ref="A145:F145"/>
    <mergeCell ref="G145:H145"/>
    <mergeCell ref="I145:J145"/>
    <mergeCell ref="B142:F142"/>
    <mergeCell ref="G142:H142"/>
    <mergeCell ref="I142:J142"/>
    <mergeCell ref="B143:F143"/>
    <mergeCell ref="G143:H143"/>
    <mergeCell ref="I143:J143"/>
    <mergeCell ref="B149:F149"/>
    <mergeCell ref="G149:J149"/>
    <mergeCell ref="B150:F150"/>
    <mergeCell ref="G150:J150"/>
    <mergeCell ref="B151:F151"/>
    <mergeCell ref="G151:J151"/>
    <mergeCell ref="B146:F146"/>
    <mergeCell ref="G146:H146"/>
    <mergeCell ref="I146:J146"/>
    <mergeCell ref="A147:J147"/>
    <mergeCell ref="B148:F148"/>
    <mergeCell ref="G148:H148"/>
    <mergeCell ref="I148:J148"/>
    <mergeCell ref="A155:F155"/>
    <mergeCell ref="G155:J155"/>
    <mergeCell ref="B156:F156"/>
    <mergeCell ref="G156:J156"/>
    <mergeCell ref="A157:F157"/>
    <mergeCell ref="G157:J157"/>
    <mergeCell ref="B152:F152"/>
    <mergeCell ref="G152:J152"/>
    <mergeCell ref="B153:F153"/>
    <mergeCell ref="G153:J153"/>
    <mergeCell ref="B154:F154"/>
    <mergeCell ref="G154:J154"/>
    <mergeCell ref="A162:B162"/>
    <mergeCell ref="C162:F162"/>
    <mergeCell ref="G162:H162"/>
    <mergeCell ref="I162:J162"/>
    <mergeCell ref="A158:F158"/>
    <mergeCell ref="G158:J158"/>
    <mergeCell ref="A160:J160"/>
    <mergeCell ref="A161:B161"/>
    <mergeCell ref="C161:F161"/>
    <mergeCell ref="G161:H161"/>
    <mergeCell ref="I161:J161"/>
  </mergeCells>
  <conditionalFormatting sqref="G157:J157">
    <cfRule type="cellIs" dxfId="2" priority="1" operator="greaterThan">
      <formula>5067.30392236782</formula>
    </cfRule>
  </conditionalFormatting>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F9EAF-79F6-4418-8520-31BA0A28DE89}">
  <sheetPr>
    <tabColor theme="9" tint="0.59999389629810485"/>
  </sheetPr>
  <dimension ref="A1:Q185"/>
  <sheetViews>
    <sheetView topLeftCell="A153" workbookViewId="0">
      <selection activeCell="N176" sqref="N176"/>
    </sheetView>
  </sheetViews>
  <sheetFormatPr defaultRowHeight="14.5" x14ac:dyDescent="0.35"/>
  <cols>
    <col min="2" max="2" width="13.26953125" customWidth="1"/>
    <col min="3" max="3" width="15.81640625" bestFit="1" customWidth="1"/>
    <col min="4" max="4" width="20.1796875" bestFit="1" customWidth="1"/>
    <col min="5" max="5" width="27.81640625" bestFit="1" customWidth="1"/>
    <col min="6" max="6" width="12.90625" customWidth="1"/>
    <col min="8" max="8" width="11.54296875" bestFit="1" customWidth="1"/>
    <col min="9" max="9" width="13" bestFit="1" customWidth="1"/>
    <col min="10" max="10" width="9.90625" bestFit="1" customWidth="1"/>
    <col min="11" max="11" width="10.36328125" bestFit="1" customWidth="1"/>
    <col min="14" max="14" width="24.54296875" bestFit="1" customWidth="1"/>
  </cols>
  <sheetData>
    <row r="1" spans="1:10" x14ac:dyDescent="0.35">
      <c r="A1" s="287" t="s">
        <v>0</v>
      </c>
      <c r="B1" s="287"/>
      <c r="C1" s="287"/>
      <c r="D1" s="287"/>
      <c r="E1" s="287"/>
      <c r="F1" s="287"/>
      <c r="G1" s="287"/>
      <c r="H1" s="287"/>
      <c r="I1" s="287"/>
      <c r="J1" s="287"/>
    </row>
    <row r="2" spans="1:10" x14ac:dyDescent="0.35">
      <c r="A2" s="287" t="s">
        <v>1</v>
      </c>
      <c r="B2" s="287"/>
      <c r="C2" s="287"/>
      <c r="D2" s="287"/>
      <c r="E2" s="287"/>
      <c r="F2" s="287"/>
      <c r="G2" s="287"/>
      <c r="H2" s="287"/>
      <c r="I2" s="287"/>
      <c r="J2" s="287"/>
    </row>
    <row r="3" spans="1:10" x14ac:dyDescent="0.35">
      <c r="A3" s="12"/>
      <c r="B3" s="288"/>
      <c r="C3" s="288"/>
      <c r="D3" s="288"/>
      <c r="E3" s="288"/>
      <c r="F3" s="288"/>
      <c r="G3" s="288"/>
      <c r="H3" s="288"/>
      <c r="I3" s="288"/>
      <c r="J3" s="288"/>
    </row>
    <row r="4" spans="1:10" x14ac:dyDescent="0.35">
      <c r="A4" s="280" t="s">
        <v>209</v>
      </c>
      <c r="B4" s="280"/>
      <c r="C4" s="280"/>
      <c r="D4" s="280"/>
      <c r="E4" s="280"/>
      <c r="F4" s="280"/>
      <c r="G4" s="280"/>
      <c r="H4" s="280"/>
      <c r="I4" s="280"/>
      <c r="J4" s="280"/>
    </row>
    <row r="5" spans="1:10" x14ac:dyDescent="0.35">
      <c r="A5" s="280" t="s">
        <v>140</v>
      </c>
      <c r="B5" s="280"/>
      <c r="C5" s="280"/>
      <c r="D5" s="280"/>
      <c r="E5" s="280"/>
      <c r="F5" s="280"/>
      <c r="G5" s="280"/>
      <c r="H5" s="280"/>
      <c r="I5" s="280"/>
      <c r="J5" s="280"/>
    </row>
    <row r="6" spans="1:10" x14ac:dyDescent="0.35">
      <c r="A6" s="303"/>
      <c r="B6" s="303"/>
      <c r="C6" s="303"/>
      <c r="D6" s="303"/>
      <c r="E6" s="303"/>
      <c r="F6" s="303"/>
      <c r="G6" s="303"/>
      <c r="H6" s="303"/>
      <c r="I6" s="303"/>
      <c r="J6" s="303"/>
    </row>
    <row r="7" spans="1:10" x14ac:dyDescent="0.35">
      <c r="A7" s="287" t="s">
        <v>2</v>
      </c>
      <c r="B7" s="287"/>
      <c r="C7" s="287"/>
      <c r="D7" s="287"/>
      <c r="E7" s="287"/>
      <c r="F7" s="287"/>
      <c r="G7" s="287"/>
      <c r="H7" s="287"/>
      <c r="I7" s="287"/>
      <c r="J7" s="287"/>
    </row>
    <row r="8" spans="1:10" x14ac:dyDescent="0.35">
      <c r="A8" s="308"/>
      <c r="B8" s="308"/>
      <c r="C8" s="308"/>
      <c r="D8" s="308"/>
      <c r="E8" s="308"/>
      <c r="F8" s="308"/>
      <c r="G8" s="308"/>
      <c r="H8" s="308"/>
      <c r="I8" s="308"/>
      <c r="J8" s="308"/>
    </row>
    <row r="9" spans="1:10" x14ac:dyDescent="0.35">
      <c r="A9" s="57" t="s">
        <v>3</v>
      </c>
      <c r="B9" s="310" t="s">
        <v>4</v>
      </c>
      <c r="C9" s="310"/>
      <c r="D9" s="310"/>
      <c r="E9" s="310"/>
      <c r="F9" s="310"/>
      <c r="G9" s="311"/>
      <c r="H9" s="311"/>
      <c r="I9" s="311"/>
      <c r="J9" s="311"/>
    </row>
    <row r="10" spans="1:10" x14ac:dyDescent="0.35">
      <c r="A10" s="57" t="s">
        <v>5</v>
      </c>
      <c r="B10" s="310" t="s">
        <v>6</v>
      </c>
      <c r="C10" s="310"/>
      <c r="D10" s="310"/>
      <c r="E10" s="310"/>
      <c r="F10" s="310"/>
      <c r="G10" s="311" t="s">
        <v>232</v>
      </c>
      <c r="H10" s="311"/>
      <c r="I10" s="311"/>
      <c r="J10" s="311"/>
    </row>
    <row r="11" spans="1:10" x14ac:dyDescent="0.35">
      <c r="A11" s="57" t="s">
        <v>8</v>
      </c>
      <c r="B11" s="310" t="s">
        <v>9</v>
      </c>
      <c r="C11" s="310"/>
      <c r="D11" s="310"/>
      <c r="E11" s="310"/>
      <c r="F11" s="310"/>
      <c r="G11" s="297" t="s">
        <v>136</v>
      </c>
      <c r="H11" s="298"/>
      <c r="I11" s="298"/>
      <c r="J11" s="299"/>
    </row>
    <row r="12" spans="1:10" x14ac:dyDescent="0.35">
      <c r="A12" s="57" t="s">
        <v>10</v>
      </c>
      <c r="B12" s="310" t="s">
        <v>11</v>
      </c>
      <c r="C12" s="310"/>
      <c r="D12" s="310"/>
      <c r="E12" s="310"/>
      <c r="F12" s="310"/>
      <c r="G12" s="311" t="s">
        <v>12</v>
      </c>
      <c r="H12" s="311"/>
      <c r="I12" s="311"/>
      <c r="J12" s="311"/>
    </row>
    <row r="13" spans="1:10" x14ac:dyDescent="0.35">
      <c r="A13" s="308"/>
      <c r="B13" s="308"/>
      <c r="C13" s="308"/>
      <c r="D13" s="308"/>
      <c r="E13" s="308"/>
      <c r="F13" s="308"/>
      <c r="G13" s="308"/>
      <c r="H13" s="308"/>
      <c r="I13" s="308"/>
      <c r="J13" s="308"/>
    </row>
    <row r="14" spans="1:10" x14ac:dyDescent="0.35">
      <c r="A14" s="287" t="s">
        <v>13</v>
      </c>
      <c r="B14" s="287"/>
      <c r="C14" s="287"/>
      <c r="D14" s="287"/>
      <c r="E14" s="287"/>
      <c r="F14" s="287"/>
      <c r="G14" s="287"/>
      <c r="H14" s="287"/>
      <c r="I14" s="287"/>
      <c r="J14" s="287"/>
    </row>
    <row r="15" spans="1:10" x14ac:dyDescent="0.35">
      <c r="A15" s="308"/>
      <c r="B15" s="308"/>
      <c r="C15" s="308"/>
      <c r="D15" s="308"/>
      <c r="E15" s="308"/>
      <c r="F15" s="308"/>
      <c r="G15" s="308"/>
      <c r="H15" s="308"/>
      <c r="I15" s="308"/>
      <c r="J15" s="308"/>
    </row>
    <row r="16" spans="1:10" x14ac:dyDescent="0.35">
      <c r="A16" s="301" t="s">
        <v>14</v>
      </c>
      <c r="B16" s="301"/>
      <c r="C16" s="301"/>
      <c r="D16" s="311" t="s">
        <v>15</v>
      </c>
      <c r="E16" s="311"/>
      <c r="F16" s="311" t="s">
        <v>16</v>
      </c>
      <c r="G16" s="311"/>
      <c r="H16" s="311"/>
      <c r="I16" s="311"/>
      <c r="J16" s="311"/>
    </row>
    <row r="17" spans="1:10" x14ac:dyDescent="0.35">
      <c r="A17" s="304" t="s">
        <v>205</v>
      </c>
      <c r="B17" s="304"/>
      <c r="C17" s="304"/>
      <c r="D17" s="305" t="s">
        <v>18</v>
      </c>
      <c r="E17" s="306"/>
      <c r="F17" s="307">
        <v>242</v>
      </c>
      <c r="G17" s="307"/>
      <c r="H17" s="307"/>
      <c r="I17" s="307"/>
      <c r="J17" s="307"/>
    </row>
    <row r="18" spans="1:10" x14ac:dyDescent="0.35">
      <c r="A18" s="308"/>
      <c r="B18" s="308"/>
      <c r="C18" s="308"/>
      <c r="D18" s="308"/>
      <c r="E18" s="308"/>
      <c r="F18" s="308"/>
      <c r="G18" s="308"/>
      <c r="H18" s="308"/>
      <c r="I18" s="308"/>
      <c r="J18" s="308"/>
    </row>
    <row r="19" spans="1:10" x14ac:dyDescent="0.35">
      <c r="A19" s="287" t="s">
        <v>19</v>
      </c>
      <c r="B19" s="287"/>
      <c r="C19" s="287"/>
      <c r="D19" s="287"/>
      <c r="E19" s="287"/>
      <c r="F19" s="287"/>
      <c r="G19" s="287"/>
      <c r="H19" s="287"/>
      <c r="I19" s="287"/>
      <c r="J19" s="287"/>
    </row>
    <row r="20" spans="1:10" x14ac:dyDescent="0.35">
      <c r="A20" s="12"/>
      <c r="B20" s="309"/>
      <c r="C20" s="309"/>
      <c r="D20" s="309"/>
      <c r="E20" s="309"/>
      <c r="F20" s="309"/>
      <c r="G20" s="309"/>
      <c r="H20" s="309"/>
      <c r="I20" s="309"/>
      <c r="J20" s="309"/>
    </row>
    <row r="21" spans="1:10" x14ac:dyDescent="0.35">
      <c r="A21" s="20" t="s">
        <v>20</v>
      </c>
      <c r="B21" s="300" t="s">
        <v>21</v>
      </c>
      <c r="C21" s="300"/>
      <c r="D21" s="300"/>
      <c r="E21" s="300"/>
      <c r="F21" s="300"/>
      <c r="G21" s="301" t="s">
        <v>29</v>
      </c>
      <c r="H21" s="301"/>
      <c r="I21" s="301"/>
      <c r="J21" s="301"/>
    </row>
    <row r="22" spans="1:10" x14ac:dyDescent="0.35">
      <c r="A22" s="20" t="s">
        <v>22</v>
      </c>
      <c r="B22" s="300" t="s">
        <v>23</v>
      </c>
      <c r="C22" s="300"/>
      <c r="D22" s="300"/>
      <c r="E22" s="300"/>
      <c r="F22" s="300"/>
      <c r="G22" s="301" t="s">
        <v>206</v>
      </c>
      <c r="H22" s="301"/>
      <c r="I22" s="301"/>
      <c r="J22" s="301"/>
    </row>
    <row r="23" spans="1:10" x14ac:dyDescent="0.35">
      <c r="A23" s="20" t="s">
        <v>25</v>
      </c>
      <c r="B23" s="300" t="s">
        <v>26</v>
      </c>
      <c r="C23" s="300"/>
      <c r="D23" s="300"/>
      <c r="E23" s="300"/>
      <c r="F23" s="300"/>
      <c r="G23" s="312">
        <v>1412.62</v>
      </c>
      <c r="H23" s="312"/>
      <c r="I23" s="312"/>
      <c r="J23" s="312"/>
    </row>
    <row r="24" spans="1:10" x14ac:dyDescent="0.35">
      <c r="A24" s="20" t="s">
        <v>27</v>
      </c>
      <c r="B24" s="300" t="s">
        <v>28</v>
      </c>
      <c r="C24" s="300"/>
      <c r="D24" s="300"/>
      <c r="E24" s="300"/>
      <c r="F24" s="300"/>
      <c r="G24" s="301" t="s">
        <v>207</v>
      </c>
      <c r="H24" s="301"/>
      <c r="I24" s="301"/>
      <c r="J24" s="301"/>
    </row>
    <row r="25" spans="1:10" x14ac:dyDescent="0.35">
      <c r="A25" s="20" t="s">
        <v>30</v>
      </c>
      <c r="B25" s="300" t="s">
        <v>31</v>
      </c>
      <c r="C25" s="300"/>
      <c r="D25" s="300"/>
      <c r="E25" s="300"/>
      <c r="F25" s="300"/>
      <c r="G25" s="302">
        <v>45292</v>
      </c>
      <c r="H25" s="302"/>
      <c r="I25" s="302"/>
      <c r="J25" s="302"/>
    </row>
    <row r="26" spans="1:10" x14ac:dyDescent="0.35">
      <c r="A26" s="319"/>
      <c r="B26" s="319"/>
      <c r="C26" s="319"/>
      <c r="D26" s="319"/>
      <c r="E26" s="319"/>
      <c r="F26" s="319"/>
      <c r="G26" s="319"/>
      <c r="H26" s="319"/>
      <c r="I26" s="319"/>
      <c r="J26" s="319"/>
    </row>
    <row r="27" spans="1:10" x14ac:dyDescent="0.35">
      <c r="A27" s="287" t="s">
        <v>32</v>
      </c>
      <c r="B27" s="287"/>
      <c r="C27" s="287"/>
      <c r="D27" s="287"/>
      <c r="E27" s="287"/>
      <c r="F27" s="287"/>
      <c r="G27" s="287"/>
      <c r="H27" s="287"/>
      <c r="I27" s="287"/>
      <c r="J27" s="287"/>
    </row>
    <row r="28" spans="1:10" x14ac:dyDescent="0.35">
      <c r="A28" s="12"/>
      <c r="B28" s="13"/>
      <c r="C28" s="13"/>
      <c r="D28" s="13"/>
      <c r="E28" s="13"/>
      <c r="F28" s="13"/>
      <c r="G28" s="13"/>
      <c r="H28" s="13"/>
      <c r="I28" s="13"/>
      <c r="J28" s="13"/>
    </row>
    <row r="29" spans="1:10" x14ac:dyDescent="0.35">
      <c r="A29" s="10">
        <v>1</v>
      </c>
      <c r="B29" s="322" t="s">
        <v>33</v>
      </c>
      <c r="C29" s="322"/>
      <c r="D29" s="322"/>
      <c r="E29" s="322"/>
      <c r="F29" s="322"/>
      <c r="G29" s="324" t="s">
        <v>34</v>
      </c>
      <c r="H29" s="324"/>
      <c r="I29" s="324"/>
      <c r="J29" s="324"/>
    </row>
    <row r="30" spans="1:10" x14ac:dyDescent="0.35">
      <c r="A30" s="14" t="s">
        <v>3</v>
      </c>
      <c r="B30" s="325" t="s">
        <v>35</v>
      </c>
      <c r="C30" s="325"/>
      <c r="D30" s="325"/>
      <c r="E30" s="325"/>
      <c r="F30" s="325"/>
      <c r="G30" s="321">
        <f>G23</f>
        <v>1412.62</v>
      </c>
      <c r="H30" s="321"/>
      <c r="I30" s="321"/>
      <c r="J30" s="321"/>
    </row>
    <row r="31" spans="1:10" x14ac:dyDescent="0.35">
      <c r="A31" s="14" t="s">
        <v>5</v>
      </c>
      <c r="B31" s="325" t="s">
        <v>36</v>
      </c>
      <c r="C31" s="325"/>
      <c r="D31" s="325"/>
      <c r="E31" s="325"/>
      <c r="F31" s="325"/>
      <c r="G31" s="321">
        <f>G30*30%</f>
        <v>423.78599999999994</v>
      </c>
      <c r="H31" s="321"/>
      <c r="I31" s="321"/>
      <c r="J31" s="321"/>
    </row>
    <row r="32" spans="1:10" x14ac:dyDescent="0.35">
      <c r="A32" s="14" t="s">
        <v>8</v>
      </c>
      <c r="B32" s="313" t="s">
        <v>37</v>
      </c>
      <c r="C32" s="314"/>
      <c r="D32" s="314"/>
      <c r="E32" s="314"/>
      <c r="F32" s="315"/>
      <c r="G32" s="316">
        <f>1412*0%</f>
        <v>0</v>
      </c>
      <c r="H32" s="317"/>
      <c r="I32" s="317"/>
      <c r="J32" s="318"/>
    </row>
    <row r="33" spans="1:10" x14ac:dyDescent="0.35">
      <c r="A33" s="14" t="s">
        <v>10</v>
      </c>
      <c r="B33" s="320" t="s">
        <v>38</v>
      </c>
      <c r="C33" s="320"/>
      <c r="D33" s="320"/>
      <c r="E33" s="320"/>
      <c r="F33" s="320"/>
      <c r="G33" s="321">
        <v>0</v>
      </c>
      <c r="H33" s="321"/>
      <c r="I33" s="321"/>
      <c r="J33" s="321"/>
    </row>
    <row r="34" spans="1:10" x14ac:dyDescent="0.35">
      <c r="A34" s="322" t="s">
        <v>39</v>
      </c>
      <c r="B34" s="322"/>
      <c r="C34" s="322"/>
      <c r="D34" s="322"/>
      <c r="E34" s="322"/>
      <c r="F34" s="322"/>
      <c r="G34" s="323">
        <f>SUM(G30:J33)</f>
        <v>1836.4059999999999</v>
      </c>
      <c r="H34" s="323"/>
      <c r="I34" s="323"/>
      <c r="J34" s="323"/>
    </row>
    <row r="35" spans="1:10" x14ac:dyDescent="0.35">
      <c r="A35" s="12"/>
      <c r="B35" s="288"/>
      <c r="C35" s="288"/>
      <c r="D35" s="288"/>
      <c r="E35" s="288"/>
      <c r="F35" s="288"/>
      <c r="G35" s="288"/>
      <c r="H35" s="288"/>
      <c r="I35" s="288"/>
      <c r="J35" s="288"/>
    </row>
    <row r="36" spans="1:10" x14ac:dyDescent="0.35">
      <c r="A36" s="287" t="s">
        <v>40</v>
      </c>
      <c r="B36" s="287"/>
      <c r="C36" s="287"/>
      <c r="D36" s="287"/>
      <c r="E36" s="287"/>
      <c r="F36" s="287"/>
      <c r="G36" s="287"/>
      <c r="H36" s="287"/>
      <c r="I36" s="287"/>
      <c r="J36" s="287"/>
    </row>
    <row r="37" spans="1:10" x14ac:dyDescent="0.35">
      <c r="A37" s="12"/>
      <c r="B37" s="288"/>
      <c r="C37" s="288"/>
      <c r="D37" s="288"/>
      <c r="E37" s="288"/>
      <c r="F37" s="288"/>
      <c r="G37" s="288"/>
      <c r="H37" s="288"/>
      <c r="I37" s="288"/>
      <c r="J37" s="288"/>
    </row>
    <row r="38" spans="1:10" x14ac:dyDescent="0.35">
      <c r="A38" s="326" t="s">
        <v>41</v>
      </c>
      <c r="B38" s="326"/>
      <c r="C38" s="326"/>
      <c r="D38" s="326"/>
      <c r="E38" s="326"/>
      <c r="F38" s="326"/>
      <c r="G38" s="326"/>
      <c r="H38" s="326"/>
      <c r="I38" s="326"/>
      <c r="J38" s="326"/>
    </row>
    <row r="39" spans="1:10" x14ac:dyDescent="0.35">
      <c r="A39" s="327" t="s">
        <v>42</v>
      </c>
      <c r="B39" s="327"/>
      <c r="C39" s="327"/>
      <c r="D39" s="327"/>
      <c r="E39" s="327"/>
      <c r="F39" s="327"/>
      <c r="G39" s="328">
        <f>G34</f>
        <v>1836.4059999999999</v>
      </c>
      <c r="H39" s="328"/>
      <c r="I39" s="328"/>
      <c r="J39" s="328"/>
    </row>
    <row r="40" spans="1:10" x14ac:dyDescent="0.35">
      <c r="A40" s="12"/>
      <c r="B40" s="309"/>
      <c r="C40" s="309"/>
      <c r="D40" s="309"/>
      <c r="E40" s="309"/>
      <c r="F40" s="309"/>
      <c r="G40" s="309"/>
      <c r="H40" s="309"/>
      <c r="I40" s="309"/>
      <c r="J40" s="309"/>
    </row>
    <row r="41" spans="1:10" x14ac:dyDescent="0.35">
      <c r="A41" s="20" t="s">
        <v>43</v>
      </c>
      <c r="B41" s="311" t="s">
        <v>44</v>
      </c>
      <c r="C41" s="311"/>
      <c r="D41" s="311"/>
      <c r="E41" s="311"/>
      <c r="F41" s="311"/>
      <c r="G41" s="311" t="s">
        <v>45</v>
      </c>
      <c r="H41" s="311"/>
      <c r="I41" s="322" t="s">
        <v>34</v>
      </c>
      <c r="J41" s="322"/>
    </row>
    <row r="42" spans="1:10" x14ac:dyDescent="0.35">
      <c r="A42" s="23" t="s">
        <v>3</v>
      </c>
      <c r="B42" s="300" t="s">
        <v>46</v>
      </c>
      <c r="C42" s="300"/>
      <c r="D42" s="300"/>
      <c r="E42" s="300"/>
      <c r="F42" s="300"/>
      <c r="G42" s="331">
        <v>8.3299999999999999E-2</v>
      </c>
      <c r="H42" s="331"/>
      <c r="I42" s="330">
        <f>G39*G42</f>
        <v>152.97261979999999</v>
      </c>
      <c r="J42" s="330"/>
    </row>
    <row r="43" spans="1:10" x14ac:dyDescent="0.35">
      <c r="A43" s="23" t="s">
        <v>5</v>
      </c>
      <c r="B43" s="300" t="s">
        <v>47</v>
      </c>
      <c r="C43" s="300"/>
      <c r="D43" s="300"/>
      <c r="E43" s="300"/>
      <c r="F43" s="300"/>
      <c r="G43" s="329">
        <v>2.7799999999999998E-2</v>
      </c>
      <c r="H43" s="329"/>
      <c r="I43" s="330">
        <f>G39*G43</f>
        <v>51.052086799999998</v>
      </c>
      <c r="J43" s="330"/>
    </row>
    <row r="44" spans="1:10" x14ac:dyDescent="0.35">
      <c r="A44" s="311" t="s">
        <v>39</v>
      </c>
      <c r="B44" s="311"/>
      <c r="C44" s="311"/>
      <c r="D44" s="311"/>
      <c r="E44" s="311"/>
      <c r="F44" s="311"/>
      <c r="G44" s="331">
        <f>SUM(G42:H43)</f>
        <v>0.1111</v>
      </c>
      <c r="H44" s="304"/>
      <c r="I44" s="332">
        <f>SUM(I42:J43)</f>
        <v>204.0247066</v>
      </c>
      <c r="J44" s="332"/>
    </row>
    <row r="45" spans="1:10" x14ac:dyDescent="0.35">
      <c r="A45" s="288"/>
      <c r="B45" s="288"/>
      <c r="C45" s="288"/>
      <c r="D45" s="288"/>
      <c r="E45" s="288"/>
      <c r="F45" s="288"/>
      <c r="G45" s="288"/>
      <c r="H45" s="288"/>
      <c r="I45" s="288"/>
      <c r="J45" s="288"/>
    </row>
    <row r="46" spans="1:10" x14ac:dyDescent="0.35">
      <c r="A46" s="334" t="s">
        <v>48</v>
      </c>
      <c r="B46" s="334"/>
      <c r="C46" s="334"/>
      <c r="D46" s="334"/>
      <c r="E46" s="334"/>
      <c r="F46" s="334"/>
      <c r="G46" s="334"/>
      <c r="H46" s="334"/>
      <c r="I46" s="334"/>
      <c r="J46" s="334"/>
    </row>
    <row r="47" spans="1:10" x14ac:dyDescent="0.35">
      <c r="A47" s="335" t="s">
        <v>49</v>
      </c>
      <c r="B47" s="335"/>
      <c r="C47" s="335"/>
      <c r="D47" s="335"/>
      <c r="E47" s="335"/>
      <c r="F47" s="335"/>
      <c r="G47" s="336">
        <f>G34+I44</f>
        <v>2040.4307065999999</v>
      </c>
      <c r="H47" s="336"/>
      <c r="I47" s="336"/>
      <c r="J47" s="336"/>
    </row>
    <row r="48" spans="1:10" x14ac:dyDescent="0.35">
      <c r="A48" s="337"/>
      <c r="B48" s="337"/>
      <c r="C48" s="337"/>
      <c r="D48" s="337"/>
      <c r="E48" s="337"/>
      <c r="F48" s="337"/>
      <c r="G48" s="337"/>
      <c r="H48" s="337"/>
      <c r="I48" s="337"/>
      <c r="J48" s="337"/>
    </row>
    <row r="49" spans="1:10" x14ac:dyDescent="0.35">
      <c r="A49" s="28" t="s">
        <v>50</v>
      </c>
      <c r="B49" s="338" t="s">
        <v>51</v>
      </c>
      <c r="C49" s="338"/>
      <c r="D49" s="338"/>
      <c r="E49" s="338"/>
      <c r="F49" s="338"/>
      <c r="G49" s="339" t="s">
        <v>45</v>
      </c>
      <c r="H49" s="339"/>
      <c r="I49" s="340" t="s">
        <v>34</v>
      </c>
      <c r="J49" s="340"/>
    </row>
    <row r="50" spans="1:10" x14ac:dyDescent="0.35">
      <c r="A50" s="23" t="s">
        <v>3</v>
      </c>
      <c r="B50" s="300" t="s">
        <v>52</v>
      </c>
      <c r="C50" s="300"/>
      <c r="D50" s="300"/>
      <c r="E50" s="300"/>
      <c r="F50" s="300"/>
      <c r="G50" s="331">
        <v>0.2</v>
      </c>
      <c r="H50" s="331"/>
      <c r="I50" s="333">
        <f>G47*G50</f>
        <v>408.08614132000002</v>
      </c>
      <c r="J50" s="333"/>
    </row>
    <row r="51" spans="1:10" x14ac:dyDescent="0.35">
      <c r="A51" s="23" t="s">
        <v>5</v>
      </c>
      <c r="B51" s="300" t="s">
        <v>53</v>
      </c>
      <c r="C51" s="300"/>
      <c r="D51" s="300"/>
      <c r="E51" s="300"/>
      <c r="F51" s="300"/>
      <c r="G51" s="331">
        <v>2.5000000000000001E-2</v>
      </c>
      <c r="H51" s="331"/>
      <c r="I51" s="333">
        <f>G47*G51</f>
        <v>51.010767665000003</v>
      </c>
      <c r="J51" s="333"/>
    </row>
    <row r="52" spans="1:10" x14ac:dyDescent="0.35">
      <c r="A52" s="23" t="s">
        <v>8</v>
      </c>
      <c r="B52" s="341" t="s">
        <v>54</v>
      </c>
      <c r="C52" s="341"/>
      <c r="D52" s="341"/>
      <c r="E52" s="341"/>
      <c r="F52" s="341"/>
      <c r="G52" s="342">
        <v>0.03</v>
      </c>
      <c r="H52" s="343"/>
      <c r="I52" s="333">
        <f>G47*G52</f>
        <v>61.212921197999997</v>
      </c>
      <c r="J52" s="333"/>
    </row>
    <row r="53" spans="1:10" x14ac:dyDescent="0.35">
      <c r="A53" s="23" t="s">
        <v>10</v>
      </c>
      <c r="B53" s="300" t="s">
        <v>55</v>
      </c>
      <c r="C53" s="300"/>
      <c r="D53" s="300"/>
      <c r="E53" s="300"/>
      <c r="F53" s="300"/>
      <c r="G53" s="331">
        <v>1.4999999999999999E-2</v>
      </c>
      <c r="H53" s="331"/>
      <c r="I53" s="333">
        <f>G47*G53</f>
        <v>30.606460598999998</v>
      </c>
      <c r="J53" s="333"/>
    </row>
    <row r="54" spans="1:10" x14ac:dyDescent="0.35">
      <c r="A54" s="23" t="s">
        <v>56</v>
      </c>
      <c r="B54" s="300" t="s">
        <v>57</v>
      </c>
      <c r="C54" s="300"/>
      <c r="D54" s="300"/>
      <c r="E54" s="300"/>
      <c r="F54" s="300"/>
      <c r="G54" s="331">
        <v>0.01</v>
      </c>
      <c r="H54" s="331"/>
      <c r="I54" s="333">
        <f>G47*G54</f>
        <v>20.404307065999998</v>
      </c>
      <c r="J54" s="333"/>
    </row>
    <row r="55" spans="1:10" x14ac:dyDescent="0.35">
      <c r="A55" s="23" t="s">
        <v>58</v>
      </c>
      <c r="B55" s="300" t="s">
        <v>59</v>
      </c>
      <c r="C55" s="300"/>
      <c r="D55" s="300"/>
      <c r="E55" s="300"/>
      <c r="F55" s="300"/>
      <c r="G55" s="331">
        <v>6.0000000000000001E-3</v>
      </c>
      <c r="H55" s="331"/>
      <c r="I55" s="333">
        <f>G47*G55</f>
        <v>12.242584239599999</v>
      </c>
      <c r="J55" s="333"/>
    </row>
    <row r="56" spans="1:10" x14ac:dyDescent="0.35">
      <c r="A56" s="23" t="s">
        <v>60</v>
      </c>
      <c r="B56" s="300" t="s">
        <v>61</v>
      </c>
      <c r="C56" s="300"/>
      <c r="D56" s="300"/>
      <c r="E56" s="300"/>
      <c r="F56" s="300"/>
      <c r="G56" s="331">
        <v>2E-3</v>
      </c>
      <c r="H56" s="331"/>
      <c r="I56" s="333">
        <f>G47*G56</f>
        <v>4.0808614132000001</v>
      </c>
      <c r="J56" s="333"/>
    </row>
    <row r="57" spans="1:10" x14ac:dyDescent="0.35">
      <c r="A57" s="23" t="s">
        <v>62</v>
      </c>
      <c r="B57" s="300" t="s">
        <v>63</v>
      </c>
      <c r="C57" s="300"/>
      <c r="D57" s="300"/>
      <c r="E57" s="300"/>
      <c r="F57" s="300"/>
      <c r="G57" s="331">
        <v>0.08</v>
      </c>
      <c r="H57" s="331"/>
      <c r="I57" s="333">
        <f>G47*G57</f>
        <v>163.23445652799998</v>
      </c>
      <c r="J57" s="333"/>
    </row>
    <row r="58" spans="1:10" x14ac:dyDescent="0.35">
      <c r="A58" s="311" t="s">
        <v>64</v>
      </c>
      <c r="B58" s="311"/>
      <c r="C58" s="311"/>
      <c r="D58" s="311"/>
      <c r="E58" s="311"/>
      <c r="F58" s="311"/>
      <c r="G58" s="344">
        <f>SUM(G50:H57)</f>
        <v>0.36800000000000005</v>
      </c>
      <c r="H58" s="311"/>
      <c r="I58" s="345">
        <f>SUM(I50:J57)</f>
        <v>750.87850002879998</v>
      </c>
      <c r="J58" s="345"/>
    </row>
    <row r="59" spans="1:10" x14ac:dyDescent="0.35">
      <c r="A59" s="319"/>
      <c r="B59" s="319"/>
      <c r="C59" s="319"/>
      <c r="D59" s="319"/>
      <c r="E59" s="319"/>
      <c r="F59" s="319"/>
      <c r="G59" s="319"/>
      <c r="H59" s="319"/>
      <c r="I59" s="319"/>
      <c r="J59" s="319"/>
    </row>
    <row r="60" spans="1:10" x14ac:dyDescent="0.35">
      <c r="A60" s="326" t="s">
        <v>65</v>
      </c>
      <c r="B60" s="326"/>
      <c r="C60" s="326"/>
      <c r="D60" s="326"/>
      <c r="E60" s="326"/>
      <c r="F60" s="326"/>
      <c r="G60" s="326"/>
      <c r="H60" s="326"/>
      <c r="I60" s="326"/>
      <c r="J60" s="326"/>
    </row>
    <row r="61" spans="1:10" x14ac:dyDescent="0.35">
      <c r="A61" s="12"/>
      <c r="B61" s="309"/>
      <c r="C61" s="309"/>
      <c r="D61" s="309"/>
      <c r="E61" s="309"/>
      <c r="F61" s="309"/>
      <c r="G61" s="309"/>
      <c r="H61" s="309"/>
      <c r="I61" s="309"/>
      <c r="J61" s="309"/>
    </row>
    <row r="62" spans="1:10" x14ac:dyDescent="0.35">
      <c r="A62" s="21" t="s">
        <v>66</v>
      </c>
      <c r="B62" s="347" t="s">
        <v>67</v>
      </c>
      <c r="C62" s="347"/>
      <c r="D62" s="347"/>
      <c r="E62" s="347"/>
      <c r="F62" s="347"/>
      <c r="G62" s="295" t="s">
        <v>138</v>
      </c>
      <c r="H62" s="296"/>
      <c r="I62" s="353" t="s">
        <v>34</v>
      </c>
      <c r="J62" s="354"/>
    </row>
    <row r="63" spans="1:10" x14ac:dyDescent="0.35">
      <c r="A63" s="22" t="s">
        <v>3</v>
      </c>
      <c r="B63" s="346" t="s">
        <v>68</v>
      </c>
      <c r="C63" s="346"/>
      <c r="D63" s="346"/>
      <c r="E63" s="346"/>
      <c r="F63" s="346"/>
      <c r="G63" s="291">
        <v>0.06</v>
      </c>
      <c r="H63" s="292"/>
      <c r="I63" s="281">
        <f>(2*4.7*21.25)-(G63*G30)</f>
        <v>114.99280000000002</v>
      </c>
      <c r="J63" s="283"/>
    </row>
    <row r="64" spans="1:10" x14ac:dyDescent="0.35">
      <c r="A64" s="22" t="s">
        <v>5</v>
      </c>
      <c r="B64" s="346" t="s">
        <v>69</v>
      </c>
      <c r="C64" s="346"/>
      <c r="D64" s="346"/>
      <c r="E64" s="346"/>
      <c r="F64" s="346"/>
      <c r="G64" s="291">
        <v>3.5000000000000003E-2</v>
      </c>
      <c r="H64" s="292"/>
      <c r="I64" s="352">
        <f>(20*22)-(20*22*G64)</f>
        <v>424.6</v>
      </c>
      <c r="J64" s="352"/>
    </row>
    <row r="65" spans="1:10" x14ac:dyDescent="0.35">
      <c r="A65" s="22" t="s">
        <v>8</v>
      </c>
      <c r="B65" s="346" t="s">
        <v>70</v>
      </c>
      <c r="C65" s="346"/>
      <c r="D65" s="346"/>
      <c r="E65" s="346"/>
      <c r="F65" s="346"/>
      <c r="G65" s="289" t="s">
        <v>139</v>
      </c>
      <c r="H65" s="290"/>
      <c r="I65" s="352">
        <v>99.84</v>
      </c>
      <c r="J65" s="352"/>
    </row>
    <row r="66" spans="1:10" x14ac:dyDescent="0.35">
      <c r="A66" s="22" t="s">
        <v>10</v>
      </c>
      <c r="B66" s="346" t="s">
        <v>71</v>
      </c>
      <c r="C66" s="346"/>
      <c r="D66" s="346"/>
      <c r="E66" s="346"/>
      <c r="F66" s="346"/>
      <c r="G66" s="289" t="s">
        <v>139</v>
      </c>
      <c r="H66" s="290"/>
      <c r="I66" s="352">
        <v>5</v>
      </c>
      <c r="J66" s="352"/>
    </row>
    <row r="67" spans="1:10" x14ac:dyDescent="0.35">
      <c r="A67" s="22" t="s">
        <v>56</v>
      </c>
      <c r="B67" s="346" t="s">
        <v>72</v>
      </c>
      <c r="C67" s="346"/>
      <c r="D67" s="346"/>
      <c r="E67" s="346"/>
      <c r="F67" s="346"/>
      <c r="G67" s="289" t="s">
        <v>139</v>
      </c>
      <c r="H67" s="290"/>
      <c r="I67" s="352">
        <v>10</v>
      </c>
      <c r="J67" s="352"/>
    </row>
    <row r="68" spans="1:10" x14ac:dyDescent="0.35">
      <c r="A68" s="22" t="s">
        <v>58</v>
      </c>
      <c r="B68" s="346" t="s">
        <v>73</v>
      </c>
      <c r="C68" s="346"/>
      <c r="D68" s="346"/>
      <c r="E68" s="346"/>
      <c r="F68" s="346"/>
      <c r="G68" s="289" t="s">
        <v>139</v>
      </c>
      <c r="H68" s="290"/>
      <c r="I68" s="352">
        <v>8</v>
      </c>
      <c r="J68" s="352"/>
    </row>
    <row r="69" spans="1:10" x14ac:dyDescent="0.35">
      <c r="A69" s="22" t="s">
        <v>60</v>
      </c>
      <c r="B69" s="349" t="s">
        <v>74</v>
      </c>
      <c r="C69" s="350"/>
      <c r="D69" s="350"/>
      <c r="E69" s="350"/>
      <c r="F69" s="351"/>
      <c r="G69" s="293">
        <v>2.6069999999999999E-2</v>
      </c>
      <c r="H69" s="294"/>
      <c r="I69" s="352">
        <f xml:space="preserve"> (282.5*4*G69)/24</f>
        <v>1.2274624999999999</v>
      </c>
      <c r="J69" s="352"/>
    </row>
    <row r="70" spans="1:10" x14ac:dyDescent="0.35">
      <c r="A70" s="22" t="s">
        <v>62</v>
      </c>
      <c r="B70" s="349" t="s">
        <v>75</v>
      </c>
      <c r="C70" s="350"/>
      <c r="D70" s="350"/>
      <c r="E70" s="350"/>
      <c r="F70" s="351"/>
      <c r="G70" s="291">
        <v>1.0416E-2</v>
      </c>
      <c r="H70" s="292"/>
      <c r="I70" s="352">
        <f>((1412.62)*G70)/24</f>
        <v>0.61307707999999994</v>
      </c>
      <c r="J70" s="352"/>
    </row>
    <row r="71" spans="1:10" x14ac:dyDescent="0.35">
      <c r="A71" s="22" t="s">
        <v>20</v>
      </c>
      <c r="B71" s="300" t="s">
        <v>38</v>
      </c>
      <c r="C71" s="300"/>
      <c r="D71" s="300"/>
      <c r="E71" s="300"/>
      <c r="F71" s="300"/>
      <c r="G71" s="289" t="s">
        <v>139</v>
      </c>
      <c r="H71" s="290"/>
      <c r="I71" s="321">
        <v>0</v>
      </c>
      <c r="J71" s="321"/>
    </row>
    <row r="72" spans="1:10" x14ac:dyDescent="0.35">
      <c r="A72" s="355" t="s">
        <v>39</v>
      </c>
      <c r="B72" s="356"/>
      <c r="C72" s="356"/>
      <c r="D72" s="356"/>
      <c r="E72" s="356"/>
      <c r="F72" s="356"/>
      <c r="G72" s="356"/>
      <c r="H72" s="357"/>
      <c r="I72" s="323">
        <f>SUM(I63:J71)</f>
        <v>664.27333958000008</v>
      </c>
      <c r="J72" s="323"/>
    </row>
    <row r="73" spans="1:10" x14ac:dyDescent="0.35">
      <c r="A73" s="348"/>
      <c r="B73" s="348"/>
      <c r="C73" s="348"/>
      <c r="D73" s="348"/>
      <c r="E73" s="348"/>
      <c r="F73" s="348"/>
      <c r="G73" s="348"/>
      <c r="H73" s="348"/>
      <c r="I73" s="348"/>
      <c r="J73" s="348"/>
    </row>
    <row r="74" spans="1:10" x14ac:dyDescent="0.35">
      <c r="A74" s="326" t="s">
        <v>76</v>
      </c>
      <c r="B74" s="326"/>
      <c r="C74" s="326"/>
      <c r="D74" s="326"/>
      <c r="E74" s="326"/>
      <c r="F74" s="326"/>
      <c r="G74" s="326"/>
      <c r="H74" s="326"/>
      <c r="I74" s="326"/>
      <c r="J74" s="326"/>
    </row>
    <row r="75" spans="1:10" x14ac:dyDescent="0.35">
      <c r="A75" s="358"/>
      <c r="B75" s="358"/>
      <c r="C75" s="358"/>
      <c r="D75" s="358"/>
      <c r="E75" s="358"/>
      <c r="F75" s="358"/>
      <c r="G75" s="358"/>
      <c r="H75" s="358"/>
      <c r="I75" s="358"/>
      <c r="J75" s="358"/>
    </row>
    <row r="76" spans="1:10" x14ac:dyDescent="0.35">
      <c r="A76" s="20">
        <v>2</v>
      </c>
      <c r="B76" s="311" t="s">
        <v>77</v>
      </c>
      <c r="C76" s="311"/>
      <c r="D76" s="311"/>
      <c r="E76" s="311"/>
      <c r="F76" s="311"/>
      <c r="G76" s="311" t="s">
        <v>34</v>
      </c>
      <c r="H76" s="311"/>
      <c r="I76" s="311"/>
      <c r="J76" s="311"/>
    </row>
    <row r="77" spans="1:10" x14ac:dyDescent="0.35">
      <c r="A77" s="23" t="s">
        <v>43</v>
      </c>
      <c r="B77" s="300" t="s">
        <v>44</v>
      </c>
      <c r="C77" s="300"/>
      <c r="D77" s="300"/>
      <c r="E77" s="300"/>
      <c r="F77" s="300"/>
      <c r="G77" s="321">
        <f>I44</f>
        <v>204.0247066</v>
      </c>
      <c r="H77" s="321"/>
      <c r="I77" s="321"/>
      <c r="J77" s="321"/>
    </row>
    <row r="78" spans="1:10" x14ac:dyDescent="0.35">
      <c r="A78" s="23" t="s">
        <v>50</v>
      </c>
      <c r="B78" s="300" t="s">
        <v>51</v>
      </c>
      <c r="C78" s="300"/>
      <c r="D78" s="300"/>
      <c r="E78" s="300"/>
      <c r="F78" s="300"/>
      <c r="G78" s="321">
        <f>I58</f>
        <v>750.87850002879998</v>
      </c>
      <c r="H78" s="321"/>
      <c r="I78" s="321"/>
      <c r="J78" s="321"/>
    </row>
    <row r="79" spans="1:10" x14ac:dyDescent="0.35">
      <c r="A79" s="23" t="s">
        <v>66</v>
      </c>
      <c r="B79" s="300" t="s">
        <v>67</v>
      </c>
      <c r="C79" s="300"/>
      <c r="D79" s="300"/>
      <c r="E79" s="300"/>
      <c r="F79" s="300"/>
      <c r="G79" s="321">
        <f>I72</f>
        <v>664.27333958000008</v>
      </c>
      <c r="H79" s="321"/>
      <c r="I79" s="321"/>
      <c r="J79" s="321"/>
    </row>
    <row r="80" spans="1:10" x14ac:dyDescent="0.35">
      <c r="A80" s="311" t="s">
        <v>39</v>
      </c>
      <c r="B80" s="311"/>
      <c r="C80" s="311"/>
      <c r="D80" s="311"/>
      <c r="E80" s="311"/>
      <c r="F80" s="311"/>
      <c r="G80" s="323">
        <f>SUM(G77:J79)</f>
        <v>1619.1765462088001</v>
      </c>
      <c r="H80" s="323"/>
      <c r="I80" s="323"/>
      <c r="J80" s="323"/>
    </row>
    <row r="81" spans="1:10" x14ac:dyDescent="0.35">
      <c r="A81" s="319"/>
      <c r="B81" s="319"/>
      <c r="C81" s="319"/>
      <c r="D81" s="319"/>
      <c r="E81" s="319"/>
      <c r="F81" s="319"/>
      <c r="G81" s="319"/>
      <c r="H81" s="319"/>
      <c r="I81" s="319"/>
      <c r="J81" s="319"/>
    </row>
    <row r="82" spans="1:10" x14ac:dyDescent="0.35">
      <c r="A82" s="303"/>
      <c r="B82" s="303"/>
      <c r="C82" s="303"/>
      <c r="D82" s="303"/>
      <c r="E82" s="303"/>
      <c r="F82" s="303"/>
      <c r="G82" s="303"/>
      <c r="H82" s="303"/>
      <c r="I82" s="303"/>
      <c r="J82" s="303"/>
    </row>
    <row r="83" spans="1:10" x14ac:dyDescent="0.35">
      <c r="A83" s="287" t="s">
        <v>78</v>
      </c>
      <c r="B83" s="287"/>
      <c r="C83" s="287"/>
      <c r="D83" s="287"/>
      <c r="E83" s="287"/>
      <c r="F83" s="287"/>
      <c r="G83" s="287"/>
      <c r="H83" s="287"/>
      <c r="I83" s="287"/>
      <c r="J83" s="287"/>
    </row>
    <row r="84" spans="1:10" x14ac:dyDescent="0.35">
      <c r="A84" s="361" t="s">
        <v>79</v>
      </c>
      <c r="B84" s="361"/>
      <c r="C84" s="361"/>
      <c r="D84" s="361"/>
      <c r="E84" s="361"/>
      <c r="F84" s="361"/>
      <c r="G84" s="362">
        <f>G34</f>
        <v>1836.4059999999999</v>
      </c>
      <c r="H84" s="362"/>
      <c r="I84" s="362"/>
      <c r="J84" s="362"/>
    </row>
    <row r="85" spans="1:10" x14ac:dyDescent="0.35">
      <c r="A85" s="363"/>
      <c r="B85" s="363"/>
      <c r="C85" s="363"/>
      <c r="D85" s="363"/>
      <c r="E85" s="363"/>
      <c r="F85" s="363"/>
      <c r="G85" s="309"/>
      <c r="H85" s="309"/>
      <c r="I85" s="309"/>
      <c r="J85" s="309"/>
    </row>
    <row r="86" spans="1:10" x14ac:dyDescent="0.35">
      <c r="A86" s="10">
        <v>3</v>
      </c>
      <c r="B86" s="322" t="s">
        <v>80</v>
      </c>
      <c r="C86" s="322"/>
      <c r="D86" s="322"/>
      <c r="E86" s="322"/>
      <c r="F86" s="322"/>
      <c r="G86" s="364" t="s">
        <v>45</v>
      </c>
      <c r="H86" s="364"/>
      <c r="I86" s="322" t="s">
        <v>34</v>
      </c>
      <c r="J86" s="322"/>
    </row>
    <row r="87" spans="1:10" x14ac:dyDescent="0.35">
      <c r="A87" s="14" t="s">
        <v>3</v>
      </c>
      <c r="B87" s="359" t="s">
        <v>81</v>
      </c>
      <c r="C87" s="359"/>
      <c r="D87" s="359"/>
      <c r="E87" s="359"/>
      <c r="F87" s="359"/>
      <c r="G87" s="30">
        <v>0.05</v>
      </c>
      <c r="H87" s="24">
        <f>(1/12)*G87</f>
        <v>4.1666666666666666E-3</v>
      </c>
      <c r="I87" s="333">
        <f>G84*H87</f>
        <v>7.6516916666666663</v>
      </c>
      <c r="J87" s="333"/>
    </row>
    <row r="88" spans="1:10" x14ac:dyDescent="0.35">
      <c r="A88" s="14" t="s">
        <v>5</v>
      </c>
      <c r="B88" s="359" t="s">
        <v>82</v>
      </c>
      <c r="C88" s="359"/>
      <c r="D88" s="359"/>
      <c r="E88" s="359"/>
      <c r="F88" s="359"/>
      <c r="G88" s="329">
        <f>H87*0.08</f>
        <v>3.3333333333333332E-4</v>
      </c>
      <c r="H88" s="329"/>
      <c r="I88" s="360">
        <f>G84*G88</f>
        <v>0.61213533333333325</v>
      </c>
      <c r="J88" s="360"/>
    </row>
    <row r="89" spans="1:10" x14ac:dyDescent="0.35">
      <c r="A89" s="14" t="s">
        <v>8</v>
      </c>
      <c r="B89" s="359" t="s">
        <v>203</v>
      </c>
      <c r="C89" s="359"/>
      <c r="D89" s="359"/>
      <c r="E89" s="359"/>
      <c r="F89" s="359"/>
      <c r="G89" s="30">
        <v>0.9</v>
      </c>
      <c r="H89" s="24">
        <f>(1+2/12+(1/3*1/12))*0.08*0.4*G89</f>
        <v>3.4400000000000007E-2</v>
      </c>
      <c r="I89" s="365">
        <f>G84*H89</f>
        <v>63.172366400000008</v>
      </c>
      <c r="J89" s="366"/>
    </row>
    <row r="90" spans="1:10" x14ac:dyDescent="0.35">
      <c r="A90" s="14" t="s">
        <v>10</v>
      </c>
      <c r="B90" s="359" t="s">
        <v>83</v>
      </c>
      <c r="C90" s="359"/>
      <c r="D90" s="359"/>
      <c r="E90" s="359"/>
      <c r="F90" s="359"/>
      <c r="G90" s="329">
        <f>((7/30) + (7/30*0.1))/ 24</f>
        <v>1.0694444444444444E-2</v>
      </c>
      <c r="H90" s="329"/>
      <c r="I90" s="365">
        <f>G84*G90</f>
        <v>19.639341944444443</v>
      </c>
      <c r="J90" s="366"/>
    </row>
    <row r="91" spans="1:10" x14ac:dyDescent="0.35">
      <c r="A91" s="14" t="s">
        <v>56</v>
      </c>
      <c r="B91" s="359" t="s">
        <v>84</v>
      </c>
      <c r="C91" s="359"/>
      <c r="D91" s="359"/>
      <c r="E91" s="359"/>
      <c r="F91" s="359"/>
      <c r="G91" s="329">
        <f>G90*G58</f>
        <v>3.9355555555555559E-3</v>
      </c>
      <c r="H91" s="329"/>
      <c r="I91" s="365">
        <f>G84*G91</f>
        <v>7.2272778355555563</v>
      </c>
      <c r="J91" s="366"/>
    </row>
    <row r="92" spans="1:10" x14ac:dyDescent="0.35">
      <c r="A92" s="14" t="s">
        <v>58</v>
      </c>
      <c r="B92" s="359" t="s">
        <v>204</v>
      </c>
      <c r="C92" s="359"/>
      <c r="D92" s="359"/>
      <c r="E92" s="359"/>
      <c r="F92" s="359"/>
      <c r="G92" s="367">
        <f>G90*0.08*0.4</f>
        <v>3.4222222222222228E-4</v>
      </c>
      <c r="H92" s="367"/>
      <c r="I92" s="368">
        <f>G84*G92</f>
        <v>0.62845894222222232</v>
      </c>
      <c r="J92" s="369"/>
    </row>
    <row r="93" spans="1:10" x14ac:dyDescent="0.35">
      <c r="A93" s="322" t="s">
        <v>39</v>
      </c>
      <c r="B93" s="322"/>
      <c r="C93" s="322"/>
      <c r="D93" s="322"/>
      <c r="E93" s="322"/>
      <c r="F93" s="322"/>
      <c r="G93" s="372">
        <f>SUM(H87,G88,H89,G90,G91,G92)</f>
        <v>5.3872222222222224E-2</v>
      </c>
      <c r="H93" s="372"/>
      <c r="I93" s="345">
        <f>SUM(I87:J92)</f>
        <v>98.931272122222225</v>
      </c>
      <c r="J93" s="345"/>
    </row>
    <row r="94" spans="1:10" x14ac:dyDescent="0.35">
      <c r="A94" s="373"/>
      <c r="B94" s="373"/>
      <c r="C94" s="373"/>
      <c r="D94" s="373"/>
      <c r="E94" s="373"/>
      <c r="F94" s="373"/>
      <c r="G94" s="373"/>
      <c r="H94" s="373"/>
      <c r="I94" s="373"/>
      <c r="J94" s="373"/>
    </row>
    <row r="95" spans="1:10" x14ac:dyDescent="0.35">
      <c r="A95" s="287" t="s">
        <v>85</v>
      </c>
      <c r="B95" s="287"/>
      <c r="C95" s="287"/>
      <c r="D95" s="287"/>
      <c r="E95" s="287"/>
      <c r="F95" s="287"/>
      <c r="G95" s="287"/>
      <c r="H95" s="287"/>
      <c r="I95" s="287"/>
      <c r="J95" s="287"/>
    </row>
    <row r="96" spans="1:10" x14ac:dyDescent="0.35">
      <c r="A96" s="12"/>
      <c r="B96" s="288"/>
      <c r="C96" s="288"/>
      <c r="D96" s="288"/>
      <c r="E96" s="288"/>
      <c r="F96" s="288"/>
      <c r="G96" s="288"/>
      <c r="H96" s="288"/>
      <c r="I96" s="288"/>
      <c r="J96" s="288"/>
    </row>
    <row r="97" spans="1:10" x14ac:dyDescent="0.35">
      <c r="A97" s="326" t="s">
        <v>86</v>
      </c>
      <c r="B97" s="326"/>
      <c r="C97" s="326"/>
      <c r="D97" s="326"/>
      <c r="E97" s="326"/>
      <c r="F97" s="326"/>
      <c r="G97" s="326"/>
      <c r="H97" s="326"/>
      <c r="I97" s="326"/>
      <c r="J97" s="326"/>
    </row>
    <row r="98" spans="1:10" x14ac:dyDescent="0.35">
      <c r="A98" s="361" t="s">
        <v>87</v>
      </c>
      <c r="B98" s="361"/>
      <c r="C98" s="361"/>
      <c r="D98" s="361"/>
      <c r="E98" s="361"/>
      <c r="F98" s="361"/>
      <c r="G98" s="370">
        <f>G34</f>
        <v>1836.4059999999999</v>
      </c>
      <c r="H98" s="371"/>
      <c r="I98" s="371"/>
      <c r="J98" s="371"/>
    </row>
    <row r="99" spans="1:10" x14ac:dyDescent="0.35">
      <c r="A99" s="16"/>
      <c r="B99" s="16"/>
      <c r="C99" s="16"/>
      <c r="D99" s="16"/>
      <c r="E99" s="16"/>
      <c r="F99" s="16"/>
      <c r="G99" s="17"/>
      <c r="H99" s="17"/>
      <c r="I99" s="17"/>
      <c r="J99" s="17"/>
    </row>
    <row r="100" spans="1:10" x14ac:dyDescent="0.35">
      <c r="A100" s="15" t="s">
        <v>88</v>
      </c>
      <c r="B100" s="339" t="s">
        <v>89</v>
      </c>
      <c r="C100" s="339"/>
      <c r="D100" s="339"/>
      <c r="E100" s="339"/>
      <c r="F100" s="339"/>
      <c r="G100" s="322" t="s">
        <v>90</v>
      </c>
      <c r="H100" s="322"/>
      <c r="I100" s="311" t="s">
        <v>34</v>
      </c>
      <c r="J100" s="311"/>
    </row>
    <row r="101" spans="1:10" x14ac:dyDescent="0.35">
      <c r="A101" s="23" t="s">
        <v>3</v>
      </c>
      <c r="B101" s="300" t="s">
        <v>91</v>
      </c>
      <c r="C101" s="300"/>
      <c r="D101" s="300"/>
      <c r="E101" s="300"/>
      <c r="F101" s="300"/>
      <c r="G101" s="329">
        <f>1/12</f>
        <v>8.3333333333333329E-2</v>
      </c>
      <c r="H101" s="329"/>
      <c r="I101" s="321">
        <f>G101*G98</f>
        <v>153.03383333333332</v>
      </c>
      <c r="J101" s="321"/>
    </row>
    <row r="102" spans="1:10" x14ac:dyDescent="0.35">
      <c r="A102" s="14" t="s">
        <v>5</v>
      </c>
      <c r="B102" s="325" t="s">
        <v>92</v>
      </c>
      <c r="C102" s="325"/>
      <c r="D102" s="325"/>
      <c r="E102" s="325"/>
      <c r="F102" s="325"/>
      <c r="G102" s="374">
        <f>(1/30)/12</f>
        <v>2.7777777777777779E-3</v>
      </c>
      <c r="H102" s="374"/>
      <c r="I102" s="321">
        <f>G98*G102</f>
        <v>5.1011277777777781</v>
      </c>
      <c r="J102" s="321"/>
    </row>
    <row r="103" spans="1:10" x14ac:dyDescent="0.35">
      <c r="A103" s="14" t="s">
        <v>8</v>
      </c>
      <c r="B103" s="325" t="s">
        <v>93</v>
      </c>
      <c r="C103" s="325"/>
      <c r="D103" s="325"/>
      <c r="E103" s="325"/>
      <c r="F103" s="325"/>
      <c r="G103" s="374">
        <f>(5/30)/12*0.015</f>
        <v>2.0833333333333332E-4</v>
      </c>
      <c r="H103" s="374"/>
      <c r="I103" s="321">
        <f>G98*G103</f>
        <v>0.38258458333333328</v>
      </c>
      <c r="J103" s="321"/>
    </row>
    <row r="104" spans="1:10" x14ac:dyDescent="0.35">
      <c r="A104" s="14" t="s">
        <v>10</v>
      </c>
      <c r="B104" s="325" t="s">
        <v>94</v>
      </c>
      <c r="C104" s="325"/>
      <c r="D104" s="325"/>
      <c r="E104" s="325"/>
      <c r="F104" s="325"/>
      <c r="G104" s="374">
        <f>1/12*0.0078</f>
        <v>6.4999999999999997E-4</v>
      </c>
      <c r="H104" s="374"/>
      <c r="I104" s="321">
        <f>G98*G104</f>
        <v>1.1936639</v>
      </c>
      <c r="J104" s="321"/>
    </row>
    <row r="105" spans="1:10" x14ac:dyDescent="0.35">
      <c r="A105" s="14" t="s">
        <v>56</v>
      </c>
      <c r="B105" s="325" t="s">
        <v>95</v>
      </c>
      <c r="C105" s="325"/>
      <c r="D105" s="325"/>
      <c r="E105" s="325"/>
      <c r="F105" s="325"/>
      <c r="G105" s="374">
        <f>((1/12)+(1/3*1/12))*0.02607*6/12</f>
        <v>1.4483333333333334E-3</v>
      </c>
      <c r="H105" s="374"/>
      <c r="I105" s="321">
        <f>G98*G105</f>
        <v>2.6597280233333334</v>
      </c>
      <c r="J105" s="321"/>
    </row>
    <row r="106" spans="1:10" x14ac:dyDescent="0.35">
      <c r="A106" s="14" t="s">
        <v>58</v>
      </c>
      <c r="B106" s="325" t="s">
        <v>96</v>
      </c>
      <c r="C106" s="325"/>
      <c r="D106" s="325"/>
      <c r="E106" s="325"/>
      <c r="F106" s="325"/>
      <c r="G106" s="374">
        <f>(5/30/12)</f>
        <v>1.3888888888888888E-2</v>
      </c>
      <c r="H106" s="374"/>
      <c r="I106" s="321">
        <f>G98*G106</f>
        <v>25.505638888888885</v>
      </c>
      <c r="J106" s="321"/>
    </row>
    <row r="107" spans="1:10" x14ac:dyDescent="0.35">
      <c r="A107" s="375" t="s">
        <v>97</v>
      </c>
      <c r="B107" s="375"/>
      <c r="C107" s="375"/>
      <c r="D107" s="375"/>
      <c r="E107" s="375"/>
      <c r="F107" s="375"/>
      <c r="G107" s="376">
        <f>SUM(G101:H106)</f>
        <v>0.10230666666666666</v>
      </c>
      <c r="H107" s="376"/>
      <c r="I107" s="377">
        <f>SUM(I101:J106)</f>
        <v>187.87657650666665</v>
      </c>
      <c r="J107" s="377"/>
    </row>
    <row r="108" spans="1:10" x14ac:dyDescent="0.35">
      <c r="A108" s="26" t="s">
        <v>60</v>
      </c>
      <c r="B108" s="378" t="s">
        <v>98</v>
      </c>
      <c r="C108" s="378"/>
      <c r="D108" s="378"/>
      <c r="E108" s="378"/>
      <c r="F108" s="379"/>
      <c r="G108" s="380">
        <f>(G107-G105)*(2/12+(1/3*1/12))</f>
        <v>1.961134259259259E-2</v>
      </c>
      <c r="H108" s="379"/>
      <c r="I108" s="381">
        <f>G98*G108</f>
        <v>36.014387205092589</v>
      </c>
      <c r="J108" s="382"/>
    </row>
    <row r="109" spans="1:10" x14ac:dyDescent="0.35">
      <c r="A109" s="388" t="s">
        <v>99</v>
      </c>
      <c r="B109" s="389"/>
      <c r="C109" s="389"/>
      <c r="D109" s="389"/>
      <c r="E109" s="389"/>
      <c r="F109" s="390"/>
      <c r="G109" s="391">
        <f>SUM(G107:H108)</f>
        <v>0.12191800925925925</v>
      </c>
      <c r="H109" s="392"/>
      <c r="I109" s="393">
        <f>SUM(I107:J108)</f>
        <v>223.89096371175924</v>
      </c>
      <c r="J109" s="394"/>
    </row>
    <row r="110" spans="1:10" x14ac:dyDescent="0.35">
      <c r="A110" s="26" t="s">
        <v>62</v>
      </c>
      <c r="B110" s="395" t="s">
        <v>100</v>
      </c>
      <c r="C110" s="395"/>
      <c r="D110" s="395"/>
      <c r="E110" s="395"/>
      <c r="F110" s="396"/>
      <c r="G110" s="380">
        <f>G109*G58</f>
        <v>4.486582740740741E-2</v>
      </c>
      <c r="H110" s="397"/>
      <c r="I110" s="381">
        <f>G98*G110</f>
        <v>82.391874645927416</v>
      </c>
      <c r="J110" s="382"/>
    </row>
    <row r="111" spans="1:10" x14ac:dyDescent="0.35">
      <c r="A111" s="383" t="s">
        <v>39</v>
      </c>
      <c r="B111" s="378"/>
      <c r="C111" s="378"/>
      <c r="D111" s="378"/>
      <c r="E111" s="378"/>
      <c r="F111" s="379"/>
      <c r="G111" s="384">
        <f>SUM(G109:H110)</f>
        <v>0.16678383666666666</v>
      </c>
      <c r="H111" s="385"/>
      <c r="I111" s="386">
        <f>G98*G111</f>
        <v>306.28283835768661</v>
      </c>
      <c r="J111" s="387"/>
    </row>
    <row r="112" spans="1:10" x14ac:dyDescent="0.35">
      <c r="A112" s="12"/>
      <c r="B112" s="309"/>
      <c r="C112" s="309"/>
      <c r="D112" s="309"/>
      <c r="E112" s="309"/>
      <c r="F112" s="309"/>
      <c r="G112" s="309"/>
      <c r="H112" s="309"/>
      <c r="I112" s="309"/>
      <c r="J112" s="309"/>
    </row>
    <row r="113" spans="1:10" x14ac:dyDescent="0.35">
      <c r="A113" s="326" t="s">
        <v>101</v>
      </c>
      <c r="B113" s="326"/>
      <c r="C113" s="326"/>
      <c r="D113" s="326"/>
      <c r="E113" s="326"/>
      <c r="F113" s="326"/>
      <c r="G113" s="326"/>
      <c r="H113" s="326"/>
      <c r="I113" s="326"/>
      <c r="J113" s="326"/>
    </row>
    <row r="114" spans="1:10" x14ac:dyDescent="0.35">
      <c r="A114" s="477"/>
      <c r="B114" s="477"/>
      <c r="C114" s="477"/>
      <c r="D114" s="477"/>
      <c r="E114" s="477"/>
      <c r="F114" s="477"/>
      <c r="G114" s="478"/>
      <c r="H114" s="478"/>
      <c r="I114" s="478"/>
      <c r="J114" s="478"/>
    </row>
    <row r="115" spans="1:10" x14ac:dyDescent="0.35">
      <c r="A115" s="20" t="s">
        <v>102</v>
      </c>
      <c r="B115" s="311" t="s">
        <v>103</v>
      </c>
      <c r="C115" s="311"/>
      <c r="D115" s="311"/>
      <c r="E115" s="311"/>
      <c r="F115" s="311"/>
      <c r="G115" s="311" t="s">
        <v>34</v>
      </c>
      <c r="H115" s="311"/>
      <c r="I115" s="311"/>
      <c r="J115" s="311"/>
    </row>
    <row r="116" spans="1:10" x14ac:dyDescent="0.35">
      <c r="A116" s="23" t="s">
        <v>3</v>
      </c>
      <c r="B116" s="300" t="s">
        <v>104</v>
      </c>
      <c r="C116" s="300"/>
      <c r="D116" s="300"/>
      <c r="E116" s="300"/>
      <c r="F116" s="300"/>
      <c r="G116" s="333">
        <v>0</v>
      </c>
      <c r="H116" s="333"/>
      <c r="I116" s="333"/>
      <c r="J116" s="333"/>
    </row>
    <row r="117" spans="1:10" x14ac:dyDescent="0.35">
      <c r="A117" s="311" t="s">
        <v>39</v>
      </c>
      <c r="B117" s="311"/>
      <c r="C117" s="311"/>
      <c r="D117" s="311"/>
      <c r="E117" s="311"/>
      <c r="F117" s="311"/>
      <c r="G117" s="345">
        <f>SUM(G116)</f>
        <v>0</v>
      </c>
      <c r="H117" s="345"/>
      <c r="I117" s="345"/>
      <c r="J117" s="345"/>
    </row>
    <row r="118" spans="1:10" x14ac:dyDescent="0.35">
      <c r="A118" s="12"/>
      <c r="B118" s="288"/>
      <c r="C118" s="288"/>
      <c r="D118" s="288"/>
      <c r="E118" s="288"/>
      <c r="F118" s="288"/>
      <c r="G118" s="288"/>
      <c r="H118" s="288"/>
      <c r="I118" s="288"/>
      <c r="J118" s="288"/>
    </row>
    <row r="119" spans="1:10" x14ac:dyDescent="0.35">
      <c r="A119" s="287" t="s">
        <v>105</v>
      </c>
      <c r="B119" s="287"/>
      <c r="C119" s="287"/>
      <c r="D119" s="287"/>
      <c r="E119" s="287"/>
      <c r="F119" s="287"/>
      <c r="G119" s="287"/>
      <c r="H119" s="287"/>
      <c r="I119" s="287"/>
      <c r="J119" s="287"/>
    </row>
    <row r="120" spans="1:10" x14ac:dyDescent="0.35">
      <c r="A120" s="12"/>
      <c r="B120" s="309"/>
      <c r="C120" s="309"/>
      <c r="D120" s="309"/>
      <c r="E120" s="309"/>
      <c r="F120" s="309"/>
      <c r="G120" s="358"/>
      <c r="H120" s="358"/>
      <c r="I120" s="358"/>
      <c r="J120" s="358"/>
    </row>
    <row r="121" spans="1:10" x14ac:dyDescent="0.35">
      <c r="A121" s="20">
        <v>4</v>
      </c>
      <c r="B121" s="311" t="s">
        <v>106</v>
      </c>
      <c r="C121" s="311"/>
      <c r="D121" s="311"/>
      <c r="E121" s="311"/>
      <c r="F121" s="311"/>
      <c r="G121" s="311" t="s">
        <v>34</v>
      </c>
      <c r="H121" s="311"/>
      <c r="I121" s="311"/>
      <c r="J121" s="311"/>
    </row>
    <row r="122" spans="1:10" x14ac:dyDescent="0.35">
      <c r="A122" s="23" t="s">
        <v>88</v>
      </c>
      <c r="B122" s="300" t="s">
        <v>107</v>
      </c>
      <c r="C122" s="300"/>
      <c r="D122" s="300"/>
      <c r="E122" s="300"/>
      <c r="F122" s="300"/>
      <c r="G122" s="321">
        <f>I111</f>
        <v>306.28283835768661</v>
      </c>
      <c r="H122" s="321"/>
      <c r="I122" s="321"/>
      <c r="J122" s="321"/>
    </row>
    <row r="123" spans="1:10" x14ac:dyDescent="0.35">
      <c r="A123" s="23" t="s">
        <v>102</v>
      </c>
      <c r="B123" s="403" t="s">
        <v>108</v>
      </c>
      <c r="C123" s="403"/>
      <c r="D123" s="403"/>
      <c r="E123" s="403"/>
      <c r="F123" s="403"/>
      <c r="G123" s="321">
        <f>G117</f>
        <v>0</v>
      </c>
      <c r="H123" s="321"/>
      <c r="I123" s="321"/>
      <c r="J123" s="321"/>
    </row>
    <row r="124" spans="1:10" x14ac:dyDescent="0.35">
      <c r="A124" s="311" t="s">
        <v>39</v>
      </c>
      <c r="B124" s="311"/>
      <c r="C124" s="311"/>
      <c r="D124" s="311"/>
      <c r="E124" s="311"/>
      <c r="F124" s="311"/>
      <c r="G124" s="323">
        <f>SUM(G122:J123)</f>
        <v>306.28283835768661</v>
      </c>
      <c r="H124" s="323"/>
      <c r="I124" s="323"/>
      <c r="J124" s="323"/>
    </row>
    <row r="125" spans="1:10" x14ac:dyDescent="0.35">
      <c r="A125" s="12"/>
      <c r="B125" s="309"/>
      <c r="C125" s="309"/>
      <c r="D125" s="309"/>
      <c r="E125" s="309"/>
      <c r="F125" s="309"/>
      <c r="G125" s="309"/>
      <c r="H125" s="309"/>
      <c r="I125" s="309"/>
      <c r="J125" s="309"/>
    </row>
    <row r="126" spans="1:10" x14ac:dyDescent="0.35">
      <c r="A126" s="12"/>
      <c r="B126" s="288"/>
      <c r="C126" s="288"/>
      <c r="D126" s="288"/>
      <c r="E126" s="288"/>
      <c r="F126" s="288"/>
      <c r="G126" s="288"/>
      <c r="H126" s="288"/>
      <c r="I126" s="288"/>
      <c r="J126" s="288"/>
    </row>
    <row r="127" spans="1:10" x14ac:dyDescent="0.35">
      <c r="A127" s="427" t="s">
        <v>233</v>
      </c>
      <c r="B127" s="427"/>
      <c r="C127" s="427"/>
      <c r="D127" s="427"/>
      <c r="E127" s="427"/>
      <c r="F127" s="427"/>
      <c r="G127" s="427"/>
      <c r="H127" s="427"/>
      <c r="I127" s="427"/>
      <c r="J127" s="427"/>
    </row>
    <row r="128" spans="1:10" x14ac:dyDescent="0.35">
      <c r="A128" s="18"/>
      <c r="B128" s="428"/>
      <c r="C128" s="428"/>
      <c r="D128" s="428"/>
      <c r="E128" s="428"/>
      <c r="F128" s="428"/>
      <c r="G128" s="428"/>
      <c r="H128" s="428"/>
      <c r="I128" s="428"/>
      <c r="J128" s="428"/>
    </row>
    <row r="129" spans="1:11" ht="14.5" customHeight="1" x14ac:dyDescent="0.35">
      <c r="A129" s="152">
        <v>5</v>
      </c>
      <c r="B129" s="347" t="s">
        <v>110</v>
      </c>
      <c r="C129" s="347"/>
      <c r="D129" s="347"/>
      <c r="E129" s="347"/>
      <c r="F129" s="347" t="s">
        <v>381</v>
      </c>
      <c r="G129" s="347"/>
      <c r="H129" s="153" t="s">
        <v>327</v>
      </c>
      <c r="I129" s="153"/>
      <c r="J129" s="153" t="s">
        <v>34</v>
      </c>
    </row>
    <row r="130" spans="1:11" x14ac:dyDescent="0.35">
      <c r="A130" s="154" t="s">
        <v>3</v>
      </c>
      <c r="B130" s="441" t="s">
        <v>111</v>
      </c>
      <c r="C130" s="441"/>
      <c r="D130" s="441"/>
      <c r="E130" s="441"/>
      <c r="F130" s="441"/>
      <c r="G130" s="441"/>
      <c r="H130" s="441"/>
      <c r="I130" s="281">
        <f>Uniformes!F24</f>
        <v>41.54076666666667</v>
      </c>
      <c r="J130" s="283"/>
    </row>
    <row r="131" spans="1:11" x14ac:dyDescent="0.35">
      <c r="A131" s="154" t="s">
        <v>5</v>
      </c>
      <c r="B131" s="442" t="s">
        <v>537</v>
      </c>
      <c r="C131" s="442"/>
      <c r="D131" s="442"/>
      <c r="E131" s="442"/>
      <c r="F131" s="442"/>
      <c r="G131" s="442"/>
      <c r="H131" s="442"/>
      <c r="I131" s="281">
        <f>((SUM(I132:J138))-(SUM(I132:J138)*10%))/(2*120)</f>
        <v>15.155207249999998</v>
      </c>
      <c r="J131" s="283"/>
    </row>
    <row r="132" spans="1:11" x14ac:dyDescent="0.35">
      <c r="A132" s="155" t="s">
        <v>323</v>
      </c>
      <c r="B132" s="439" t="s">
        <v>199</v>
      </c>
      <c r="C132" s="439"/>
      <c r="D132" s="439"/>
      <c r="E132" s="439"/>
      <c r="F132" s="440">
        <v>129.1343</v>
      </c>
      <c r="G132" s="440"/>
      <c r="H132" s="157">
        <v>2</v>
      </c>
      <c r="I132" s="352">
        <f>F132*H132</f>
        <v>258.26859999999999</v>
      </c>
      <c r="J132" s="352"/>
    </row>
    <row r="133" spans="1:11" x14ac:dyDescent="0.35">
      <c r="A133" s="155" t="s">
        <v>332</v>
      </c>
      <c r="B133" s="439" t="s">
        <v>200</v>
      </c>
      <c r="C133" s="439"/>
      <c r="D133" s="439"/>
      <c r="E133" s="439"/>
      <c r="F133" s="440">
        <v>266.495</v>
      </c>
      <c r="G133" s="440"/>
      <c r="H133" s="157">
        <v>2</v>
      </c>
      <c r="I133" s="352">
        <f t="shared" ref="I133:I138" si="0">F133*H133</f>
        <v>532.99</v>
      </c>
      <c r="J133" s="352"/>
    </row>
    <row r="134" spans="1:11" x14ac:dyDescent="0.35">
      <c r="A134" s="155" t="s">
        <v>333</v>
      </c>
      <c r="B134" s="439" t="s">
        <v>201</v>
      </c>
      <c r="C134" s="439"/>
      <c r="D134" s="439"/>
      <c r="E134" s="439"/>
      <c r="F134" s="440">
        <v>133.51499999999999</v>
      </c>
      <c r="G134" s="440"/>
      <c r="H134" s="157">
        <v>2</v>
      </c>
      <c r="I134" s="352">
        <f t="shared" si="0"/>
        <v>267.02999999999997</v>
      </c>
      <c r="J134" s="352"/>
    </row>
    <row r="135" spans="1:11" x14ac:dyDescent="0.35">
      <c r="A135" s="155" t="s">
        <v>334</v>
      </c>
      <c r="B135" s="439" t="s">
        <v>336</v>
      </c>
      <c r="C135" s="439"/>
      <c r="D135" s="439"/>
      <c r="E135" s="439"/>
      <c r="F135" s="440">
        <v>428.12</v>
      </c>
      <c r="G135" s="440"/>
      <c r="H135" s="157">
        <v>2</v>
      </c>
      <c r="I135" s="352">
        <f t="shared" si="0"/>
        <v>856.24</v>
      </c>
      <c r="J135" s="352"/>
      <c r="K135" s="29"/>
    </row>
    <row r="136" spans="1:11" x14ac:dyDescent="0.35">
      <c r="A136" s="155" t="s">
        <v>335</v>
      </c>
      <c r="B136" s="439" t="s">
        <v>337</v>
      </c>
      <c r="C136" s="439"/>
      <c r="D136" s="439"/>
      <c r="E136" s="439"/>
      <c r="F136" s="440">
        <v>314.25</v>
      </c>
      <c r="G136" s="440"/>
      <c r="H136" s="157">
        <v>2</v>
      </c>
      <c r="I136" s="352">
        <f t="shared" si="0"/>
        <v>628.5</v>
      </c>
      <c r="J136" s="352"/>
      <c r="K136" s="29"/>
    </row>
    <row r="137" spans="1:11" x14ac:dyDescent="0.35">
      <c r="A137" s="155" t="s">
        <v>338</v>
      </c>
      <c r="B137" s="439" t="s">
        <v>184</v>
      </c>
      <c r="C137" s="439"/>
      <c r="D137" s="439"/>
      <c r="E137" s="439"/>
      <c r="F137" s="440">
        <v>204.68</v>
      </c>
      <c r="G137" s="440"/>
      <c r="H137" s="157">
        <v>2</v>
      </c>
      <c r="I137" s="352">
        <f t="shared" si="0"/>
        <v>409.36</v>
      </c>
      <c r="J137" s="352"/>
      <c r="K137" s="29"/>
    </row>
    <row r="138" spans="1:11" x14ac:dyDescent="0.35">
      <c r="A138" s="155" t="s">
        <v>339</v>
      </c>
      <c r="B138" s="439" t="s">
        <v>182</v>
      </c>
      <c r="C138" s="439"/>
      <c r="D138" s="439"/>
      <c r="E138" s="439"/>
      <c r="F138" s="440">
        <v>544.5</v>
      </c>
      <c r="G138" s="440"/>
      <c r="H138" s="157">
        <v>2</v>
      </c>
      <c r="I138" s="352">
        <f t="shared" si="0"/>
        <v>1089</v>
      </c>
      <c r="J138" s="352"/>
      <c r="K138" s="29"/>
    </row>
    <row r="139" spans="1:11" x14ac:dyDescent="0.35">
      <c r="A139" s="353" t="s">
        <v>64</v>
      </c>
      <c r="B139" s="450"/>
      <c r="C139" s="450"/>
      <c r="D139" s="450"/>
      <c r="E139" s="450"/>
      <c r="F139" s="450"/>
      <c r="G139" s="450"/>
      <c r="H139" s="354"/>
      <c r="I139" s="448">
        <f>SUM(I130:J131)</f>
        <v>56.695973916666667</v>
      </c>
      <c r="J139" s="449"/>
      <c r="K139" s="29"/>
    </row>
    <row r="140" spans="1:11" x14ac:dyDescent="0.35">
      <c r="A140" s="19"/>
      <c r="B140" s="426"/>
      <c r="C140" s="426"/>
      <c r="D140" s="426"/>
      <c r="E140" s="426"/>
      <c r="F140" s="426"/>
      <c r="G140" s="426"/>
      <c r="H140" s="426"/>
      <c r="I140" s="426"/>
      <c r="J140" s="426"/>
    </row>
    <row r="141" spans="1:11" x14ac:dyDescent="0.35">
      <c r="A141" s="473" t="s">
        <v>219</v>
      </c>
      <c r="B141" s="473"/>
      <c r="C141" s="473"/>
      <c r="D141" s="473"/>
      <c r="E141" s="473"/>
      <c r="F141" s="473"/>
      <c r="G141" s="473"/>
      <c r="H141" s="473"/>
      <c r="I141" s="473"/>
      <c r="J141" s="473"/>
    </row>
    <row r="142" spans="1:11" x14ac:dyDescent="0.35">
      <c r="A142" s="453" t="s">
        <v>234</v>
      </c>
      <c r="B142" s="453"/>
      <c r="C142" s="453"/>
      <c r="D142" s="453"/>
      <c r="E142" s="453"/>
      <c r="F142" s="453"/>
      <c r="G142" s="451">
        <f>G34+G80+I93+G124+I139</f>
        <v>3917.4926306053758</v>
      </c>
      <c r="H142" s="452"/>
      <c r="I142" s="452"/>
      <c r="J142" s="452"/>
    </row>
    <row r="144" spans="1:11" x14ac:dyDescent="0.35">
      <c r="A144" s="464" t="s">
        <v>220</v>
      </c>
      <c r="B144" s="464"/>
      <c r="C144" s="464"/>
      <c r="D144" s="464"/>
      <c r="E144" s="464"/>
      <c r="F144" s="464"/>
      <c r="G144" s="464"/>
      <c r="H144" s="464"/>
      <c r="I144" s="464"/>
      <c r="J144" s="464"/>
    </row>
    <row r="145" spans="1:10" x14ac:dyDescent="0.35">
      <c r="A145" s="465" t="s">
        <v>133</v>
      </c>
      <c r="B145" s="465"/>
      <c r="C145" s="2" t="s">
        <v>208</v>
      </c>
      <c r="D145" s="2" t="s">
        <v>221</v>
      </c>
      <c r="E145" s="2" t="s">
        <v>222</v>
      </c>
      <c r="F145" s="2" t="s">
        <v>223</v>
      </c>
      <c r="G145" s="465" t="s">
        <v>134</v>
      </c>
      <c r="H145" s="465"/>
      <c r="I145" s="465" t="s">
        <v>224</v>
      </c>
      <c r="J145" s="465"/>
    </row>
    <row r="146" spans="1:10" x14ac:dyDescent="0.35">
      <c r="A146" s="466">
        <v>2</v>
      </c>
      <c r="B146" s="466"/>
      <c r="C146" s="31">
        <f>1/(F17/A146)</f>
        <v>8.2644628099173556E-3</v>
      </c>
      <c r="D146" s="32">
        <v>8</v>
      </c>
      <c r="E146" s="33">
        <f>1/(1132.6/6)</f>
        <v>5.2975454705986233E-3</v>
      </c>
      <c r="F146" s="31">
        <f>C146*D146*E146</f>
        <v>3.5025094020486766E-4</v>
      </c>
      <c r="G146" s="467">
        <f>G142</f>
        <v>3917.4926306053758</v>
      </c>
      <c r="H146" s="466"/>
      <c r="I146" s="467">
        <f>G146*F146</f>
        <v>1.3721054771151733</v>
      </c>
      <c r="J146" s="467"/>
    </row>
    <row r="147" spans="1:10" x14ac:dyDescent="0.35">
      <c r="A147" s="19"/>
      <c r="B147" s="19"/>
      <c r="C147" s="19"/>
      <c r="D147" s="19"/>
      <c r="E147" s="19"/>
      <c r="F147" s="19"/>
      <c r="G147" s="19"/>
      <c r="H147" s="19"/>
      <c r="I147" s="19"/>
      <c r="J147" s="19"/>
    </row>
    <row r="148" spans="1:10" x14ac:dyDescent="0.35">
      <c r="A148" s="464" t="s">
        <v>225</v>
      </c>
      <c r="B148" s="464"/>
      <c r="C148" s="464"/>
      <c r="D148" s="464"/>
      <c r="E148" s="464"/>
      <c r="F148" s="464"/>
      <c r="G148" s="464"/>
      <c r="H148" s="464"/>
      <c r="I148" s="464"/>
      <c r="J148" s="464"/>
    </row>
    <row r="149" spans="1:10" x14ac:dyDescent="0.35">
      <c r="A149" s="8"/>
      <c r="B149" s="8"/>
      <c r="C149" s="8"/>
      <c r="D149" s="8"/>
      <c r="E149" s="8"/>
      <c r="F149" s="8"/>
      <c r="G149" s="8"/>
      <c r="H149" s="8"/>
      <c r="I149" s="8"/>
      <c r="J149" s="8"/>
    </row>
    <row r="150" spans="1:10" ht="14.5" customHeight="1" x14ac:dyDescent="0.35">
      <c r="A150" s="5">
        <v>5</v>
      </c>
      <c r="B150" s="437" t="s">
        <v>110</v>
      </c>
      <c r="C150" s="437"/>
      <c r="D150" s="437"/>
      <c r="E150" s="437"/>
      <c r="F150" s="437" t="s">
        <v>326</v>
      </c>
      <c r="G150" s="437"/>
      <c r="H150" s="7" t="s">
        <v>327</v>
      </c>
      <c r="I150" s="437" t="s">
        <v>328</v>
      </c>
      <c r="J150" s="437"/>
    </row>
    <row r="151" spans="1:10" x14ac:dyDescent="0.35">
      <c r="A151" s="5" t="s">
        <v>3</v>
      </c>
      <c r="B151" s="443" t="s">
        <v>226</v>
      </c>
      <c r="C151" s="444"/>
      <c r="D151" s="444"/>
      <c r="E151" s="444"/>
      <c r="F151" s="444"/>
      <c r="G151" s="444"/>
      <c r="H151" s="445"/>
      <c r="I151" s="438">
        <f>SUM(I152:J156)</f>
        <v>110.28999999999999</v>
      </c>
      <c r="J151" s="438"/>
    </row>
    <row r="152" spans="1:10" x14ac:dyDescent="0.35">
      <c r="A152" s="9" t="s">
        <v>324</v>
      </c>
      <c r="B152" s="446" t="s">
        <v>244</v>
      </c>
      <c r="C152" s="446"/>
      <c r="D152" s="446"/>
      <c r="E152" s="446"/>
      <c r="F152" s="440">
        <v>11</v>
      </c>
      <c r="G152" s="440"/>
      <c r="H152" s="51">
        <v>2</v>
      </c>
      <c r="I152" s="447">
        <f t="shared" ref="I152:I156" si="1">F152*H152</f>
        <v>22</v>
      </c>
      <c r="J152" s="447"/>
    </row>
    <row r="153" spans="1:10" ht="42.5" customHeight="1" x14ac:dyDescent="0.35">
      <c r="A153" s="9" t="s">
        <v>325</v>
      </c>
      <c r="B153" s="446" t="s">
        <v>254</v>
      </c>
      <c r="C153" s="446"/>
      <c r="D153" s="446"/>
      <c r="E153" s="446"/>
      <c r="F153" s="440">
        <v>14.99</v>
      </c>
      <c r="G153" s="440"/>
      <c r="H153" s="51">
        <v>3</v>
      </c>
      <c r="I153" s="447">
        <f t="shared" si="1"/>
        <v>44.97</v>
      </c>
      <c r="J153" s="447"/>
    </row>
    <row r="154" spans="1:10" ht="17.5" customHeight="1" x14ac:dyDescent="0.35">
      <c r="A154" s="9" t="s">
        <v>329</v>
      </c>
      <c r="B154" s="446" t="s">
        <v>279</v>
      </c>
      <c r="C154" s="446"/>
      <c r="D154" s="446"/>
      <c r="E154" s="446"/>
      <c r="F154" s="440">
        <v>2.4500000000000002</v>
      </c>
      <c r="G154" s="440"/>
      <c r="H154" s="51">
        <v>2</v>
      </c>
      <c r="I154" s="447">
        <f t="shared" si="1"/>
        <v>4.9000000000000004</v>
      </c>
      <c r="J154" s="447"/>
    </row>
    <row r="155" spans="1:10" ht="31" customHeight="1" x14ac:dyDescent="0.35">
      <c r="A155" s="9" t="s">
        <v>330</v>
      </c>
      <c r="B155" s="446" t="s">
        <v>288</v>
      </c>
      <c r="C155" s="446"/>
      <c r="D155" s="446"/>
      <c r="E155" s="446"/>
      <c r="F155" s="440">
        <v>4.08</v>
      </c>
      <c r="G155" s="440"/>
      <c r="H155" s="51">
        <v>4</v>
      </c>
      <c r="I155" s="447">
        <f t="shared" si="1"/>
        <v>16.32</v>
      </c>
      <c r="J155" s="447"/>
    </row>
    <row r="156" spans="1:10" ht="15.5" customHeight="1" x14ac:dyDescent="0.35">
      <c r="A156" s="9" t="s">
        <v>331</v>
      </c>
      <c r="B156" s="446" t="s">
        <v>318</v>
      </c>
      <c r="C156" s="446"/>
      <c r="D156" s="446"/>
      <c r="E156" s="446"/>
      <c r="F156" s="440">
        <v>11.05</v>
      </c>
      <c r="G156" s="440"/>
      <c r="H156" s="51">
        <v>2</v>
      </c>
      <c r="I156" s="447">
        <f t="shared" si="1"/>
        <v>22.1</v>
      </c>
      <c r="J156" s="447"/>
    </row>
    <row r="157" spans="1:10" ht="14.5" customHeight="1" x14ac:dyDescent="0.35">
      <c r="A157" s="5" t="s">
        <v>5</v>
      </c>
      <c r="B157" s="443" t="s">
        <v>227</v>
      </c>
      <c r="C157" s="444"/>
      <c r="D157" s="444"/>
      <c r="E157" s="444"/>
      <c r="F157" s="444"/>
      <c r="G157" s="444"/>
      <c r="H157" s="445"/>
      <c r="I157" s="438">
        <f>SUM(I158:J159)</f>
        <v>1674.88</v>
      </c>
      <c r="J157" s="438"/>
    </row>
    <row r="158" spans="1:10" ht="31" customHeight="1" x14ac:dyDescent="0.35">
      <c r="A158" s="9" t="s">
        <v>323</v>
      </c>
      <c r="B158" s="446" t="s">
        <v>342</v>
      </c>
      <c r="C158" s="446"/>
      <c r="D158" s="446"/>
      <c r="E158" s="446"/>
      <c r="F158" s="440">
        <v>186.21</v>
      </c>
      <c r="G158" s="440"/>
      <c r="H158" s="51">
        <v>8</v>
      </c>
      <c r="I158" s="447">
        <f t="shared" ref="I158:I159" si="2">F158*H158</f>
        <v>1489.68</v>
      </c>
      <c r="J158" s="447"/>
    </row>
    <row r="159" spans="1:10" ht="14.5" customHeight="1" x14ac:dyDescent="0.35">
      <c r="A159" s="9" t="s">
        <v>332</v>
      </c>
      <c r="B159" s="446" t="s">
        <v>343</v>
      </c>
      <c r="C159" s="446"/>
      <c r="D159" s="446"/>
      <c r="E159" s="446"/>
      <c r="F159" s="440">
        <v>23.15</v>
      </c>
      <c r="G159" s="440"/>
      <c r="H159" s="51">
        <v>8</v>
      </c>
      <c r="I159" s="447">
        <f t="shared" si="2"/>
        <v>185.2</v>
      </c>
      <c r="J159" s="447"/>
    </row>
    <row r="160" spans="1:10" x14ac:dyDescent="0.35">
      <c r="A160" s="437" t="s">
        <v>341</v>
      </c>
      <c r="B160" s="437"/>
      <c r="C160" s="437"/>
      <c r="D160" s="437"/>
      <c r="E160" s="437"/>
      <c r="F160" s="437"/>
      <c r="G160" s="437"/>
      <c r="H160" s="437"/>
      <c r="I160" s="438">
        <f>I151+I157</f>
        <v>1785.17</v>
      </c>
      <c r="J160" s="438"/>
    </row>
    <row r="161" spans="1:17" x14ac:dyDescent="0.35">
      <c r="A161" s="437" t="s">
        <v>340</v>
      </c>
      <c r="B161" s="437"/>
      <c r="C161" s="437"/>
      <c r="D161" s="437"/>
      <c r="E161" s="437"/>
      <c r="F161" s="437"/>
      <c r="G161" s="437"/>
      <c r="H161" s="437"/>
      <c r="I161" s="438">
        <f>I160/F17</f>
        <v>7.3767355371900827</v>
      </c>
      <c r="J161" s="438"/>
    </row>
    <row r="162" spans="1:17" x14ac:dyDescent="0.35">
      <c r="A162" s="8"/>
      <c r="B162" s="8"/>
      <c r="C162" s="8"/>
      <c r="D162" s="8"/>
      <c r="E162" s="8"/>
      <c r="F162" s="8"/>
      <c r="G162" s="8"/>
      <c r="H162" s="8"/>
      <c r="I162" s="8"/>
      <c r="J162" s="8"/>
    </row>
    <row r="163" spans="1:17" x14ac:dyDescent="0.35">
      <c r="A163" s="470" t="s">
        <v>228</v>
      </c>
      <c r="B163" s="470"/>
      <c r="C163" s="470"/>
      <c r="D163" s="470"/>
      <c r="E163" s="470"/>
      <c r="F163" s="470"/>
      <c r="G163" s="470"/>
      <c r="H163" s="470"/>
      <c r="I163" s="470"/>
      <c r="J163" s="470"/>
    </row>
    <row r="164" spans="1:17" x14ac:dyDescent="0.35">
      <c r="A164" s="1"/>
      <c r="B164" s="471"/>
      <c r="C164" s="471"/>
      <c r="D164" s="471"/>
      <c r="E164" s="471"/>
      <c r="F164" s="471"/>
      <c r="G164" s="472"/>
      <c r="H164" s="472"/>
      <c r="I164" s="472"/>
      <c r="J164" s="472"/>
    </row>
    <row r="165" spans="1:17" x14ac:dyDescent="0.35">
      <c r="A165" s="3">
        <v>4</v>
      </c>
      <c r="B165" s="468" t="s">
        <v>106</v>
      </c>
      <c r="C165" s="468"/>
      <c r="D165" s="468"/>
      <c r="E165" s="468"/>
      <c r="F165" s="468"/>
      <c r="G165" s="468" t="s">
        <v>34</v>
      </c>
      <c r="H165" s="468"/>
      <c r="I165" s="468"/>
      <c r="J165" s="468"/>
    </row>
    <row r="166" spans="1:17" x14ac:dyDescent="0.35">
      <c r="A166" s="4" t="s">
        <v>88</v>
      </c>
      <c r="B166" s="474" t="s">
        <v>132</v>
      </c>
      <c r="C166" s="474"/>
      <c r="D166" s="474"/>
      <c r="E166" s="474"/>
      <c r="F166" s="474"/>
      <c r="G166" s="475">
        <f>I146</f>
        <v>1.3721054771151733</v>
      </c>
      <c r="H166" s="475"/>
      <c r="I166" s="475"/>
      <c r="J166" s="475"/>
    </row>
    <row r="167" spans="1:17" x14ac:dyDescent="0.35">
      <c r="A167" s="4" t="s">
        <v>102</v>
      </c>
      <c r="B167" s="476" t="s">
        <v>229</v>
      </c>
      <c r="C167" s="476"/>
      <c r="D167" s="476"/>
      <c r="E167" s="476"/>
      <c r="F167" s="476"/>
      <c r="G167" s="475">
        <f>I161</f>
        <v>7.3767355371900827</v>
      </c>
      <c r="H167" s="475"/>
      <c r="I167" s="475"/>
      <c r="J167" s="475"/>
    </row>
    <row r="168" spans="1:17" x14ac:dyDescent="0.35">
      <c r="A168" s="468" t="s">
        <v>39</v>
      </c>
      <c r="B168" s="468"/>
      <c r="C168" s="468"/>
      <c r="D168" s="468"/>
      <c r="E168" s="468"/>
      <c r="F168" s="468"/>
      <c r="G168" s="469">
        <f>SUM(G166:J167)</f>
        <v>8.7488410143052562</v>
      </c>
      <c r="H168" s="469"/>
      <c r="I168" s="469"/>
      <c r="J168" s="469"/>
    </row>
    <row r="170" spans="1:17" x14ac:dyDescent="0.35">
      <c r="A170" s="8"/>
      <c r="B170" s="8"/>
      <c r="C170" s="8"/>
      <c r="D170" s="8"/>
      <c r="E170" s="8"/>
      <c r="F170" s="8"/>
      <c r="G170" s="8"/>
      <c r="H170" s="8"/>
      <c r="I170" s="8"/>
      <c r="J170" s="8"/>
    </row>
    <row r="171" spans="1:17" x14ac:dyDescent="0.35">
      <c r="A171" s="473" t="s">
        <v>230</v>
      </c>
      <c r="B171" s="473"/>
      <c r="C171" s="473"/>
      <c r="D171" s="473"/>
      <c r="E171" s="473"/>
      <c r="F171" s="473"/>
      <c r="G171" s="473"/>
      <c r="H171" s="473"/>
      <c r="I171" s="473"/>
      <c r="J171" s="473"/>
    </row>
    <row r="172" spans="1:17" x14ac:dyDescent="0.35">
      <c r="A172" s="453" t="s">
        <v>231</v>
      </c>
      <c r="B172" s="453"/>
      <c r="C172" s="453"/>
      <c r="D172" s="453"/>
      <c r="E172" s="453"/>
      <c r="F172" s="453"/>
      <c r="G172" s="451">
        <f>G168</f>
        <v>8.7488410143052562</v>
      </c>
      <c r="H172" s="452"/>
      <c r="I172" s="452"/>
      <c r="J172" s="452"/>
    </row>
    <row r="173" spans="1:17" x14ac:dyDescent="0.35">
      <c r="A173" s="453" t="s">
        <v>114</v>
      </c>
      <c r="B173" s="453"/>
      <c r="C173" s="453"/>
      <c r="D173" s="453"/>
      <c r="E173" s="453"/>
      <c r="F173" s="453"/>
      <c r="G173" s="451">
        <f>G172+I176</f>
        <v>8.9876843739957906</v>
      </c>
      <c r="H173" s="452"/>
      <c r="I173" s="452"/>
      <c r="J173" s="452"/>
    </row>
    <row r="174" spans="1:17" x14ac:dyDescent="0.35">
      <c r="A174" s="453" t="s">
        <v>115</v>
      </c>
      <c r="B174" s="453"/>
      <c r="C174" s="453"/>
      <c r="D174" s="453"/>
      <c r="E174" s="453"/>
      <c r="F174" s="453"/>
      <c r="G174" s="454">
        <f>(G173+I177)/(1-G178)</f>
        <v>10.765306846100382</v>
      </c>
      <c r="H174" s="454"/>
      <c r="I174" s="454"/>
      <c r="J174" s="454"/>
    </row>
    <row r="175" spans="1:17" x14ac:dyDescent="0.35">
      <c r="A175" s="5">
        <v>6</v>
      </c>
      <c r="B175" s="463" t="s">
        <v>116</v>
      </c>
      <c r="C175" s="463"/>
      <c r="D175" s="463"/>
      <c r="E175" s="463"/>
      <c r="F175" s="463"/>
      <c r="G175" s="437" t="s">
        <v>45</v>
      </c>
      <c r="H175" s="437"/>
      <c r="I175" s="437" t="s">
        <v>34</v>
      </c>
      <c r="J175" s="437"/>
    </row>
    <row r="176" spans="1:17" x14ac:dyDescent="0.35">
      <c r="A176" s="6" t="s">
        <v>3</v>
      </c>
      <c r="B176" s="458" t="s">
        <v>117</v>
      </c>
      <c r="C176" s="458"/>
      <c r="D176" s="458"/>
      <c r="E176" s="458"/>
      <c r="F176" s="458"/>
      <c r="G176" s="460">
        <v>2.7300000000000001E-2</v>
      </c>
      <c r="H176" s="460"/>
      <c r="I176" s="457">
        <f>G172*G176</f>
        <v>0.2388433596905335</v>
      </c>
      <c r="J176" s="458"/>
      <c r="N176" s="181"/>
      <c r="O176" s="181"/>
      <c r="P176" s="181"/>
      <c r="Q176" s="181"/>
    </row>
    <row r="177" spans="1:10" x14ac:dyDescent="0.35">
      <c r="A177" s="6" t="s">
        <v>5</v>
      </c>
      <c r="B177" s="458" t="s">
        <v>118</v>
      </c>
      <c r="C177" s="458"/>
      <c r="D177" s="458"/>
      <c r="E177" s="458"/>
      <c r="F177" s="458"/>
      <c r="G177" s="460">
        <v>2.7099999999999999E-2</v>
      </c>
      <c r="H177" s="460"/>
      <c r="I177" s="457">
        <f>G173*G177</f>
        <v>0.24356624653528591</v>
      </c>
      <c r="J177" s="458"/>
    </row>
    <row r="178" spans="1:10" x14ac:dyDescent="0.35">
      <c r="A178" s="6" t="s">
        <v>8</v>
      </c>
      <c r="B178" s="458" t="s">
        <v>119</v>
      </c>
      <c r="C178" s="458"/>
      <c r="D178" s="458"/>
      <c r="E178" s="458"/>
      <c r="F178" s="458"/>
      <c r="G178" s="417">
        <f>SUM(G179:H181)</f>
        <v>0.14250000000000002</v>
      </c>
      <c r="H178" s="417"/>
      <c r="I178" s="461">
        <f>G174*G178</f>
        <v>1.5340562255693044</v>
      </c>
      <c r="J178" s="462"/>
    </row>
    <row r="179" spans="1:10" x14ac:dyDescent="0.35">
      <c r="A179" s="9" t="s">
        <v>120</v>
      </c>
      <c r="B179" s="455" t="s">
        <v>121</v>
      </c>
      <c r="C179" s="455"/>
      <c r="D179" s="455"/>
      <c r="E179" s="455"/>
      <c r="F179" s="455"/>
      <c r="G179" s="422">
        <f>'Item 1.1 (Encarregado)'!G142:H142</f>
        <v>7.5999999999999998E-2</v>
      </c>
      <c r="H179" s="422"/>
      <c r="I179" s="459">
        <f>G174*G179</f>
        <v>0.81816332030362893</v>
      </c>
      <c r="J179" s="455"/>
    </row>
    <row r="180" spans="1:10" ht="14.5" customHeight="1" x14ac:dyDescent="0.35">
      <c r="A180" s="9" t="s">
        <v>122</v>
      </c>
      <c r="B180" s="455" t="s">
        <v>123</v>
      </c>
      <c r="C180" s="455"/>
      <c r="D180" s="455"/>
      <c r="E180" s="455"/>
      <c r="F180" s="455"/>
      <c r="G180" s="422">
        <f>'Item 1.1 (Encarregado)'!G143:H143</f>
        <v>1.6500000000000001E-2</v>
      </c>
      <c r="H180" s="422"/>
      <c r="I180" s="459">
        <f>G174*G180</f>
        <v>0.17762756296065629</v>
      </c>
      <c r="J180" s="455"/>
    </row>
    <row r="181" spans="1:10" x14ac:dyDescent="0.35">
      <c r="A181" s="9" t="s">
        <v>124</v>
      </c>
      <c r="B181" s="455" t="s">
        <v>125</v>
      </c>
      <c r="C181" s="455"/>
      <c r="D181" s="455"/>
      <c r="E181" s="455"/>
      <c r="F181" s="455"/>
      <c r="G181" s="422">
        <v>0.05</v>
      </c>
      <c r="H181" s="422"/>
      <c r="I181" s="459">
        <f>G174*G181</f>
        <v>0.5382653423050191</v>
      </c>
      <c r="J181" s="455"/>
    </row>
    <row r="182" spans="1:10" x14ac:dyDescent="0.35">
      <c r="A182" s="437" t="s">
        <v>64</v>
      </c>
      <c r="B182" s="437"/>
      <c r="C182" s="437"/>
      <c r="D182" s="437"/>
      <c r="E182" s="437"/>
      <c r="F182" s="437"/>
      <c r="G182" s="456"/>
      <c r="H182" s="456"/>
      <c r="I182" s="457">
        <f>SUM(I176:J178)</f>
        <v>2.0164658317951236</v>
      </c>
      <c r="J182" s="458"/>
    </row>
    <row r="185" spans="1:10" x14ac:dyDescent="0.35">
      <c r="H185" s="29"/>
    </row>
  </sheetData>
  <sheetProtection algorithmName="SHA-512" hashValue="kQxzbAkdAK1vuV3jM2XCvDZiecEKlbMoQLvZ2zlJG5mIKyRPK0VPCUpvzixbnN8YD/PCnYhvmfjoFAHtRf7kTw==" saltValue="KfVZXIrYE6SjLWHzj+2PQg==" spinCount="100000" sheet="1" objects="1" scenarios="1"/>
  <mergeCells count="392">
    <mergeCell ref="A7:J7"/>
    <mergeCell ref="A8:J8"/>
    <mergeCell ref="A1:J1"/>
    <mergeCell ref="A2:J2"/>
    <mergeCell ref="B3:F3"/>
    <mergeCell ref="G3:H3"/>
    <mergeCell ref="I3:J3"/>
    <mergeCell ref="A4:J4"/>
    <mergeCell ref="A15:J15"/>
    <mergeCell ref="A17:C17"/>
    <mergeCell ref="D17:E17"/>
    <mergeCell ref="F17:J17"/>
    <mergeCell ref="F16:J16"/>
    <mergeCell ref="B10:F10"/>
    <mergeCell ref="G10:J10"/>
    <mergeCell ref="B11:F11"/>
    <mergeCell ref="G11:J11"/>
    <mergeCell ref="B12:F12"/>
    <mergeCell ref="G12:J12"/>
    <mergeCell ref="B30:F30"/>
    <mergeCell ref="G30:J30"/>
    <mergeCell ref="B31:F31"/>
    <mergeCell ref="G31:J31"/>
    <mergeCell ref="B32:F32"/>
    <mergeCell ref="G32:J32"/>
    <mergeCell ref="B25:F25"/>
    <mergeCell ref="G25:J25"/>
    <mergeCell ref="A27:J27"/>
    <mergeCell ref="B41:F41"/>
    <mergeCell ref="G41:H41"/>
    <mergeCell ref="I41:J41"/>
    <mergeCell ref="A36:J36"/>
    <mergeCell ref="B37:F37"/>
    <mergeCell ref="G37:H37"/>
    <mergeCell ref="B33:F33"/>
    <mergeCell ref="G33:J33"/>
    <mergeCell ref="G34:J34"/>
    <mergeCell ref="A34:F34"/>
    <mergeCell ref="B35:F35"/>
    <mergeCell ref="G35:H35"/>
    <mergeCell ref="I35:J35"/>
    <mergeCell ref="G44:H44"/>
    <mergeCell ref="I44:J44"/>
    <mergeCell ref="A44:F44"/>
    <mergeCell ref="A45:J45"/>
    <mergeCell ref="A48:J48"/>
    <mergeCell ref="B49:F49"/>
    <mergeCell ref="G49:H49"/>
    <mergeCell ref="I49:J49"/>
    <mergeCell ref="B42:F42"/>
    <mergeCell ref="G42:H42"/>
    <mergeCell ref="I42:J42"/>
    <mergeCell ref="B43:F43"/>
    <mergeCell ref="G43:H43"/>
    <mergeCell ref="I43:J43"/>
    <mergeCell ref="G54:H54"/>
    <mergeCell ref="I54:J54"/>
    <mergeCell ref="B51:F51"/>
    <mergeCell ref="G51:H51"/>
    <mergeCell ref="I51:J51"/>
    <mergeCell ref="B52:F52"/>
    <mergeCell ref="G52:H52"/>
    <mergeCell ref="I52:J52"/>
    <mergeCell ref="A46:J46"/>
    <mergeCell ref="B50:F50"/>
    <mergeCell ref="G50:H50"/>
    <mergeCell ref="I50:J50"/>
    <mergeCell ref="A47:F47"/>
    <mergeCell ref="G47:J47"/>
    <mergeCell ref="B63:F63"/>
    <mergeCell ref="B64:F64"/>
    <mergeCell ref="B65:F65"/>
    <mergeCell ref="A60:J60"/>
    <mergeCell ref="B62:F62"/>
    <mergeCell ref="G62:H62"/>
    <mergeCell ref="I62:J62"/>
    <mergeCell ref="B61:F61"/>
    <mergeCell ref="G61:H61"/>
    <mergeCell ref="I61:J61"/>
    <mergeCell ref="G63:H63"/>
    <mergeCell ref="I63:J63"/>
    <mergeCell ref="G64:H64"/>
    <mergeCell ref="I64:J64"/>
    <mergeCell ref="G65:H65"/>
    <mergeCell ref="I65:J65"/>
    <mergeCell ref="B66:F66"/>
    <mergeCell ref="B67:F67"/>
    <mergeCell ref="B68:F68"/>
    <mergeCell ref="G66:H66"/>
    <mergeCell ref="I66:J66"/>
    <mergeCell ref="G67:H67"/>
    <mergeCell ref="I67:J67"/>
    <mergeCell ref="G68:H68"/>
    <mergeCell ref="I68:J68"/>
    <mergeCell ref="B76:F76"/>
    <mergeCell ref="G76:J76"/>
    <mergeCell ref="A74:J74"/>
    <mergeCell ref="A75:J75"/>
    <mergeCell ref="A72:H72"/>
    <mergeCell ref="I72:J72"/>
    <mergeCell ref="A73:J73"/>
    <mergeCell ref="B69:F69"/>
    <mergeCell ref="B70:F70"/>
    <mergeCell ref="B71:F71"/>
    <mergeCell ref="G71:H71"/>
    <mergeCell ref="I71:J71"/>
    <mergeCell ref="G69:H69"/>
    <mergeCell ref="I69:J69"/>
    <mergeCell ref="G70:H70"/>
    <mergeCell ref="I70:J70"/>
    <mergeCell ref="A84:F84"/>
    <mergeCell ref="G84:J84"/>
    <mergeCell ref="G80:J80"/>
    <mergeCell ref="A82:J82"/>
    <mergeCell ref="A83:J83"/>
    <mergeCell ref="A80:F80"/>
    <mergeCell ref="A81:J81"/>
    <mergeCell ref="B77:F77"/>
    <mergeCell ref="G77:J77"/>
    <mergeCell ref="B78:F78"/>
    <mergeCell ref="G78:J78"/>
    <mergeCell ref="B79:F79"/>
    <mergeCell ref="G79:J79"/>
    <mergeCell ref="B88:F88"/>
    <mergeCell ref="G88:H88"/>
    <mergeCell ref="I88:J88"/>
    <mergeCell ref="B89:F89"/>
    <mergeCell ref="I89:J89"/>
    <mergeCell ref="A85:F85"/>
    <mergeCell ref="G85:J85"/>
    <mergeCell ref="B87:F87"/>
    <mergeCell ref="I87:J87"/>
    <mergeCell ref="B86:F86"/>
    <mergeCell ref="G86:H86"/>
    <mergeCell ref="I86:J86"/>
    <mergeCell ref="B92:F92"/>
    <mergeCell ref="G92:H92"/>
    <mergeCell ref="I92:J92"/>
    <mergeCell ref="G93:H93"/>
    <mergeCell ref="I93:J93"/>
    <mergeCell ref="I100:J100"/>
    <mergeCell ref="B90:F90"/>
    <mergeCell ref="G90:H90"/>
    <mergeCell ref="I90:J90"/>
    <mergeCell ref="B91:F91"/>
    <mergeCell ref="G91:H91"/>
    <mergeCell ref="I91:J91"/>
    <mergeCell ref="A93:F93"/>
    <mergeCell ref="A94:J94"/>
    <mergeCell ref="B101:F101"/>
    <mergeCell ref="G101:H101"/>
    <mergeCell ref="I101:J101"/>
    <mergeCell ref="A98:F98"/>
    <mergeCell ref="G98:J98"/>
    <mergeCell ref="B100:F100"/>
    <mergeCell ref="G100:H100"/>
    <mergeCell ref="A95:J95"/>
    <mergeCell ref="A97:J97"/>
    <mergeCell ref="B96:F96"/>
    <mergeCell ref="G96:H96"/>
    <mergeCell ref="I96:J96"/>
    <mergeCell ref="B104:F104"/>
    <mergeCell ref="G104:H104"/>
    <mergeCell ref="I104:J104"/>
    <mergeCell ref="B105:F105"/>
    <mergeCell ref="G105:H105"/>
    <mergeCell ref="I105:J105"/>
    <mergeCell ref="A107:F107"/>
    <mergeCell ref="B102:F102"/>
    <mergeCell ref="G102:H102"/>
    <mergeCell ref="I102:J102"/>
    <mergeCell ref="B103:F103"/>
    <mergeCell ref="G103:H103"/>
    <mergeCell ref="I103:J103"/>
    <mergeCell ref="B106:F106"/>
    <mergeCell ref="G106:H106"/>
    <mergeCell ref="I106:J106"/>
    <mergeCell ref="A114:F114"/>
    <mergeCell ref="G114:J114"/>
    <mergeCell ref="B115:F115"/>
    <mergeCell ref="G112:H112"/>
    <mergeCell ref="I112:J112"/>
    <mergeCell ref="B112:F112"/>
    <mergeCell ref="A113:J113"/>
    <mergeCell ref="A117:F117"/>
    <mergeCell ref="I107:J107"/>
    <mergeCell ref="B108:F108"/>
    <mergeCell ref="A109:F109"/>
    <mergeCell ref="B110:F110"/>
    <mergeCell ref="A111:F111"/>
    <mergeCell ref="G110:H110"/>
    <mergeCell ref="I110:J110"/>
    <mergeCell ref="G111:H111"/>
    <mergeCell ref="I111:J111"/>
    <mergeCell ref="G108:H108"/>
    <mergeCell ref="I108:J108"/>
    <mergeCell ref="G109:H109"/>
    <mergeCell ref="I109:J109"/>
    <mergeCell ref="G107:H107"/>
    <mergeCell ref="B128:F128"/>
    <mergeCell ref="G128:H128"/>
    <mergeCell ref="I128:J128"/>
    <mergeCell ref="B129:E129"/>
    <mergeCell ref="F129:G129"/>
    <mergeCell ref="G115:J115"/>
    <mergeCell ref="B116:F116"/>
    <mergeCell ref="G116:J116"/>
    <mergeCell ref="G117:J117"/>
    <mergeCell ref="G124:J124"/>
    <mergeCell ref="B126:F126"/>
    <mergeCell ref="G126:H126"/>
    <mergeCell ref="I126:J126"/>
    <mergeCell ref="A124:F124"/>
    <mergeCell ref="B125:F125"/>
    <mergeCell ref="G125:H125"/>
    <mergeCell ref="I125:J125"/>
    <mergeCell ref="A127:J127"/>
    <mergeCell ref="B118:F118"/>
    <mergeCell ref="G118:H118"/>
    <mergeCell ref="I118:J118"/>
    <mergeCell ref="A119:J119"/>
    <mergeCell ref="B120:F120"/>
    <mergeCell ref="G120:J120"/>
    <mergeCell ref="A168:F168"/>
    <mergeCell ref="G168:J168"/>
    <mergeCell ref="A163:J163"/>
    <mergeCell ref="B164:F164"/>
    <mergeCell ref="G164:J164"/>
    <mergeCell ref="B165:F165"/>
    <mergeCell ref="G165:J165"/>
    <mergeCell ref="I177:J177"/>
    <mergeCell ref="B140:F140"/>
    <mergeCell ref="G140:H140"/>
    <mergeCell ref="I140:J140"/>
    <mergeCell ref="A144:J144"/>
    <mergeCell ref="A141:J141"/>
    <mergeCell ref="B166:F166"/>
    <mergeCell ref="G166:J166"/>
    <mergeCell ref="B167:F167"/>
    <mergeCell ref="G167:J167"/>
    <mergeCell ref="B159:E159"/>
    <mergeCell ref="F159:G159"/>
    <mergeCell ref="I159:J159"/>
    <mergeCell ref="A171:J171"/>
    <mergeCell ref="A172:F172"/>
    <mergeCell ref="G172:J172"/>
    <mergeCell ref="A173:F173"/>
    <mergeCell ref="G20:H20"/>
    <mergeCell ref="I20:J20"/>
    <mergeCell ref="G21:J21"/>
    <mergeCell ref="A26:J26"/>
    <mergeCell ref="B29:F29"/>
    <mergeCell ref="G29:J29"/>
    <mergeCell ref="A5:J5"/>
    <mergeCell ref="A6:J6"/>
    <mergeCell ref="B9:F9"/>
    <mergeCell ref="G9:J9"/>
    <mergeCell ref="A13:J13"/>
    <mergeCell ref="A16:C16"/>
    <mergeCell ref="D16:E16"/>
    <mergeCell ref="B22:F22"/>
    <mergeCell ref="G22:J22"/>
    <mergeCell ref="B23:F23"/>
    <mergeCell ref="G23:J23"/>
    <mergeCell ref="B24:F24"/>
    <mergeCell ref="G24:J24"/>
    <mergeCell ref="A19:J19"/>
    <mergeCell ref="B21:F21"/>
    <mergeCell ref="A18:J18"/>
    <mergeCell ref="B20:F20"/>
    <mergeCell ref="A14:J14"/>
    <mergeCell ref="A58:F58"/>
    <mergeCell ref="A59:J59"/>
    <mergeCell ref="I37:J37"/>
    <mergeCell ref="A38:J38"/>
    <mergeCell ref="A39:F39"/>
    <mergeCell ref="G39:J39"/>
    <mergeCell ref="B40:F40"/>
    <mergeCell ref="G40:H40"/>
    <mergeCell ref="I40:J40"/>
    <mergeCell ref="B57:F57"/>
    <mergeCell ref="G57:H57"/>
    <mergeCell ref="I57:J57"/>
    <mergeCell ref="G58:H58"/>
    <mergeCell ref="I58:J58"/>
    <mergeCell ref="B55:F55"/>
    <mergeCell ref="G55:H55"/>
    <mergeCell ref="I55:J55"/>
    <mergeCell ref="B56:F56"/>
    <mergeCell ref="G56:H56"/>
    <mergeCell ref="I56:J56"/>
    <mergeCell ref="B53:F53"/>
    <mergeCell ref="G53:H53"/>
    <mergeCell ref="I53:J53"/>
    <mergeCell ref="B54:F54"/>
    <mergeCell ref="B121:F121"/>
    <mergeCell ref="G121:J121"/>
    <mergeCell ref="B122:F122"/>
    <mergeCell ref="G122:J122"/>
    <mergeCell ref="A161:H161"/>
    <mergeCell ref="I161:J161"/>
    <mergeCell ref="G181:H181"/>
    <mergeCell ref="I181:J181"/>
    <mergeCell ref="B178:F178"/>
    <mergeCell ref="B123:F123"/>
    <mergeCell ref="G123:J123"/>
    <mergeCell ref="A148:J148"/>
    <mergeCell ref="B150:E150"/>
    <mergeCell ref="A142:F142"/>
    <mergeCell ref="G142:J142"/>
    <mergeCell ref="A145:B145"/>
    <mergeCell ref="G145:H145"/>
    <mergeCell ref="I145:J145"/>
    <mergeCell ref="A146:B146"/>
    <mergeCell ref="G146:H146"/>
    <mergeCell ref="I146:J146"/>
    <mergeCell ref="I150:J150"/>
    <mergeCell ref="F150:G150"/>
    <mergeCell ref="G178:H178"/>
    <mergeCell ref="G173:J173"/>
    <mergeCell ref="A174:F174"/>
    <mergeCell ref="G174:J174"/>
    <mergeCell ref="B181:F181"/>
    <mergeCell ref="G182:H182"/>
    <mergeCell ref="I182:J182"/>
    <mergeCell ref="B180:F180"/>
    <mergeCell ref="G180:H180"/>
    <mergeCell ref="I180:J180"/>
    <mergeCell ref="B177:F177"/>
    <mergeCell ref="G177:H177"/>
    <mergeCell ref="I178:J178"/>
    <mergeCell ref="B179:F179"/>
    <mergeCell ref="G179:H179"/>
    <mergeCell ref="I179:J179"/>
    <mergeCell ref="A182:F182"/>
    <mergeCell ref="B175:F175"/>
    <mergeCell ref="G175:H175"/>
    <mergeCell ref="I175:J175"/>
    <mergeCell ref="B176:F176"/>
    <mergeCell ref="G176:H176"/>
    <mergeCell ref="I176:J176"/>
    <mergeCell ref="A160:H160"/>
    <mergeCell ref="B154:E154"/>
    <mergeCell ref="F154:G154"/>
    <mergeCell ref="I154:J154"/>
    <mergeCell ref="B155:E155"/>
    <mergeCell ref="F155:G155"/>
    <mergeCell ref="I155:J155"/>
    <mergeCell ref="B156:E156"/>
    <mergeCell ref="F156:G156"/>
    <mergeCell ref="I160:J160"/>
    <mergeCell ref="I157:J157"/>
    <mergeCell ref="B158:E158"/>
    <mergeCell ref="F158:G158"/>
    <mergeCell ref="I158:J158"/>
    <mergeCell ref="B157:H157"/>
    <mergeCell ref="B137:E137"/>
    <mergeCell ref="I151:J151"/>
    <mergeCell ref="F153:G153"/>
    <mergeCell ref="B151:H151"/>
    <mergeCell ref="B153:E153"/>
    <mergeCell ref="B152:E152"/>
    <mergeCell ref="I156:J156"/>
    <mergeCell ref="F152:G152"/>
    <mergeCell ref="I153:J153"/>
    <mergeCell ref="I152:J152"/>
    <mergeCell ref="I139:J139"/>
    <mergeCell ref="A139:H139"/>
    <mergeCell ref="F137:G137"/>
    <mergeCell ref="I137:J137"/>
    <mergeCell ref="B138:E138"/>
    <mergeCell ref="F138:G138"/>
    <mergeCell ref="I138:J138"/>
    <mergeCell ref="B134:E134"/>
    <mergeCell ref="F134:G134"/>
    <mergeCell ref="I134:J134"/>
    <mergeCell ref="B135:E135"/>
    <mergeCell ref="F135:G135"/>
    <mergeCell ref="I135:J135"/>
    <mergeCell ref="B136:E136"/>
    <mergeCell ref="I131:J131"/>
    <mergeCell ref="I130:J130"/>
    <mergeCell ref="B130:H130"/>
    <mergeCell ref="B131:H131"/>
    <mergeCell ref="B132:E132"/>
    <mergeCell ref="F132:G132"/>
    <mergeCell ref="I132:J132"/>
    <mergeCell ref="B133:E133"/>
    <mergeCell ref="F133:G133"/>
    <mergeCell ref="I133:J133"/>
    <mergeCell ref="F136:G136"/>
    <mergeCell ref="I136:J136"/>
  </mergeCells>
  <conditionalFormatting sqref="G174:J174">
    <cfRule type="cellIs" dxfId="1" priority="1" operator="greaterThan">
      <formula>10.7653068461004</formula>
    </cfRule>
  </conditionalFormatting>
  <pageMargins left="0.511811024" right="0.511811024" top="0.78740157499999996" bottom="0.78740157499999996" header="0.31496062000000002" footer="0.31496062000000002"/>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13A1BA-5C6D-4B6E-A22E-70D771EAFC62}">
  <sheetPr>
    <tabColor theme="9" tint="0.59999389629810485"/>
  </sheetPr>
  <dimension ref="A1:I77"/>
  <sheetViews>
    <sheetView topLeftCell="A64" workbookViewId="0">
      <selection activeCell="H68" sqref="H68"/>
    </sheetView>
  </sheetViews>
  <sheetFormatPr defaultRowHeight="14.5" x14ac:dyDescent="0.35"/>
  <cols>
    <col min="2" max="2" width="56.54296875" style="35" customWidth="1"/>
    <col min="3" max="3" width="15.81640625" customWidth="1"/>
    <col min="4" max="4" width="23.08984375" bestFit="1" customWidth="1"/>
    <col min="5" max="5" width="16.81640625" bestFit="1" customWidth="1"/>
    <col min="6" max="6" width="21.81640625" bestFit="1" customWidth="1"/>
    <col min="8" max="8" width="9.36328125" customWidth="1"/>
  </cols>
  <sheetData>
    <row r="1" spans="1:6" x14ac:dyDescent="0.35">
      <c r="A1" s="484" t="s">
        <v>344</v>
      </c>
      <c r="B1" s="484"/>
      <c r="C1" s="484"/>
      <c r="D1" s="484"/>
      <c r="E1" s="484"/>
      <c r="F1" s="484"/>
    </row>
    <row r="2" spans="1:6" x14ac:dyDescent="0.35">
      <c r="A2" s="61" t="s">
        <v>142</v>
      </c>
      <c r="B2" s="62" t="s">
        <v>143</v>
      </c>
      <c r="C2" s="61" t="s">
        <v>144</v>
      </c>
      <c r="D2" s="61" t="s">
        <v>235</v>
      </c>
      <c r="E2" s="61" t="s">
        <v>167</v>
      </c>
      <c r="F2" s="61" t="s">
        <v>321</v>
      </c>
    </row>
    <row r="3" spans="1:6" ht="39" x14ac:dyDescent="0.35">
      <c r="A3" s="55">
        <v>1</v>
      </c>
      <c r="B3" s="23" t="s">
        <v>346</v>
      </c>
      <c r="C3" s="55" t="s">
        <v>238</v>
      </c>
      <c r="D3" s="55">
        <v>564</v>
      </c>
      <c r="E3" s="54">
        <v>7.24</v>
      </c>
      <c r="F3" s="56">
        <f>D3*E3</f>
        <v>4083.36</v>
      </c>
    </row>
    <row r="4" spans="1:6" ht="26" x14ac:dyDescent="0.35">
      <c r="A4" s="55">
        <v>2</v>
      </c>
      <c r="B4" s="23" t="s">
        <v>239</v>
      </c>
      <c r="C4" s="55" t="s">
        <v>240</v>
      </c>
      <c r="D4" s="55">
        <v>540</v>
      </c>
      <c r="E4" s="54">
        <v>7</v>
      </c>
      <c r="F4" s="56">
        <f t="shared" ref="F4:F67" si="0">D4*E4</f>
        <v>3780</v>
      </c>
    </row>
    <row r="5" spans="1:6" ht="26" x14ac:dyDescent="0.35">
      <c r="A5" s="55">
        <v>3</v>
      </c>
      <c r="B5" s="23" t="s">
        <v>241</v>
      </c>
      <c r="C5" s="55" t="s">
        <v>242</v>
      </c>
      <c r="D5" s="55">
        <v>324</v>
      </c>
      <c r="E5" s="54">
        <v>4.8949999999999996</v>
      </c>
      <c r="F5" s="56">
        <f t="shared" si="0"/>
        <v>1585.9799999999998</v>
      </c>
    </row>
    <row r="6" spans="1:6" x14ac:dyDescent="0.35">
      <c r="A6" s="55">
        <v>4</v>
      </c>
      <c r="B6" s="23" t="s">
        <v>243</v>
      </c>
      <c r="C6" s="55" t="s">
        <v>153</v>
      </c>
      <c r="D6" s="55">
        <v>3</v>
      </c>
      <c r="E6" s="54">
        <v>16.79</v>
      </c>
      <c r="F6" s="56">
        <f t="shared" si="0"/>
        <v>50.37</v>
      </c>
    </row>
    <row r="7" spans="1:6" ht="26" x14ac:dyDescent="0.35">
      <c r="A7" s="55">
        <v>5</v>
      </c>
      <c r="B7" s="23" t="s">
        <v>244</v>
      </c>
      <c r="C7" s="55" t="s">
        <v>153</v>
      </c>
      <c r="D7" s="55">
        <v>30</v>
      </c>
      <c r="E7" s="54">
        <v>11</v>
      </c>
      <c r="F7" s="56">
        <f t="shared" si="0"/>
        <v>330</v>
      </c>
    </row>
    <row r="8" spans="1:6" ht="39" x14ac:dyDescent="0.35">
      <c r="A8" s="55">
        <v>6</v>
      </c>
      <c r="B8" s="23" t="s">
        <v>357</v>
      </c>
      <c r="C8" s="55" t="s">
        <v>358</v>
      </c>
      <c r="D8" s="55">
        <v>4</v>
      </c>
      <c r="E8" s="54">
        <f>99.6125/4</f>
        <v>24.903124999999999</v>
      </c>
      <c r="F8" s="56">
        <f t="shared" si="0"/>
        <v>99.612499999999997</v>
      </c>
    </row>
    <row r="9" spans="1:6" ht="26" x14ac:dyDescent="0.35">
      <c r="A9" s="55">
        <v>7</v>
      </c>
      <c r="B9" s="23" t="s">
        <v>245</v>
      </c>
      <c r="C9" s="55" t="s">
        <v>246</v>
      </c>
      <c r="D9" s="55">
        <v>2</v>
      </c>
      <c r="E9" s="54">
        <v>12.6</v>
      </c>
      <c r="F9" s="56">
        <f t="shared" si="0"/>
        <v>25.2</v>
      </c>
    </row>
    <row r="10" spans="1:6" ht="39" x14ac:dyDescent="0.35">
      <c r="A10" s="55">
        <v>8</v>
      </c>
      <c r="B10" s="23" t="s">
        <v>247</v>
      </c>
      <c r="C10" s="55" t="s">
        <v>238</v>
      </c>
      <c r="D10" s="55">
        <v>12</v>
      </c>
      <c r="E10" s="54">
        <v>28.344999999999999</v>
      </c>
      <c r="F10" s="56">
        <f t="shared" si="0"/>
        <v>340.14</v>
      </c>
    </row>
    <row r="11" spans="1:6" ht="26" x14ac:dyDescent="0.35">
      <c r="A11" s="55">
        <v>9</v>
      </c>
      <c r="B11" s="23" t="s">
        <v>248</v>
      </c>
      <c r="C11" s="55" t="s">
        <v>238</v>
      </c>
      <c r="D11" s="55">
        <v>6</v>
      </c>
      <c r="E11" s="54">
        <v>55.583300000000001</v>
      </c>
      <c r="F11" s="56">
        <f t="shared" si="0"/>
        <v>333.49979999999999</v>
      </c>
    </row>
    <row r="12" spans="1:6" ht="39" x14ac:dyDescent="0.35">
      <c r="A12" s="55">
        <v>10</v>
      </c>
      <c r="B12" s="23" t="s">
        <v>249</v>
      </c>
      <c r="C12" s="55" t="s">
        <v>238</v>
      </c>
      <c r="D12" s="55">
        <v>120</v>
      </c>
      <c r="E12" s="54">
        <f>4.23*5</f>
        <v>21.150000000000002</v>
      </c>
      <c r="F12" s="56">
        <f t="shared" si="0"/>
        <v>2538.0000000000005</v>
      </c>
    </row>
    <row r="13" spans="1:6" ht="65" x14ac:dyDescent="0.35">
      <c r="A13" s="55">
        <v>11</v>
      </c>
      <c r="B13" s="23" t="s">
        <v>250</v>
      </c>
      <c r="C13" s="55" t="s">
        <v>251</v>
      </c>
      <c r="D13" s="55">
        <v>420</v>
      </c>
      <c r="E13" s="54">
        <v>15.73</v>
      </c>
      <c r="F13" s="56">
        <f t="shared" si="0"/>
        <v>6606.6</v>
      </c>
    </row>
    <row r="14" spans="1:6" ht="26" x14ac:dyDescent="0.35">
      <c r="A14" s="55">
        <v>12</v>
      </c>
      <c r="B14" s="23" t="s">
        <v>359</v>
      </c>
      <c r="C14" s="55" t="s">
        <v>238</v>
      </c>
      <c r="D14" s="55">
        <v>6</v>
      </c>
      <c r="E14" s="54">
        <v>80.16</v>
      </c>
      <c r="F14" s="56">
        <f t="shared" si="0"/>
        <v>480.96</v>
      </c>
    </row>
    <row r="15" spans="1:6" ht="39" x14ac:dyDescent="0.35">
      <c r="A15" s="55">
        <v>13</v>
      </c>
      <c r="B15" s="23" t="s">
        <v>253</v>
      </c>
      <c r="C15" s="55" t="s">
        <v>238</v>
      </c>
      <c r="D15" s="55">
        <v>6</v>
      </c>
      <c r="E15" s="54">
        <v>55.23</v>
      </c>
      <c r="F15" s="56">
        <f t="shared" si="0"/>
        <v>331.38</v>
      </c>
    </row>
    <row r="16" spans="1:6" ht="52" x14ac:dyDescent="0.35">
      <c r="A16" s="55">
        <v>14</v>
      </c>
      <c r="B16" s="23" t="s">
        <v>254</v>
      </c>
      <c r="C16" s="55" t="s">
        <v>238</v>
      </c>
      <c r="D16" s="55">
        <v>108</v>
      </c>
      <c r="E16" s="54">
        <v>15.52</v>
      </c>
      <c r="F16" s="56">
        <f t="shared" si="0"/>
        <v>1676.1599999999999</v>
      </c>
    </row>
    <row r="17" spans="1:6" x14ac:dyDescent="0.35">
      <c r="A17" s="55">
        <v>15</v>
      </c>
      <c r="B17" s="23" t="s">
        <v>255</v>
      </c>
      <c r="C17" s="55" t="s">
        <v>153</v>
      </c>
      <c r="D17" s="55">
        <v>36</v>
      </c>
      <c r="E17" s="54">
        <v>30.045000000000002</v>
      </c>
      <c r="F17" s="56">
        <f t="shared" si="0"/>
        <v>1081.6200000000001</v>
      </c>
    </row>
    <row r="18" spans="1:6" x14ac:dyDescent="0.35">
      <c r="A18" s="55">
        <v>16</v>
      </c>
      <c r="B18" s="23" t="s">
        <v>256</v>
      </c>
      <c r="C18" s="55" t="s">
        <v>153</v>
      </c>
      <c r="D18" s="55">
        <v>36</v>
      </c>
      <c r="E18" s="54">
        <v>27.013999999999999</v>
      </c>
      <c r="F18" s="56">
        <f t="shared" si="0"/>
        <v>972.50400000000002</v>
      </c>
    </row>
    <row r="19" spans="1:6" x14ac:dyDescent="0.35">
      <c r="A19" s="55">
        <v>17</v>
      </c>
      <c r="B19" s="23" t="s">
        <v>257</v>
      </c>
      <c r="C19" s="55" t="s">
        <v>153</v>
      </c>
      <c r="D19" s="55">
        <v>36</v>
      </c>
      <c r="E19" s="54">
        <v>30.3355</v>
      </c>
      <c r="F19" s="56">
        <f t="shared" si="0"/>
        <v>1092.078</v>
      </c>
    </row>
    <row r="20" spans="1:6" x14ac:dyDescent="0.35">
      <c r="A20" s="55">
        <v>18</v>
      </c>
      <c r="B20" s="23" t="s">
        <v>258</v>
      </c>
      <c r="C20" s="55" t="s">
        <v>153</v>
      </c>
      <c r="D20" s="55">
        <v>26</v>
      </c>
      <c r="E20" s="54">
        <v>2.5499999999999998</v>
      </c>
      <c r="F20" s="56">
        <f t="shared" si="0"/>
        <v>66.3</v>
      </c>
    </row>
    <row r="21" spans="1:6" ht="26" x14ac:dyDescent="0.35">
      <c r="A21" s="55">
        <v>19</v>
      </c>
      <c r="B21" s="23" t="s">
        <v>259</v>
      </c>
      <c r="C21" s="55" t="s">
        <v>153</v>
      </c>
      <c r="D21" s="55">
        <v>432</v>
      </c>
      <c r="E21" s="54">
        <v>0.65</v>
      </c>
      <c r="F21" s="56">
        <f t="shared" si="0"/>
        <v>280.8</v>
      </c>
    </row>
    <row r="22" spans="1:6" ht="26" x14ac:dyDescent="0.35">
      <c r="A22" s="55">
        <v>20</v>
      </c>
      <c r="B22" s="23" t="s">
        <v>260</v>
      </c>
      <c r="C22" s="55" t="s">
        <v>153</v>
      </c>
      <c r="D22" s="55">
        <v>552</v>
      </c>
      <c r="E22" s="54">
        <v>0.78</v>
      </c>
      <c r="F22" s="56">
        <f t="shared" si="0"/>
        <v>430.56</v>
      </c>
    </row>
    <row r="23" spans="1:6" ht="26" x14ac:dyDescent="0.35">
      <c r="A23" s="55">
        <v>21</v>
      </c>
      <c r="B23" s="23" t="s">
        <v>261</v>
      </c>
      <c r="C23" s="55" t="s">
        <v>153</v>
      </c>
      <c r="D23" s="55">
        <v>2</v>
      </c>
      <c r="E23" s="54">
        <v>143.4633</v>
      </c>
      <c r="F23" s="56">
        <f t="shared" si="0"/>
        <v>286.92660000000001</v>
      </c>
    </row>
    <row r="24" spans="1:6" ht="26" x14ac:dyDescent="0.35">
      <c r="A24" s="55">
        <v>22</v>
      </c>
      <c r="B24" s="23" t="s">
        <v>262</v>
      </c>
      <c r="C24" s="55" t="s">
        <v>263</v>
      </c>
      <c r="D24" s="55">
        <v>192</v>
      </c>
      <c r="E24" s="54">
        <v>13</v>
      </c>
      <c r="F24" s="56">
        <f t="shared" si="0"/>
        <v>2496</v>
      </c>
    </row>
    <row r="25" spans="1:6" ht="26" x14ac:dyDescent="0.35">
      <c r="A25" s="55">
        <v>23</v>
      </c>
      <c r="B25" s="23" t="s">
        <v>264</v>
      </c>
      <c r="C25" s="55" t="s">
        <v>265</v>
      </c>
      <c r="D25" s="55">
        <v>4</v>
      </c>
      <c r="E25" s="54">
        <v>16.0275</v>
      </c>
      <c r="F25" s="56">
        <f t="shared" si="0"/>
        <v>64.11</v>
      </c>
    </row>
    <row r="26" spans="1:6" ht="26" x14ac:dyDescent="0.35">
      <c r="A26" s="55">
        <v>24</v>
      </c>
      <c r="B26" s="23" t="s">
        <v>266</v>
      </c>
      <c r="C26" s="55" t="s">
        <v>153</v>
      </c>
      <c r="D26" s="55">
        <v>120</v>
      </c>
      <c r="E26" s="54">
        <v>3.3557999999999999</v>
      </c>
      <c r="F26" s="56">
        <f t="shared" si="0"/>
        <v>402.69599999999997</v>
      </c>
    </row>
    <row r="27" spans="1:6" x14ac:dyDescent="0.35">
      <c r="A27" s="55">
        <v>25</v>
      </c>
      <c r="B27" s="23" t="s">
        <v>267</v>
      </c>
      <c r="C27" s="55" t="s">
        <v>153</v>
      </c>
      <c r="D27" s="55">
        <v>600</v>
      </c>
      <c r="E27" s="54">
        <v>2.17</v>
      </c>
      <c r="F27" s="56">
        <f t="shared" si="0"/>
        <v>1302</v>
      </c>
    </row>
    <row r="28" spans="1:6" ht="26" x14ac:dyDescent="0.35">
      <c r="A28" s="55">
        <v>26</v>
      </c>
      <c r="B28" s="23" t="s">
        <v>268</v>
      </c>
      <c r="C28" s="55" t="s">
        <v>242</v>
      </c>
      <c r="D28" s="55">
        <v>8</v>
      </c>
      <c r="E28" s="54">
        <v>19.795000000000002</v>
      </c>
      <c r="F28" s="56">
        <f t="shared" si="0"/>
        <v>158.36000000000001</v>
      </c>
    </row>
    <row r="29" spans="1:6" ht="26" x14ac:dyDescent="0.35">
      <c r="A29" s="55">
        <v>27</v>
      </c>
      <c r="B29" s="23" t="s">
        <v>269</v>
      </c>
      <c r="C29" s="55" t="s">
        <v>238</v>
      </c>
      <c r="D29" s="55">
        <v>2</v>
      </c>
      <c r="E29" s="54">
        <v>100.54170000000001</v>
      </c>
      <c r="F29" s="56">
        <f t="shared" si="0"/>
        <v>201.08340000000001</v>
      </c>
    </row>
    <row r="30" spans="1:6" ht="26" x14ac:dyDescent="0.35">
      <c r="A30" s="55">
        <v>28</v>
      </c>
      <c r="B30" s="23" t="s">
        <v>270</v>
      </c>
      <c r="C30" s="55" t="s">
        <v>271</v>
      </c>
      <c r="D30" s="55">
        <v>18</v>
      </c>
      <c r="E30" s="54">
        <v>15.036300000000001</v>
      </c>
      <c r="F30" s="56">
        <f t="shared" si="0"/>
        <v>270.65340000000003</v>
      </c>
    </row>
    <row r="31" spans="1:6" ht="26" x14ac:dyDescent="0.35">
      <c r="A31" s="55">
        <v>29</v>
      </c>
      <c r="B31" s="23" t="s">
        <v>272</v>
      </c>
      <c r="C31" s="55" t="s">
        <v>273</v>
      </c>
      <c r="D31" s="55">
        <v>36</v>
      </c>
      <c r="E31" s="54">
        <v>6.7</v>
      </c>
      <c r="F31" s="56">
        <f t="shared" si="0"/>
        <v>241.20000000000002</v>
      </c>
    </row>
    <row r="32" spans="1:6" ht="26" x14ac:dyDescent="0.35">
      <c r="A32" s="55">
        <v>30</v>
      </c>
      <c r="B32" s="23" t="s">
        <v>274</v>
      </c>
      <c r="C32" s="55" t="s">
        <v>242</v>
      </c>
      <c r="D32" s="55">
        <v>156</v>
      </c>
      <c r="E32" s="54">
        <v>4.3499999999999996</v>
      </c>
      <c r="F32" s="56">
        <f t="shared" si="0"/>
        <v>678.59999999999991</v>
      </c>
    </row>
    <row r="33" spans="1:6" ht="26" x14ac:dyDescent="0.35">
      <c r="A33" s="55">
        <v>31</v>
      </c>
      <c r="B33" s="23" t="s">
        <v>275</v>
      </c>
      <c r="C33" s="55" t="s">
        <v>238</v>
      </c>
      <c r="D33" s="55">
        <v>12</v>
      </c>
      <c r="E33" s="54">
        <v>12.2317</v>
      </c>
      <c r="F33" s="56">
        <f t="shared" si="0"/>
        <v>146.78039999999999</v>
      </c>
    </row>
    <row r="34" spans="1:6" ht="26" x14ac:dyDescent="0.35">
      <c r="A34" s="55">
        <v>32</v>
      </c>
      <c r="B34" s="23" t="s">
        <v>276</v>
      </c>
      <c r="C34" s="55" t="s">
        <v>242</v>
      </c>
      <c r="D34" s="55">
        <v>900</v>
      </c>
      <c r="E34" s="54">
        <v>4.47</v>
      </c>
      <c r="F34" s="56">
        <f t="shared" si="0"/>
        <v>4023</v>
      </c>
    </row>
    <row r="35" spans="1:6" ht="39" x14ac:dyDescent="0.35">
      <c r="A35" s="55">
        <v>33</v>
      </c>
      <c r="B35" s="23" t="s">
        <v>277</v>
      </c>
      <c r="C35" s="55" t="s">
        <v>242</v>
      </c>
      <c r="D35" s="55">
        <v>144</v>
      </c>
      <c r="E35" s="54">
        <v>19.97</v>
      </c>
      <c r="F35" s="56">
        <f t="shared" si="0"/>
        <v>2875.68</v>
      </c>
    </row>
    <row r="36" spans="1:6" x14ac:dyDescent="0.35">
      <c r="A36" s="55">
        <v>34</v>
      </c>
      <c r="B36" s="23" t="s">
        <v>538</v>
      </c>
      <c r="C36" s="55" t="s">
        <v>155</v>
      </c>
      <c r="D36" s="55">
        <v>66</v>
      </c>
      <c r="E36" s="54">
        <v>8.1445000000000007</v>
      </c>
      <c r="F36" s="56">
        <f t="shared" si="0"/>
        <v>537.53700000000003</v>
      </c>
    </row>
    <row r="37" spans="1:6" x14ac:dyDescent="0.35">
      <c r="A37" s="55">
        <v>35</v>
      </c>
      <c r="B37" s="23" t="s">
        <v>539</v>
      </c>
      <c r="C37" s="55" t="s">
        <v>155</v>
      </c>
      <c r="D37" s="55">
        <v>420</v>
      </c>
      <c r="E37" s="54">
        <v>5.27</v>
      </c>
      <c r="F37" s="56">
        <f t="shared" si="0"/>
        <v>2213.3999999999996</v>
      </c>
    </row>
    <row r="38" spans="1:6" ht="26" x14ac:dyDescent="0.35">
      <c r="A38" s="55">
        <v>36</v>
      </c>
      <c r="B38" s="23" t="s">
        <v>280</v>
      </c>
      <c r="C38" s="55" t="s">
        <v>155</v>
      </c>
      <c r="D38" s="55">
        <v>4</v>
      </c>
      <c r="E38" s="54">
        <v>10.9</v>
      </c>
      <c r="F38" s="56">
        <f t="shared" si="0"/>
        <v>43.6</v>
      </c>
    </row>
    <row r="39" spans="1:6" x14ac:dyDescent="0.35">
      <c r="A39" s="55">
        <v>37</v>
      </c>
      <c r="B39" s="23" t="s">
        <v>281</v>
      </c>
      <c r="C39" s="55" t="s">
        <v>282</v>
      </c>
      <c r="D39" s="55">
        <v>2</v>
      </c>
      <c r="E39" s="54">
        <v>48.5383</v>
      </c>
      <c r="F39" s="56">
        <f t="shared" si="0"/>
        <v>97.076599999999999</v>
      </c>
    </row>
    <row r="40" spans="1:6" ht="26" x14ac:dyDescent="0.35">
      <c r="A40" s="55">
        <v>38</v>
      </c>
      <c r="B40" s="23" t="s">
        <v>283</v>
      </c>
      <c r="C40" s="55" t="s">
        <v>310</v>
      </c>
      <c r="D40" s="55">
        <v>312</v>
      </c>
      <c r="E40" s="54">
        <v>8.5050000000000008</v>
      </c>
      <c r="F40" s="56">
        <f t="shared" si="0"/>
        <v>2653.5600000000004</v>
      </c>
    </row>
    <row r="41" spans="1:6" ht="26" x14ac:dyDescent="0.35">
      <c r="A41" s="55">
        <v>39</v>
      </c>
      <c r="B41" s="23" t="s">
        <v>284</v>
      </c>
      <c r="C41" s="55" t="s">
        <v>153</v>
      </c>
      <c r="D41" s="55">
        <v>60</v>
      </c>
      <c r="E41" s="54">
        <v>11.4155</v>
      </c>
      <c r="F41" s="56">
        <f t="shared" si="0"/>
        <v>684.93</v>
      </c>
    </row>
    <row r="42" spans="1:6" ht="26" x14ac:dyDescent="0.35">
      <c r="A42" s="55">
        <v>40</v>
      </c>
      <c r="B42" s="23" t="s">
        <v>285</v>
      </c>
      <c r="C42" s="55" t="s">
        <v>286</v>
      </c>
      <c r="D42" s="55">
        <v>8</v>
      </c>
      <c r="E42" s="54">
        <v>34.17</v>
      </c>
      <c r="F42" s="56">
        <f t="shared" si="0"/>
        <v>273.36</v>
      </c>
    </row>
    <row r="43" spans="1:6" x14ac:dyDescent="0.35">
      <c r="A43" s="55">
        <v>41</v>
      </c>
      <c r="B43" s="23" t="s">
        <v>287</v>
      </c>
      <c r="C43" s="55" t="s">
        <v>153</v>
      </c>
      <c r="D43" s="55">
        <v>23</v>
      </c>
      <c r="E43" s="54">
        <v>7.9950000000000001</v>
      </c>
      <c r="F43" s="56">
        <f t="shared" si="0"/>
        <v>183.88499999999999</v>
      </c>
    </row>
    <row r="44" spans="1:6" ht="26" x14ac:dyDescent="0.35">
      <c r="A44" s="55">
        <v>42</v>
      </c>
      <c r="B44" s="23" t="s">
        <v>288</v>
      </c>
      <c r="C44" s="55" t="s">
        <v>153</v>
      </c>
      <c r="D44" s="55">
        <v>660</v>
      </c>
      <c r="E44" s="54">
        <v>4.08</v>
      </c>
      <c r="F44" s="56">
        <f t="shared" si="0"/>
        <v>2692.8</v>
      </c>
    </row>
    <row r="45" spans="1:6" x14ac:dyDescent="0.35">
      <c r="A45" s="55">
        <v>43</v>
      </c>
      <c r="B45" s="23" t="s">
        <v>289</v>
      </c>
      <c r="C45" s="55" t="s">
        <v>153</v>
      </c>
      <c r="D45" s="55">
        <v>192</v>
      </c>
      <c r="E45" s="54">
        <v>2.9809000000000001</v>
      </c>
      <c r="F45" s="56">
        <f t="shared" si="0"/>
        <v>572.33280000000002</v>
      </c>
    </row>
    <row r="46" spans="1:6" ht="26" x14ac:dyDescent="0.35">
      <c r="A46" s="55">
        <v>44</v>
      </c>
      <c r="B46" s="23" t="s">
        <v>290</v>
      </c>
      <c r="C46" s="55" t="s">
        <v>291</v>
      </c>
      <c r="D46" s="55">
        <v>192</v>
      </c>
      <c r="E46" s="54">
        <v>87</v>
      </c>
      <c r="F46" s="56">
        <f t="shared" si="0"/>
        <v>16704</v>
      </c>
    </row>
    <row r="47" spans="1:6" ht="39" x14ac:dyDescent="0.35">
      <c r="A47" s="55">
        <v>45</v>
      </c>
      <c r="B47" s="23" t="s">
        <v>360</v>
      </c>
      <c r="C47" s="55" t="s">
        <v>293</v>
      </c>
      <c r="D47" s="55">
        <v>1320</v>
      </c>
      <c r="E47" s="54">
        <v>33.265000000000001</v>
      </c>
      <c r="F47" s="56">
        <f t="shared" si="0"/>
        <v>43909.8</v>
      </c>
    </row>
    <row r="48" spans="1:6" x14ac:dyDescent="0.35">
      <c r="A48" s="55">
        <v>46</v>
      </c>
      <c r="B48" s="23" t="s">
        <v>361</v>
      </c>
      <c r="C48" s="55" t="s">
        <v>242</v>
      </c>
      <c r="D48" s="55">
        <v>192</v>
      </c>
      <c r="E48" s="54">
        <v>6.0263999999999998</v>
      </c>
      <c r="F48" s="56">
        <f t="shared" si="0"/>
        <v>1157.0688</v>
      </c>
    </row>
    <row r="49" spans="1:6" x14ac:dyDescent="0.35">
      <c r="A49" s="55">
        <v>47</v>
      </c>
      <c r="B49" s="23" t="s">
        <v>295</v>
      </c>
      <c r="C49" s="55" t="s">
        <v>296</v>
      </c>
      <c r="D49" s="55">
        <v>72</v>
      </c>
      <c r="E49" s="54">
        <v>36.604399999999998</v>
      </c>
      <c r="F49" s="56">
        <f t="shared" si="0"/>
        <v>2635.5167999999999</v>
      </c>
    </row>
    <row r="50" spans="1:6" x14ac:dyDescent="0.35">
      <c r="A50" s="55">
        <v>48</v>
      </c>
      <c r="B50" s="23" t="s">
        <v>297</v>
      </c>
      <c r="C50" s="55" t="s">
        <v>238</v>
      </c>
      <c r="D50" s="55">
        <v>24</v>
      </c>
      <c r="E50" s="54">
        <v>45.755000000000003</v>
      </c>
      <c r="F50" s="56">
        <f t="shared" si="0"/>
        <v>1098.1200000000001</v>
      </c>
    </row>
    <row r="51" spans="1:6" ht="26" x14ac:dyDescent="0.35">
      <c r="A51" s="55">
        <v>49</v>
      </c>
      <c r="B51" s="23" t="s">
        <v>298</v>
      </c>
      <c r="C51" s="55" t="s">
        <v>153</v>
      </c>
      <c r="D51" s="55">
        <v>32</v>
      </c>
      <c r="E51" s="54">
        <v>14.89</v>
      </c>
      <c r="F51" s="56">
        <f t="shared" si="0"/>
        <v>476.48</v>
      </c>
    </row>
    <row r="52" spans="1:6" ht="26" x14ac:dyDescent="0.35">
      <c r="A52" s="55">
        <v>50</v>
      </c>
      <c r="B52" s="23" t="s">
        <v>299</v>
      </c>
      <c r="C52" s="55" t="s">
        <v>300</v>
      </c>
      <c r="D52" s="55">
        <v>96</v>
      </c>
      <c r="E52" s="54">
        <v>7.9450000000000003</v>
      </c>
      <c r="F52" s="56">
        <f t="shared" si="0"/>
        <v>762.72</v>
      </c>
    </row>
    <row r="53" spans="1:6" ht="26" x14ac:dyDescent="0.35">
      <c r="A53" s="55">
        <v>51</v>
      </c>
      <c r="B53" s="23" t="s">
        <v>362</v>
      </c>
      <c r="C53" s="55" t="s">
        <v>302</v>
      </c>
      <c r="D53" s="55">
        <v>132</v>
      </c>
      <c r="E53" s="54">
        <v>4.5</v>
      </c>
      <c r="F53" s="56">
        <f t="shared" si="0"/>
        <v>594</v>
      </c>
    </row>
    <row r="54" spans="1:6" ht="26" x14ac:dyDescent="0.35">
      <c r="A54" s="55">
        <v>52</v>
      </c>
      <c r="B54" s="23" t="s">
        <v>303</v>
      </c>
      <c r="C54" s="55" t="s">
        <v>153</v>
      </c>
      <c r="D54" s="55">
        <v>6</v>
      </c>
      <c r="E54" s="54">
        <v>1.1499999999999999</v>
      </c>
      <c r="F54" s="56">
        <f t="shared" si="0"/>
        <v>6.8999999999999995</v>
      </c>
    </row>
    <row r="55" spans="1:6" x14ac:dyDescent="0.35">
      <c r="A55" s="55">
        <v>53</v>
      </c>
      <c r="B55" s="23" t="s">
        <v>304</v>
      </c>
      <c r="C55" s="55" t="s">
        <v>238</v>
      </c>
      <c r="D55" s="55">
        <v>156</v>
      </c>
      <c r="E55" s="54">
        <v>21.89</v>
      </c>
      <c r="F55" s="56">
        <f t="shared" si="0"/>
        <v>3414.84</v>
      </c>
    </row>
    <row r="56" spans="1:6" ht="26" x14ac:dyDescent="0.35">
      <c r="A56" s="55">
        <v>54</v>
      </c>
      <c r="B56" s="23" t="s">
        <v>305</v>
      </c>
      <c r="C56" s="55" t="s">
        <v>306</v>
      </c>
      <c r="D56" s="55">
        <v>144</v>
      </c>
      <c r="E56" s="54">
        <v>23.5</v>
      </c>
      <c r="F56" s="56">
        <f t="shared" si="0"/>
        <v>3384</v>
      </c>
    </row>
    <row r="57" spans="1:6" ht="26" x14ac:dyDescent="0.35">
      <c r="A57" s="55">
        <v>55</v>
      </c>
      <c r="B57" s="23" t="s">
        <v>307</v>
      </c>
      <c r="C57" s="55" t="s">
        <v>306</v>
      </c>
      <c r="D57" s="55">
        <v>48</v>
      </c>
      <c r="E57" s="54">
        <v>57.29</v>
      </c>
      <c r="F57" s="56">
        <f t="shared" si="0"/>
        <v>2749.92</v>
      </c>
    </row>
    <row r="58" spans="1:6" ht="26" x14ac:dyDescent="0.35">
      <c r="A58" s="55">
        <v>56</v>
      </c>
      <c r="B58" s="23" t="s">
        <v>308</v>
      </c>
      <c r="C58" s="55" t="s">
        <v>306</v>
      </c>
      <c r="D58" s="55">
        <v>132</v>
      </c>
      <c r="E58" s="54">
        <v>14.69</v>
      </c>
      <c r="F58" s="56">
        <f t="shared" si="0"/>
        <v>1939.08</v>
      </c>
    </row>
    <row r="59" spans="1:6" ht="26" x14ac:dyDescent="0.35">
      <c r="A59" s="55">
        <v>57</v>
      </c>
      <c r="B59" s="23" t="s">
        <v>309</v>
      </c>
      <c r="C59" s="55" t="s">
        <v>310</v>
      </c>
      <c r="D59" s="55">
        <v>228</v>
      </c>
      <c r="E59" s="54">
        <v>2.8</v>
      </c>
      <c r="F59" s="56">
        <f t="shared" si="0"/>
        <v>638.4</v>
      </c>
    </row>
    <row r="60" spans="1:6" x14ac:dyDescent="0.35">
      <c r="A60" s="55">
        <v>58</v>
      </c>
      <c r="B60" s="23" t="s">
        <v>311</v>
      </c>
      <c r="C60" s="55" t="s">
        <v>238</v>
      </c>
      <c r="D60" s="55">
        <v>2</v>
      </c>
      <c r="E60" s="54">
        <v>64</v>
      </c>
      <c r="F60" s="56">
        <f t="shared" si="0"/>
        <v>128</v>
      </c>
    </row>
    <row r="61" spans="1:6" ht="26" x14ac:dyDescent="0.35">
      <c r="A61" s="55">
        <v>59</v>
      </c>
      <c r="B61" s="23" t="s">
        <v>312</v>
      </c>
      <c r="C61" s="55" t="s">
        <v>153</v>
      </c>
      <c r="D61" s="55">
        <v>744</v>
      </c>
      <c r="E61" s="54">
        <v>2.99</v>
      </c>
      <c r="F61" s="56">
        <f t="shared" si="0"/>
        <v>2224.56</v>
      </c>
    </row>
    <row r="62" spans="1:6" x14ac:dyDescent="0.35">
      <c r="A62" s="55">
        <v>60</v>
      </c>
      <c r="B62" s="23" t="s">
        <v>313</v>
      </c>
      <c r="C62" s="55" t="s">
        <v>314</v>
      </c>
      <c r="D62" s="55">
        <v>12</v>
      </c>
      <c r="E62" s="54">
        <v>41.11</v>
      </c>
      <c r="F62" s="56">
        <f t="shared" si="0"/>
        <v>493.32</v>
      </c>
    </row>
    <row r="63" spans="1:6" ht="26" x14ac:dyDescent="0.35">
      <c r="A63" s="55">
        <v>61</v>
      </c>
      <c r="B63" s="23" t="s">
        <v>315</v>
      </c>
      <c r="C63" s="55" t="s">
        <v>153</v>
      </c>
      <c r="D63" s="55">
        <v>72</v>
      </c>
      <c r="E63" s="54">
        <v>3.05</v>
      </c>
      <c r="F63" s="56">
        <f t="shared" si="0"/>
        <v>219.6</v>
      </c>
    </row>
    <row r="64" spans="1:6" ht="26" x14ac:dyDescent="0.35">
      <c r="A64" s="55">
        <v>62</v>
      </c>
      <c r="B64" s="23" t="s">
        <v>316</v>
      </c>
      <c r="C64" s="55" t="s">
        <v>153</v>
      </c>
      <c r="D64" s="55">
        <v>17</v>
      </c>
      <c r="E64" s="54">
        <v>4.04</v>
      </c>
      <c r="F64" s="56">
        <f t="shared" si="0"/>
        <v>68.680000000000007</v>
      </c>
    </row>
    <row r="65" spans="1:9" ht="26" x14ac:dyDescent="0.35">
      <c r="A65" s="55">
        <v>63</v>
      </c>
      <c r="B65" s="23" t="s">
        <v>317</v>
      </c>
      <c r="C65" s="55" t="s">
        <v>153</v>
      </c>
      <c r="D65" s="55">
        <v>21</v>
      </c>
      <c r="E65" s="54">
        <v>8.1199999999999992</v>
      </c>
      <c r="F65" s="56">
        <f t="shared" si="0"/>
        <v>170.51999999999998</v>
      </c>
    </row>
    <row r="66" spans="1:9" ht="26" x14ac:dyDescent="0.35">
      <c r="A66" s="55">
        <v>64</v>
      </c>
      <c r="B66" s="23" t="s">
        <v>318</v>
      </c>
      <c r="C66" s="55" t="s">
        <v>153</v>
      </c>
      <c r="D66" s="55">
        <v>11</v>
      </c>
      <c r="E66" s="54">
        <v>11.05</v>
      </c>
      <c r="F66" s="56">
        <f t="shared" si="0"/>
        <v>121.55000000000001</v>
      </c>
    </row>
    <row r="67" spans="1:9" ht="26" x14ac:dyDescent="0.35">
      <c r="A67" s="55">
        <v>65</v>
      </c>
      <c r="B67" s="23" t="s">
        <v>319</v>
      </c>
      <c r="C67" s="55" t="s">
        <v>153</v>
      </c>
      <c r="D67" s="55">
        <v>184</v>
      </c>
      <c r="E67" s="54">
        <v>12.9</v>
      </c>
      <c r="F67" s="56">
        <f t="shared" si="0"/>
        <v>2373.6</v>
      </c>
    </row>
    <row r="68" spans="1:9" ht="26" x14ac:dyDescent="0.35">
      <c r="A68" s="55">
        <v>66</v>
      </c>
      <c r="B68" s="23" t="s">
        <v>320</v>
      </c>
      <c r="C68" s="55" t="s">
        <v>238</v>
      </c>
      <c r="D68" s="55">
        <v>48</v>
      </c>
      <c r="E68" s="54">
        <v>56.22</v>
      </c>
      <c r="F68" s="56">
        <f t="shared" ref="F68" si="1">D68*E68</f>
        <v>2698.56</v>
      </c>
    </row>
    <row r="69" spans="1:9" x14ac:dyDescent="0.35">
      <c r="A69" s="485" t="s">
        <v>398</v>
      </c>
      <c r="B69" s="486"/>
      <c r="C69" s="486"/>
      <c r="D69" s="486"/>
      <c r="E69" s="487"/>
      <c r="F69" s="81">
        <f>SUM(F3:F68)</f>
        <v>137253.93109999996</v>
      </c>
    </row>
    <row r="70" spans="1:9" x14ac:dyDescent="0.35">
      <c r="A70" s="485" t="s">
        <v>399</v>
      </c>
      <c r="B70" s="486"/>
      <c r="C70" s="486"/>
      <c r="D70" s="486"/>
      <c r="E70" s="487"/>
      <c r="F70" s="82">
        <f>F69/12</f>
        <v>11437.827591666663</v>
      </c>
    </row>
    <row r="72" spans="1:9" x14ac:dyDescent="0.35">
      <c r="A72" s="78" t="s">
        <v>377</v>
      </c>
      <c r="B72" s="481" t="s">
        <v>116</v>
      </c>
      <c r="C72" s="482"/>
      <c r="D72" s="78" t="s">
        <v>394</v>
      </c>
      <c r="E72" s="489" t="s">
        <v>395</v>
      </c>
      <c r="F72" s="489"/>
    </row>
    <row r="73" spans="1:9" x14ac:dyDescent="0.35">
      <c r="A73" s="79" t="s">
        <v>3</v>
      </c>
      <c r="B73" s="479" t="s">
        <v>393</v>
      </c>
      <c r="C73" s="480"/>
      <c r="D73" s="83">
        <v>0.03</v>
      </c>
      <c r="E73" s="488">
        <f>F69*D73</f>
        <v>4117.6179329999986</v>
      </c>
      <c r="F73" s="488"/>
    </row>
    <row r="74" spans="1:9" x14ac:dyDescent="0.35">
      <c r="A74" s="79" t="s">
        <v>5</v>
      </c>
      <c r="B74" s="479" t="s">
        <v>396</v>
      </c>
      <c r="C74" s="480"/>
      <c r="D74" s="80">
        <f>'Item 1.1 (Encarregado)'!G141</f>
        <v>0.14250000000000002</v>
      </c>
      <c r="E74" s="488">
        <f>(F69+E73)*D74</f>
        <v>20145.445737202495</v>
      </c>
      <c r="F74" s="488"/>
    </row>
    <row r="75" spans="1:9" x14ac:dyDescent="0.35">
      <c r="A75" s="483" t="s">
        <v>397</v>
      </c>
      <c r="B75" s="483"/>
      <c r="C75" s="483"/>
      <c r="D75" s="483"/>
      <c r="E75" s="490">
        <f>E76/12</f>
        <v>13459.749564183539</v>
      </c>
      <c r="F75" s="491"/>
      <c r="H75" s="175"/>
      <c r="I75" s="175"/>
    </row>
    <row r="76" spans="1:9" x14ac:dyDescent="0.35">
      <c r="A76" s="483" t="s">
        <v>322</v>
      </c>
      <c r="B76" s="483"/>
      <c r="C76" s="483"/>
      <c r="D76" s="483"/>
      <c r="E76" s="490">
        <f>F69+E73+E74</f>
        <v>161516.99477020247</v>
      </c>
      <c r="F76" s="491"/>
    </row>
    <row r="77" spans="1:9" x14ac:dyDescent="0.35">
      <c r="A77" s="483" t="s">
        <v>400</v>
      </c>
      <c r="B77" s="483"/>
      <c r="C77" s="483"/>
      <c r="D77" s="483"/>
      <c r="E77" s="490">
        <f>E76*2</f>
        <v>323033.98954040493</v>
      </c>
      <c r="F77" s="491"/>
    </row>
  </sheetData>
  <sheetProtection algorithmName="SHA-512" hashValue="aBbqMNAzteKFxOi2JqivCP2baSMgosBjbIiuhit1xTs62VbyjxFqBnUSdKkI0OUNDW7FAdIAR6dKb4hdXiX/DA==" saltValue="nm0srpMFM/ZaIQV8vC6Cmg==" spinCount="100000" sheet="1" objects="1" scenarios="1"/>
  <mergeCells count="15">
    <mergeCell ref="B73:C73"/>
    <mergeCell ref="B72:C72"/>
    <mergeCell ref="A75:D75"/>
    <mergeCell ref="A77:D77"/>
    <mergeCell ref="A1:F1"/>
    <mergeCell ref="A70:E70"/>
    <mergeCell ref="A69:E69"/>
    <mergeCell ref="E73:F73"/>
    <mergeCell ref="E72:F72"/>
    <mergeCell ref="E77:F77"/>
    <mergeCell ref="E76:F76"/>
    <mergeCell ref="E75:F75"/>
    <mergeCell ref="B74:C74"/>
    <mergeCell ref="E74:F74"/>
    <mergeCell ref="A76:D76"/>
  </mergeCells>
  <conditionalFormatting sqref="E75:F75">
    <cfRule type="cellIs" dxfId="0" priority="1" operator="greaterThan">
      <formula>13459.7495641835</formula>
    </cfRule>
  </conditionalFormatting>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CA24B6-3EF2-4268-B806-03AE415A8FB9}">
  <sheetPr>
    <tabColor theme="3" tint="0.59999389629810485"/>
  </sheetPr>
  <dimension ref="A1:L24"/>
  <sheetViews>
    <sheetView topLeftCell="A4" workbookViewId="0">
      <selection activeCell="L13" sqref="L10:L13"/>
    </sheetView>
  </sheetViews>
  <sheetFormatPr defaultRowHeight="14.5" x14ac:dyDescent="0.35"/>
  <cols>
    <col min="2" max="2" width="93.81640625" customWidth="1"/>
    <col min="3" max="3" width="15" bestFit="1" customWidth="1"/>
    <col min="4" max="4" width="19.81640625" customWidth="1"/>
    <col min="5" max="5" width="22.36328125" bestFit="1" customWidth="1"/>
    <col min="6" max="6" width="19.81640625" bestFit="1" customWidth="1"/>
    <col min="12" max="12" width="11.36328125" bestFit="1" customWidth="1"/>
  </cols>
  <sheetData>
    <row r="1" spans="1:12" x14ac:dyDescent="0.35">
      <c r="A1" s="495" t="s">
        <v>141</v>
      </c>
      <c r="B1" s="495"/>
      <c r="C1" s="495"/>
      <c r="D1" s="495"/>
      <c r="E1" s="495"/>
      <c r="F1" s="495"/>
    </row>
    <row r="2" spans="1:12" x14ac:dyDescent="0.35">
      <c r="A2" s="37" t="s">
        <v>142</v>
      </c>
      <c r="B2" s="38" t="s">
        <v>143</v>
      </c>
      <c r="C2" s="37" t="s">
        <v>144</v>
      </c>
      <c r="D2" s="37" t="s">
        <v>145</v>
      </c>
      <c r="E2" s="37" t="s">
        <v>146</v>
      </c>
      <c r="F2" s="37" t="s">
        <v>147</v>
      </c>
    </row>
    <row r="3" spans="1:12" x14ac:dyDescent="0.35">
      <c r="A3" s="39">
        <v>1</v>
      </c>
      <c r="B3" s="40" t="s">
        <v>148</v>
      </c>
      <c r="C3" s="39" t="s">
        <v>149</v>
      </c>
      <c r="D3" s="39">
        <v>1</v>
      </c>
      <c r="E3" s="64">
        <v>51.47</v>
      </c>
      <c r="F3" s="41">
        <f t="shared" ref="F3:F8" si="0">D3*E3</f>
        <v>51.47</v>
      </c>
    </row>
    <row r="4" spans="1:12" x14ac:dyDescent="0.35">
      <c r="A4" s="39">
        <v>2</v>
      </c>
      <c r="B4" s="40" t="s">
        <v>150</v>
      </c>
      <c r="C4" s="39" t="s">
        <v>149</v>
      </c>
      <c r="D4" s="39">
        <v>3</v>
      </c>
      <c r="E4" s="64">
        <v>80.25</v>
      </c>
      <c r="F4" s="41">
        <f t="shared" si="0"/>
        <v>240.75</v>
      </c>
    </row>
    <row r="5" spans="1:12" x14ac:dyDescent="0.35">
      <c r="A5" s="39">
        <v>3</v>
      </c>
      <c r="B5" s="40" t="s">
        <v>151</v>
      </c>
      <c r="C5" s="39" t="s">
        <v>149</v>
      </c>
      <c r="D5" s="39">
        <v>4</v>
      </c>
      <c r="E5" s="64">
        <v>80.150000000000006</v>
      </c>
      <c r="F5" s="41">
        <f t="shared" si="0"/>
        <v>320.60000000000002</v>
      </c>
    </row>
    <row r="6" spans="1:12" x14ac:dyDescent="0.35">
      <c r="A6" s="39">
        <v>4</v>
      </c>
      <c r="B6" s="40" t="s">
        <v>152</v>
      </c>
      <c r="C6" s="39" t="s">
        <v>153</v>
      </c>
      <c r="D6" s="39">
        <v>1</v>
      </c>
      <c r="E6" s="64">
        <v>2.78</v>
      </c>
      <c r="F6" s="41">
        <f t="shared" si="0"/>
        <v>2.78</v>
      </c>
    </row>
    <row r="7" spans="1:12" x14ac:dyDescent="0.35">
      <c r="A7" s="39">
        <v>5</v>
      </c>
      <c r="B7" s="40" t="s">
        <v>154</v>
      </c>
      <c r="C7" s="39" t="s">
        <v>155</v>
      </c>
      <c r="D7" s="39">
        <v>4</v>
      </c>
      <c r="E7" s="64">
        <v>12.164999999999999</v>
      </c>
      <c r="F7" s="41">
        <f t="shared" si="0"/>
        <v>48.66</v>
      </c>
    </row>
    <row r="8" spans="1:12" x14ac:dyDescent="0.35">
      <c r="A8" s="39">
        <v>6</v>
      </c>
      <c r="B8" s="40" t="s">
        <v>156</v>
      </c>
      <c r="C8" s="39" t="s">
        <v>155</v>
      </c>
      <c r="D8" s="39">
        <v>1</v>
      </c>
      <c r="E8" s="64">
        <v>90.57</v>
      </c>
      <c r="F8" s="41">
        <f t="shared" si="0"/>
        <v>90.57</v>
      </c>
    </row>
    <row r="9" spans="1:12" x14ac:dyDescent="0.35">
      <c r="A9" s="496" t="s">
        <v>157</v>
      </c>
      <c r="B9" s="496"/>
      <c r="C9" s="496"/>
      <c r="D9" s="496"/>
      <c r="E9" s="496"/>
      <c r="F9" s="42">
        <f>SUM(F3:F8)</f>
        <v>754.82999999999993</v>
      </c>
    </row>
    <row r="10" spans="1:12" x14ac:dyDescent="0.35">
      <c r="A10" s="497" t="s">
        <v>158</v>
      </c>
      <c r="B10" s="498"/>
      <c r="C10" s="498"/>
      <c r="D10" s="498"/>
      <c r="E10" s="499"/>
      <c r="F10" s="42">
        <f>F9/12</f>
        <v>62.902499999999996</v>
      </c>
    </row>
    <row r="11" spans="1:12" x14ac:dyDescent="0.35">
      <c r="A11" s="43"/>
      <c r="B11" s="43"/>
      <c r="C11" s="43"/>
      <c r="D11" s="43"/>
      <c r="E11" s="43"/>
      <c r="F11" s="43"/>
      <c r="L11" s="29"/>
    </row>
    <row r="12" spans="1:12" x14ac:dyDescent="0.35">
      <c r="A12" s="43"/>
      <c r="B12" s="43"/>
      <c r="C12" s="43"/>
      <c r="D12" s="43"/>
      <c r="E12" s="43"/>
      <c r="F12" s="43"/>
      <c r="L12" s="29"/>
    </row>
    <row r="13" spans="1:12" x14ac:dyDescent="0.35">
      <c r="A13" s="495" t="s">
        <v>159</v>
      </c>
      <c r="B13" s="495"/>
      <c r="C13" s="495"/>
      <c r="D13" s="495"/>
      <c r="E13" s="495"/>
      <c r="F13" s="495"/>
      <c r="L13" s="29"/>
    </row>
    <row r="14" spans="1:12" x14ac:dyDescent="0.35">
      <c r="A14" s="37" t="s">
        <v>142</v>
      </c>
      <c r="B14" s="38" t="s">
        <v>143</v>
      </c>
      <c r="C14" s="37" t="s">
        <v>144</v>
      </c>
      <c r="D14" s="37" t="s">
        <v>145</v>
      </c>
      <c r="E14" s="37" t="s">
        <v>146</v>
      </c>
      <c r="F14" s="37" t="s">
        <v>160</v>
      </c>
    </row>
    <row r="15" spans="1:12" x14ac:dyDescent="0.35">
      <c r="A15" s="39">
        <v>1</v>
      </c>
      <c r="B15" s="40" t="s">
        <v>148</v>
      </c>
      <c r="C15" s="39" t="s">
        <v>149</v>
      </c>
      <c r="D15" s="39">
        <v>1</v>
      </c>
      <c r="E15" s="64">
        <v>51.47</v>
      </c>
      <c r="F15" s="41">
        <f t="shared" ref="F15:F22" si="1">D15*E15</f>
        <v>51.47</v>
      </c>
    </row>
    <row r="16" spans="1:12" x14ac:dyDescent="0.35">
      <c r="A16" s="39">
        <v>2</v>
      </c>
      <c r="B16" s="40" t="s">
        <v>161</v>
      </c>
      <c r="C16" s="39" t="s">
        <v>149</v>
      </c>
      <c r="D16" s="39">
        <v>3</v>
      </c>
      <c r="E16" s="64">
        <v>80.25</v>
      </c>
      <c r="F16" s="41">
        <f t="shared" si="1"/>
        <v>240.75</v>
      </c>
    </row>
    <row r="17" spans="1:6" x14ac:dyDescent="0.35">
      <c r="A17" s="39">
        <v>3</v>
      </c>
      <c r="B17" s="40" t="s">
        <v>162</v>
      </c>
      <c r="C17" s="39" t="s">
        <v>149</v>
      </c>
      <c r="D17" s="39">
        <v>4</v>
      </c>
      <c r="E17" s="64">
        <v>19.408899999999999</v>
      </c>
      <c r="F17" s="41">
        <f t="shared" si="1"/>
        <v>77.635599999999997</v>
      </c>
    </row>
    <row r="18" spans="1:6" x14ac:dyDescent="0.35">
      <c r="A18" s="39">
        <v>4</v>
      </c>
      <c r="B18" s="40" t="s">
        <v>163</v>
      </c>
      <c r="C18" s="39" t="s">
        <v>149</v>
      </c>
      <c r="D18" s="39">
        <v>1</v>
      </c>
      <c r="E18" s="64">
        <v>31.043600000000001</v>
      </c>
      <c r="F18" s="41">
        <f t="shared" si="1"/>
        <v>31.043600000000001</v>
      </c>
    </row>
    <row r="19" spans="1:6" x14ac:dyDescent="0.35">
      <c r="A19" s="39">
        <v>5</v>
      </c>
      <c r="B19" s="40" t="s">
        <v>152</v>
      </c>
      <c r="C19" s="39" t="s">
        <v>153</v>
      </c>
      <c r="D19" s="39">
        <v>1</v>
      </c>
      <c r="E19" s="64">
        <v>2.78</v>
      </c>
      <c r="F19" s="41">
        <f t="shared" si="1"/>
        <v>2.78</v>
      </c>
    </row>
    <row r="20" spans="1:6" x14ac:dyDescent="0.35">
      <c r="A20" s="39">
        <v>6</v>
      </c>
      <c r="B20" s="40" t="s">
        <v>164</v>
      </c>
      <c r="C20" s="39" t="s">
        <v>149</v>
      </c>
      <c r="D20" s="39">
        <v>1</v>
      </c>
      <c r="E20" s="64">
        <v>3.35</v>
      </c>
      <c r="F20" s="41">
        <f t="shared" si="1"/>
        <v>3.35</v>
      </c>
    </row>
    <row r="21" spans="1:6" x14ac:dyDescent="0.35">
      <c r="A21" s="39">
        <v>9</v>
      </c>
      <c r="B21" s="40" t="s">
        <v>154</v>
      </c>
      <c r="C21" s="39" t="s">
        <v>155</v>
      </c>
      <c r="D21" s="39">
        <v>4</v>
      </c>
      <c r="E21" s="64">
        <v>12.164999999999999</v>
      </c>
      <c r="F21" s="41">
        <f t="shared" si="1"/>
        <v>48.66</v>
      </c>
    </row>
    <row r="22" spans="1:6" x14ac:dyDescent="0.35">
      <c r="A22" s="39">
        <v>10</v>
      </c>
      <c r="B22" s="40" t="s">
        <v>165</v>
      </c>
      <c r="C22" s="39" t="s">
        <v>155</v>
      </c>
      <c r="D22" s="39">
        <v>1</v>
      </c>
      <c r="E22" s="64">
        <v>42.8</v>
      </c>
      <c r="F22" s="41">
        <f t="shared" si="1"/>
        <v>42.8</v>
      </c>
    </row>
    <row r="23" spans="1:6" x14ac:dyDescent="0.35">
      <c r="A23" s="500" t="s">
        <v>166</v>
      </c>
      <c r="B23" s="500"/>
      <c r="C23" s="500"/>
      <c r="D23" s="500"/>
      <c r="E23" s="500"/>
      <c r="F23" s="44">
        <f>SUM(F15:F22)</f>
        <v>498.48920000000004</v>
      </c>
    </row>
    <row r="24" spans="1:6" x14ac:dyDescent="0.35">
      <c r="A24" s="492" t="s">
        <v>158</v>
      </c>
      <c r="B24" s="493"/>
      <c r="C24" s="493"/>
      <c r="D24" s="493"/>
      <c r="E24" s="494"/>
      <c r="F24" s="44">
        <f>F23/12</f>
        <v>41.54076666666667</v>
      </c>
    </row>
  </sheetData>
  <sheetProtection algorithmName="SHA-512" hashValue="ysFNxxhQp+P0uCKDy7S5z6KK55OKvQS0ANGaIdqUdqe8E+cRDMB9VWIyVP22hhj0HYFrPTSp9XzIh0py21Gr9Q==" saltValue="j9x9gybOedu3uce6O95YSw==" spinCount="100000" sheet="1" objects="1" scenarios="1"/>
  <mergeCells count="6">
    <mergeCell ref="A24:E24"/>
    <mergeCell ref="A1:F1"/>
    <mergeCell ref="A9:E9"/>
    <mergeCell ref="A10:E10"/>
    <mergeCell ref="A13:F13"/>
    <mergeCell ref="A23:E23"/>
  </mergeCells>
  <pageMargins left="0.511811024" right="0.511811024" top="0.78740157499999996" bottom="0.78740157499999996" header="0.31496062000000002" footer="0.31496062000000002"/>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B8E01C-A202-47FF-AE5D-8401CE0859DD}">
  <sheetPr>
    <tabColor theme="3" tint="0.59999389629810485"/>
  </sheetPr>
  <dimension ref="A1:M89"/>
  <sheetViews>
    <sheetView zoomScaleNormal="100" workbookViewId="0">
      <selection activeCell="H88" sqref="H88"/>
    </sheetView>
  </sheetViews>
  <sheetFormatPr defaultRowHeight="14.5" x14ac:dyDescent="0.35"/>
  <cols>
    <col min="2" max="2" width="93.81640625" customWidth="1"/>
    <col min="3" max="3" width="15.6328125" bestFit="1" customWidth="1"/>
    <col min="4" max="4" width="11.81640625" customWidth="1"/>
    <col min="5" max="5" width="12.08984375" bestFit="1" customWidth="1"/>
    <col min="6" max="6" width="14.7265625" bestFit="1" customWidth="1"/>
    <col min="7" max="7" width="11.81640625" bestFit="1" customWidth="1"/>
    <col min="8" max="8" width="16.453125" bestFit="1" customWidth="1"/>
    <col min="9" max="9" width="9.7265625" bestFit="1" customWidth="1"/>
    <col min="10" max="10" width="10.08984375" bestFit="1" customWidth="1"/>
    <col min="11" max="12" width="9.7265625" bestFit="1" customWidth="1"/>
  </cols>
  <sheetData>
    <row r="1" spans="1:9" x14ac:dyDescent="0.35">
      <c r="A1" s="504" t="s">
        <v>540</v>
      </c>
      <c r="B1" s="504"/>
      <c r="C1" s="504"/>
      <c r="D1" s="504"/>
      <c r="E1" s="504"/>
      <c r="F1" s="504"/>
      <c r="G1" s="504"/>
      <c r="H1" s="504"/>
    </row>
    <row r="2" spans="1:9" x14ac:dyDescent="0.35">
      <c r="A2" s="59" t="s">
        <v>377</v>
      </c>
      <c r="B2" s="60" t="s">
        <v>407</v>
      </c>
      <c r="C2" s="59" t="s">
        <v>380</v>
      </c>
      <c r="D2" s="59" t="s">
        <v>327</v>
      </c>
      <c r="E2" s="59" t="s">
        <v>414</v>
      </c>
      <c r="F2" s="59" t="s">
        <v>415</v>
      </c>
      <c r="G2" s="59" t="s">
        <v>381</v>
      </c>
      <c r="H2" s="45" t="s">
        <v>416</v>
      </c>
    </row>
    <row r="3" spans="1:9" x14ac:dyDescent="0.35">
      <c r="A3" s="33">
        <v>1</v>
      </c>
      <c r="B3" s="4" t="s">
        <v>365</v>
      </c>
      <c r="C3" s="33" t="s">
        <v>153</v>
      </c>
      <c r="D3" s="33">
        <v>3</v>
      </c>
      <c r="E3" s="46">
        <v>0.1</v>
      </c>
      <c r="F3" s="47">
        <v>10</v>
      </c>
      <c r="G3" s="65">
        <v>224</v>
      </c>
      <c r="H3" s="34">
        <f t="shared" ref="H3:H42" si="0">((D3*G3)-(D3*G3*E3))/(F3*12)</f>
        <v>5.04</v>
      </c>
      <c r="I3" s="29"/>
    </row>
    <row r="4" spans="1:9" x14ac:dyDescent="0.35">
      <c r="A4" s="33">
        <v>2</v>
      </c>
      <c r="B4" s="4" t="s">
        <v>172</v>
      </c>
      <c r="C4" s="33" t="s">
        <v>153</v>
      </c>
      <c r="D4" s="33">
        <v>6</v>
      </c>
      <c r="E4" s="46">
        <v>0.1</v>
      </c>
      <c r="F4" s="47">
        <v>10</v>
      </c>
      <c r="G4" s="65">
        <v>271.3</v>
      </c>
      <c r="H4" s="34">
        <f t="shared" si="0"/>
        <v>12.208500000000003</v>
      </c>
      <c r="I4" s="29"/>
    </row>
    <row r="5" spans="1:9" x14ac:dyDescent="0.35">
      <c r="A5" s="156">
        <v>3</v>
      </c>
      <c r="B5" s="4" t="s">
        <v>173</v>
      </c>
      <c r="C5" s="33" t="s">
        <v>153</v>
      </c>
      <c r="D5" s="33">
        <v>6</v>
      </c>
      <c r="E5" s="46">
        <v>0.1</v>
      </c>
      <c r="F5" s="47">
        <v>10</v>
      </c>
      <c r="G5" s="65">
        <v>1.89</v>
      </c>
      <c r="H5" s="34">
        <f t="shared" si="0"/>
        <v>8.5050000000000001E-2</v>
      </c>
      <c r="I5" s="29"/>
    </row>
    <row r="6" spans="1:9" x14ac:dyDescent="0.35">
      <c r="A6" s="156">
        <v>4</v>
      </c>
      <c r="B6" s="4" t="s">
        <v>174</v>
      </c>
      <c r="C6" s="33" t="s">
        <v>153</v>
      </c>
      <c r="D6" s="33">
        <v>5</v>
      </c>
      <c r="E6" s="46">
        <v>0.1</v>
      </c>
      <c r="F6" s="47">
        <v>10</v>
      </c>
      <c r="G6" s="65">
        <v>428.11750000000001</v>
      </c>
      <c r="H6" s="34">
        <f t="shared" si="0"/>
        <v>16.05440625</v>
      </c>
    </row>
    <row r="7" spans="1:9" x14ac:dyDescent="0.35">
      <c r="A7" s="156">
        <v>5</v>
      </c>
      <c r="B7" s="4" t="s">
        <v>363</v>
      </c>
      <c r="C7" s="33" t="s">
        <v>153</v>
      </c>
      <c r="D7" s="33">
        <v>4</v>
      </c>
      <c r="E7" s="46">
        <v>0.1</v>
      </c>
      <c r="F7" s="47">
        <v>10</v>
      </c>
      <c r="G7" s="65">
        <v>214.46</v>
      </c>
      <c r="H7" s="34">
        <f t="shared" si="0"/>
        <v>6.4338000000000006</v>
      </c>
    </row>
    <row r="8" spans="1:9" ht="26" x14ac:dyDescent="0.35">
      <c r="A8" s="156">
        <v>6</v>
      </c>
      <c r="B8" s="4" t="s">
        <v>364</v>
      </c>
      <c r="C8" s="33" t="s">
        <v>153</v>
      </c>
      <c r="D8" s="33">
        <v>16</v>
      </c>
      <c r="E8" s="46">
        <v>0.1</v>
      </c>
      <c r="F8" s="47">
        <v>10</v>
      </c>
      <c r="G8" s="65">
        <v>937.69449999999995</v>
      </c>
      <c r="H8" s="34">
        <f t="shared" si="0"/>
        <v>112.52333999999999</v>
      </c>
    </row>
    <row r="9" spans="1:9" x14ac:dyDescent="0.35">
      <c r="A9" s="156">
        <v>7</v>
      </c>
      <c r="B9" s="4" t="s">
        <v>366</v>
      </c>
      <c r="C9" s="33" t="s">
        <v>153</v>
      </c>
      <c r="D9" s="33">
        <v>3</v>
      </c>
      <c r="E9" s="46">
        <v>0.1</v>
      </c>
      <c r="F9" s="47">
        <v>10</v>
      </c>
      <c r="G9" s="65">
        <v>49.4</v>
      </c>
      <c r="H9" s="34">
        <f t="shared" si="0"/>
        <v>1.1114999999999999</v>
      </c>
    </row>
    <row r="10" spans="1:9" x14ac:dyDescent="0.35">
      <c r="A10" s="156">
        <v>8</v>
      </c>
      <c r="B10" s="4" t="s">
        <v>367</v>
      </c>
      <c r="C10" s="33" t="s">
        <v>153</v>
      </c>
      <c r="D10" s="33">
        <v>3</v>
      </c>
      <c r="E10" s="46">
        <v>0.1</v>
      </c>
      <c r="F10" s="47">
        <v>10</v>
      </c>
      <c r="G10" s="65">
        <v>176.49</v>
      </c>
      <c r="H10" s="34">
        <f t="shared" si="0"/>
        <v>3.971025</v>
      </c>
    </row>
    <row r="11" spans="1:9" x14ac:dyDescent="0.35">
      <c r="A11" s="156">
        <v>9</v>
      </c>
      <c r="B11" s="4" t="s">
        <v>175</v>
      </c>
      <c r="C11" s="33" t="s">
        <v>153</v>
      </c>
      <c r="D11" s="33">
        <v>3</v>
      </c>
      <c r="E11" s="46">
        <v>0.1</v>
      </c>
      <c r="F11" s="47">
        <v>10</v>
      </c>
      <c r="G11" s="65">
        <v>827.93</v>
      </c>
      <c r="H11" s="34">
        <f t="shared" si="0"/>
        <v>18.628425</v>
      </c>
    </row>
    <row r="12" spans="1:9" x14ac:dyDescent="0.35">
      <c r="A12" s="156">
        <v>10</v>
      </c>
      <c r="B12" s="4" t="s">
        <v>176</v>
      </c>
      <c r="C12" s="33" t="s">
        <v>153</v>
      </c>
      <c r="D12" s="33">
        <v>5</v>
      </c>
      <c r="E12" s="46">
        <v>0.1</v>
      </c>
      <c r="F12" s="47">
        <v>10</v>
      </c>
      <c r="G12" s="65">
        <v>3.77</v>
      </c>
      <c r="H12" s="34">
        <f t="shared" si="0"/>
        <v>0.141375</v>
      </c>
    </row>
    <row r="13" spans="1:9" x14ac:dyDescent="0.35">
      <c r="A13" s="156">
        <v>11</v>
      </c>
      <c r="B13" s="4" t="s">
        <v>177</v>
      </c>
      <c r="C13" s="33" t="s">
        <v>153</v>
      </c>
      <c r="D13" s="33">
        <v>5</v>
      </c>
      <c r="E13" s="46">
        <v>0.1</v>
      </c>
      <c r="F13" s="47">
        <v>10</v>
      </c>
      <c r="G13" s="65">
        <v>6.75</v>
      </c>
      <c r="H13" s="34">
        <f t="shared" si="0"/>
        <v>0.25312499999999999</v>
      </c>
    </row>
    <row r="14" spans="1:9" x14ac:dyDescent="0.35">
      <c r="A14" s="156">
        <v>12</v>
      </c>
      <c r="B14" s="4" t="s">
        <v>178</v>
      </c>
      <c r="C14" s="33" t="s">
        <v>153</v>
      </c>
      <c r="D14" s="33">
        <v>4</v>
      </c>
      <c r="E14" s="46">
        <v>0.1</v>
      </c>
      <c r="F14" s="47">
        <v>10</v>
      </c>
      <c r="G14" s="65">
        <v>2574</v>
      </c>
      <c r="H14" s="34">
        <f t="shared" si="0"/>
        <v>77.22</v>
      </c>
    </row>
    <row r="15" spans="1:9" x14ac:dyDescent="0.35">
      <c r="A15" s="156">
        <v>13</v>
      </c>
      <c r="B15" s="4" t="s">
        <v>179</v>
      </c>
      <c r="C15" s="33" t="s">
        <v>153</v>
      </c>
      <c r="D15" s="33">
        <v>3</v>
      </c>
      <c r="E15" s="46">
        <v>0.1</v>
      </c>
      <c r="F15" s="47">
        <v>10</v>
      </c>
      <c r="G15" s="65">
        <v>42.19</v>
      </c>
      <c r="H15" s="34">
        <f t="shared" si="0"/>
        <v>0.94927499999999998</v>
      </c>
    </row>
    <row r="16" spans="1:9" x14ac:dyDescent="0.35">
      <c r="A16" s="156">
        <v>14</v>
      </c>
      <c r="B16" s="4" t="s">
        <v>180</v>
      </c>
      <c r="C16" s="33" t="s">
        <v>153</v>
      </c>
      <c r="D16" s="33">
        <v>6</v>
      </c>
      <c r="E16" s="46">
        <v>0.1</v>
      </c>
      <c r="F16" s="47">
        <v>10</v>
      </c>
      <c r="G16" s="65">
        <v>199.84</v>
      </c>
      <c r="H16" s="34">
        <f t="shared" si="0"/>
        <v>8.992799999999999</v>
      </c>
    </row>
    <row r="17" spans="1:8" x14ac:dyDescent="0.35">
      <c r="A17" s="156">
        <v>15</v>
      </c>
      <c r="B17" s="48" t="s">
        <v>181</v>
      </c>
      <c r="C17" s="47" t="s">
        <v>153</v>
      </c>
      <c r="D17" s="47">
        <v>2</v>
      </c>
      <c r="E17" s="49">
        <v>0.1</v>
      </c>
      <c r="F17" s="50">
        <v>10</v>
      </c>
      <c r="G17" s="65">
        <v>314.2475</v>
      </c>
      <c r="H17" s="34">
        <f t="shared" si="0"/>
        <v>4.7137124999999997</v>
      </c>
    </row>
    <row r="18" spans="1:8" x14ac:dyDescent="0.35">
      <c r="A18" s="156">
        <v>16</v>
      </c>
      <c r="B18" s="4" t="s">
        <v>401</v>
      </c>
      <c r="C18" s="70" t="s">
        <v>153</v>
      </c>
      <c r="D18" s="70">
        <v>6</v>
      </c>
      <c r="E18" s="46">
        <v>0.1</v>
      </c>
      <c r="F18" s="47">
        <v>10</v>
      </c>
      <c r="G18" s="65">
        <v>11.59</v>
      </c>
      <c r="H18" s="34">
        <f t="shared" si="0"/>
        <v>0.52154999999999996</v>
      </c>
    </row>
    <row r="19" spans="1:8" x14ac:dyDescent="0.35">
      <c r="A19" s="156">
        <v>17</v>
      </c>
      <c r="B19" s="4" t="s">
        <v>368</v>
      </c>
      <c r="C19" s="33" t="s">
        <v>153</v>
      </c>
      <c r="D19" s="33">
        <v>3</v>
      </c>
      <c r="E19" s="46">
        <v>0.1</v>
      </c>
      <c r="F19" s="47">
        <v>10</v>
      </c>
      <c r="G19" s="65">
        <v>34</v>
      </c>
      <c r="H19" s="34">
        <f t="shared" si="0"/>
        <v>0.76500000000000001</v>
      </c>
    </row>
    <row r="20" spans="1:8" x14ac:dyDescent="0.35">
      <c r="A20" s="156">
        <v>18</v>
      </c>
      <c r="B20" s="4" t="s">
        <v>182</v>
      </c>
      <c r="C20" s="33" t="s">
        <v>153</v>
      </c>
      <c r="D20" s="33">
        <v>3</v>
      </c>
      <c r="E20" s="46">
        <v>0.1</v>
      </c>
      <c r="F20" s="47">
        <v>10</v>
      </c>
      <c r="G20" s="65">
        <v>544.5</v>
      </c>
      <c r="H20" s="34">
        <f t="shared" si="0"/>
        <v>12.251250000000001</v>
      </c>
    </row>
    <row r="21" spans="1:8" ht="26" x14ac:dyDescent="0.35">
      <c r="A21" s="156">
        <v>19</v>
      </c>
      <c r="B21" s="4" t="s">
        <v>369</v>
      </c>
      <c r="C21" s="33" t="s">
        <v>153</v>
      </c>
      <c r="D21" s="33">
        <v>3</v>
      </c>
      <c r="E21" s="46">
        <v>0.1</v>
      </c>
      <c r="F21" s="47">
        <v>10</v>
      </c>
      <c r="G21" s="65">
        <v>1973.14</v>
      </c>
      <c r="H21" s="34">
        <f t="shared" si="0"/>
        <v>44.395650000000003</v>
      </c>
    </row>
    <row r="22" spans="1:8" x14ac:dyDescent="0.35">
      <c r="A22" s="156">
        <v>20</v>
      </c>
      <c r="B22" s="33" t="s">
        <v>370</v>
      </c>
      <c r="C22" s="33" t="s">
        <v>153</v>
      </c>
      <c r="D22" s="33">
        <v>79</v>
      </c>
      <c r="E22" s="46">
        <v>0.1</v>
      </c>
      <c r="F22" s="47">
        <v>10</v>
      </c>
      <c r="G22" s="65">
        <v>18.95</v>
      </c>
      <c r="H22" s="34">
        <f t="shared" si="0"/>
        <v>11.227875000000001</v>
      </c>
    </row>
    <row r="23" spans="1:8" x14ac:dyDescent="0.35">
      <c r="A23" s="156">
        <v>21</v>
      </c>
      <c r="B23" s="33" t="s">
        <v>183</v>
      </c>
      <c r="C23" s="33" t="s">
        <v>153</v>
      </c>
      <c r="D23" s="33">
        <v>12</v>
      </c>
      <c r="E23" s="46">
        <v>0.1</v>
      </c>
      <c r="F23" s="47">
        <v>10</v>
      </c>
      <c r="G23" s="65">
        <v>105.33499999999999</v>
      </c>
      <c r="H23" s="34">
        <f t="shared" si="0"/>
        <v>9.4801500000000001</v>
      </c>
    </row>
    <row r="24" spans="1:8" x14ac:dyDescent="0.35">
      <c r="A24" s="156">
        <v>22</v>
      </c>
      <c r="B24" s="33" t="s">
        <v>184</v>
      </c>
      <c r="C24" s="33" t="s">
        <v>153</v>
      </c>
      <c r="D24" s="33">
        <v>6</v>
      </c>
      <c r="E24" s="46">
        <v>0.1</v>
      </c>
      <c r="F24" s="47">
        <v>10</v>
      </c>
      <c r="G24" s="65">
        <v>204.68</v>
      </c>
      <c r="H24" s="34">
        <f t="shared" si="0"/>
        <v>9.2105999999999995</v>
      </c>
    </row>
    <row r="25" spans="1:8" x14ac:dyDescent="0.35">
      <c r="A25" s="156">
        <v>23</v>
      </c>
      <c r="B25" s="4" t="s">
        <v>185</v>
      </c>
      <c r="C25" s="33" t="s">
        <v>153</v>
      </c>
      <c r="D25" s="33">
        <v>6</v>
      </c>
      <c r="E25" s="46">
        <v>0.1</v>
      </c>
      <c r="F25" s="47">
        <v>10</v>
      </c>
      <c r="G25" s="65">
        <v>30.09</v>
      </c>
      <c r="H25" s="34">
        <f t="shared" si="0"/>
        <v>1.35405</v>
      </c>
    </row>
    <row r="26" spans="1:8" x14ac:dyDescent="0.35">
      <c r="A26" s="156">
        <v>24</v>
      </c>
      <c r="B26" s="33" t="s">
        <v>186</v>
      </c>
      <c r="C26" s="33" t="s">
        <v>153</v>
      </c>
      <c r="D26" s="33">
        <v>20</v>
      </c>
      <c r="E26" s="46">
        <v>0.1</v>
      </c>
      <c r="F26" s="47">
        <v>10</v>
      </c>
      <c r="G26" s="65">
        <v>35.746400000000001</v>
      </c>
      <c r="H26" s="34">
        <f t="shared" si="0"/>
        <v>5.3619599999999998</v>
      </c>
    </row>
    <row r="27" spans="1:8" x14ac:dyDescent="0.35">
      <c r="A27" s="156">
        <v>25</v>
      </c>
      <c r="B27" s="4" t="s">
        <v>192</v>
      </c>
      <c r="C27" s="33" t="s">
        <v>153</v>
      </c>
      <c r="D27" s="33">
        <v>10</v>
      </c>
      <c r="E27" s="46">
        <v>0.1</v>
      </c>
      <c r="F27" s="47">
        <v>10</v>
      </c>
      <c r="G27" s="65">
        <v>3.84</v>
      </c>
      <c r="H27" s="34">
        <f t="shared" si="0"/>
        <v>0.28800000000000003</v>
      </c>
    </row>
    <row r="28" spans="1:8" x14ac:dyDescent="0.35">
      <c r="A28" s="156">
        <v>26</v>
      </c>
      <c r="B28" s="4" t="s">
        <v>371</v>
      </c>
      <c r="C28" s="33" t="s">
        <v>153</v>
      </c>
      <c r="D28" s="33">
        <v>5</v>
      </c>
      <c r="E28" s="46">
        <v>0.1</v>
      </c>
      <c r="F28" s="47">
        <v>10</v>
      </c>
      <c r="G28" s="65">
        <v>3.375</v>
      </c>
      <c r="H28" s="34">
        <f t="shared" si="0"/>
        <v>0.12656249999999999</v>
      </c>
    </row>
    <row r="29" spans="1:8" x14ac:dyDescent="0.35">
      <c r="A29" s="156">
        <v>27</v>
      </c>
      <c r="B29" s="70" t="s">
        <v>187</v>
      </c>
      <c r="C29" s="33" t="s">
        <v>153</v>
      </c>
      <c r="D29" s="33">
        <v>68</v>
      </c>
      <c r="E29" s="46">
        <v>0.1</v>
      </c>
      <c r="F29" s="47">
        <v>10</v>
      </c>
      <c r="G29" s="65">
        <v>32.019799999999996</v>
      </c>
      <c r="H29" s="34">
        <f t="shared" si="0"/>
        <v>16.330098</v>
      </c>
    </row>
    <row r="30" spans="1:8" x14ac:dyDescent="0.35">
      <c r="A30" s="156">
        <v>28</v>
      </c>
      <c r="B30" s="33" t="s">
        <v>188</v>
      </c>
      <c r="C30" s="33" t="s">
        <v>153</v>
      </c>
      <c r="D30" s="33">
        <v>68</v>
      </c>
      <c r="E30" s="46">
        <v>0.1</v>
      </c>
      <c r="F30" s="47">
        <v>10</v>
      </c>
      <c r="G30" s="65">
        <v>24.3</v>
      </c>
      <c r="H30" s="34">
        <f t="shared" si="0"/>
        <v>12.393000000000001</v>
      </c>
    </row>
    <row r="31" spans="1:8" x14ac:dyDescent="0.35">
      <c r="A31" s="156">
        <v>29</v>
      </c>
      <c r="B31" s="58" t="s">
        <v>373</v>
      </c>
      <c r="C31" s="33" t="s">
        <v>153</v>
      </c>
      <c r="D31" s="33">
        <v>74</v>
      </c>
      <c r="E31" s="46">
        <v>0.1</v>
      </c>
      <c r="F31" s="47">
        <v>10</v>
      </c>
      <c r="G31" s="65">
        <v>21.95</v>
      </c>
      <c r="H31" s="34">
        <f t="shared" si="0"/>
        <v>12.18225</v>
      </c>
    </row>
    <row r="32" spans="1:8" x14ac:dyDescent="0.35">
      <c r="A32" s="156">
        <v>30</v>
      </c>
      <c r="B32" s="4" t="s">
        <v>190</v>
      </c>
      <c r="C32" s="33" t="s">
        <v>153</v>
      </c>
      <c r="D32" s="33">
        <v>1</v>
      </c>
      <c r="E32" s="46">
        <v>0.1</v>
      </c>
      <c r="F32" s="47">
        <v>10</v>
      </c>
      <c r="G32" s="65">
        <v>354</v>
      </c>
      <c r="H32" s="34">
        <f t="shared" si="0"/>
        <v>2.6550000000000002</v>
      </c>
    </row>
    <row r="33" spans="1:12" x14ac:dyDescent="0.35">
      <c r="A33" s="156">
        <v>31</v>
      </c>
      <c r="B33" s="70" t="s">
        <v>191</v>
      </c>
      <c r="C33" s="33" t="s">
        <v>153</v>
      </c>
      <c r="D33" s="33">
        <v>1</v>
      </c>
      <c r="E33" s="46">
        <v>0.1</v>
      </c>
      <c r="F33" s="47">
        <v>10</v>
      </c>
      <c r="G33" s="65">
        <v>26.5</v>
      </c>
      <c r="H33" s="34">
        <f t="shared" si="0"/>
        <v>0.19875000000000001</v>
      </c>
    </row>
    <row r="34" spans="1:12" x14ac:dyDescent="0.35">
      <c r="A34" s="156">
        <v>32</v>
      </c>
      <c r="B34" s="58" t="s">
        <v>193</v>
      </c>
      <c r="C34" s="33" t="s">
        <v>153</v>
      </c>
      <c r="D34" s="33">
        <v>4</v>
      </c>
      <c r="E34" s="46">
        <v>0.1</v>
      </c>
      <c r="F34" s="47">
        <v>10</v>
      </c>
      <c r="G34" s="65">
        <v>24.24</v>
      </c>
      <c r="H34" s="34">
        <f t="shared" si="0"/>
        <v>0.72719999999999996</v>
      </c>
    </row>
    <row r="35" spans="1:12" x14ac:dyDescent="0.35">
      <c r="A35" s="156">
        <v>33</v>
      </c>
      <c r="B35" s="4" t="s">
        <v>372</v>
      </c>
      <c r="C35" s="33" t="s">
        <v>153</v>
      </c>
      <c r="D35" s="33">
        <v>1</v>
      </c>
      <c r="E35" s="46">
        <v>0.1</v>
      </c>
      <c r="F35" s="47">
        <v>5</v>
      </c>
      <c r="G35" s="65">
        <v>1446.41</v>
      </c>
      <c r="H35" s="34">
        <f t="shared" si="0"/>
        <v>21.696149999999999</v>
      </c>
    </row>
    <row r="36" spans="1:12" x14ac:dyDescent="0.35">
      <c r="A36" s="156">
        <v>34</v>
      </c>
      <c r="B36" s="4" t="s">
        <v>402</v>
      </c>
      <c r="C36" s="33" t="s">
        <v>153</v>
      </c>
      <c r="D36" s="33">
        <v>2</v>
      </c>
      <c r="E36" s="46">
        <v>0.1</v>
      </c>
      <c r="F36" s="47">
        <v>10</v>
      </c>
      <c r="G36" s="65">
        <v>724.99</v>
      </c>
      <c r="H36" s="34">
        <f t="shared" si="0"/>
        <v>10.87485</v>
      </c>
    </row>
    <row r="37" spans="1:12" x14ac:dyDescent="0.35">
      <c r="A37" s="156">
        <v>35</v>
      </c>
      <c r="B37" s="33" t="s">
        <v>194</v>
      </c>
      <c r="C37" s="33" t="s">
        <v>153</v>
      </c>
      <c r="D37" s="33">
        <v>18</v>
      </c>
      <c r="E37" s="46">
        <v>0.1</v>
      </c>
      <c r="F37" s="47">
        <v>10</v>
      </c>
      <c r="G37" s="65">
        <v>25</v>
      </c>
      <c r="H37" s="34">
        <f t="shared" si="0"/>
        <v>3.375</v>
      </c>
    </row>
    <row r="38" spans="1:12" x14ac:dyDescent="0.35">
      <c r="A38" s="156">
        <v>36</v>
      </c>
      <c r="B38" s="4" t="s">
        <v>195</v>
      </c>
      <c r="C38" s="33" t="s">
        <v>153</v>
      </c>
      <c r="D38" s="33">
        <v>6</v>
      </c>
      <c r="E38" s="46">
        <v>0.1</v>
      </c>
      <c r="F38" s="47">
        <v>10</v>
      </c>
      <c r="G38" s="65">
        <v>24.99</v>
      </c>
      <c r="H38" s="34">
        <f t="shared" si="0"/>
        <v>1.1245499999999999</v>
      </c>
    </row>
    <row r="39" spans="1:12" x14ac:dyDescent="0.35">
      <c r="A39" s="156">
        <v>37</v>
      </c>
      <c r="B39" s="4" t="s">
        <v>374</v>
      </c>
      <c r="C39" s="33" t="s">
        <v>153</v>
      </c>
      <c r="D39" s="33">
        <v>19</v>
      </c>
      <c r="E39" s="46">
        <v>0.1</v>
      </c>
      <c r="F39" s="47">
        <v>10</v>
      </c>
      <c r="G39" s="65">
        <v>37.909999999999997</v>
      </c>
      <c r="H39" s="34">
        <f t="shared" si="0"/>
        <v>5.4021749999999997</v>
      </c>
    </row>
    <row r="40" spans="1:12" x14ac:dyDescent="0.35">
      <c r="A40" s="156">
        <v>38</v>
      </c>
      <c r="B40" s="4" t="s">
        <v>196</v>
      </c>
      <c r="C40" s="33" t="s">
        <v>153</v>
      </c>
      <c r="D40" s="33">
        <v>7</v>
      </c>
      <c r="E40" s="46">
        <v>0.1</v>
      </c>
      <c r="F40" s="47">
        <v>10</v>
      </c>
      <c r="G40" s="65">
        <v>30.924700000000001</v>
      </c>
      <c r="H40" s="34">
        <f t="shared" si="0"/>
        <v>1.62354675</v>
      </c>
    </row>
    <row r="41" spans="1:12" x14ac:dyDescent="0.35">
      <c r="A41" s="156">
        <v>39</v>
      </c>
      <c r="B41" s="4" t="s">
        <v>197</v>
      </c>
      <c r="C41" s="33" t="s">
        <v>153</v>
      </c>
      <c r="D41" s="33">
        <v>5</v>
      </c>
      <c r="E41" s="46">
        <v>0.1</v>
      </c>
      <c r="F41" s="47">
        <v>10</v>
      </c>
      <c r="G41" s="65">
        <v>45.456299999999999</v>
      </c>
      <c r="H41" s="34">
        <f t="shared" si="0"/>
        <v>1.7046112499999999</v>
      </c>
    </row>
    <row r="42" spans="1:12" x14ac:dyDescent="0.35">
      <c r="A42" s="156">
        <v>40</v>
      </c>
      <c r="B42" s="4" t="s">
        <v>198</v>
      </c>
      <c r="C42" s="33" t="s">
        <v>153</v>
      </c>
      <c r="D42" s="33">
        <v>18</v>
      </c>
      <c r="E42" s="46">
        <v>0.1</v>
      </c>
      <c r="F42" s="47">
        <v>10</v>
      </c>
      <c r="G42" s="65">
        <v>20</v>
      </c>
      <c r="H42" s="34">
        <f t="shared" si="0"/>
        <v>2.7</v>
      </c>
    </row>
    <row r="43" spans="1:12" x14ac:dyDescent="0.35">
      <c r="A43" s="506" t="s">
        <v>417</v>
      </c>
      <c r="B43" s="506"/>
      <c r="C43" s="506"/>
      <c r="D43" s="506"/>
      <c r="E43" s="506"/>
      <c r="F43" s="506"/>
      <c r="G43" s="506"/>
      <c r="H43" s="63">
        <f>SUM(H3:H42)</f>
        <v>456.2961622499999</v>
      </c>
    </row>
    <row r="45" spans="1:12" x14ac:dyDescent="0.35">
      <c r="A45" s="504" t="s">
        <v>356</v>
      </c>
      <c r="B45" s="504"/>
      <c r="C45" s="504"/>
      <c r="D45" s="504"/>
      <c r="E45" s="504"/>
      <c r="F45" s="504"/>
      <c r="G45" s="504"/>
      <c r="H45" s="504"/>
      <c r="I45" s="504"/>
      <c r="J45" s="504"/>
      <c r="K45" s="504"/>
      <c r="L45" s="504"/>
    </row>
    <row r="46" spans="1:12" x14ac:dyDescent="0.35">
      <c r="A46" s="504" t="s">
        <v>377</v>
      </c>
      <c r="B46" s="505" t="s">
        <v>407</v>
      </c>
      <c r="C46" s="505" t="s">
        <v>380</v>
      </c>
      <c r="D46" s="507" t="s">
        <v>419</v>
      </c>
      <c r="E46" s="502" t="s">
        <v>168</v>
      </c>
      <c r="F46" s="503"/>
      <c r="G46" s="502" t="s">
        <v>169</v>
      </c>
      <c r="H46" s="503"/>
      <c r="I46" s="502" t="s">
        <v>170</v>
      </c>
      <c r="J46" s="503"/>
      <c r="K46" s="502" t="s">
        <v>171</v>
      </c>
      <c r="L46" s="503"/>
    </row>
    <row r="47" spans="1:12" x14ac:dyDescent="0.35">
      <c r="A47" s="504"/>
      <c r="B47" s="505"/>
      <c r="C47" s="505"/>
      <c r="D47" s="508"/>
      <c r="E47" s="72" t="s">
        <v>327</v>
      </c>
      <c r="F47" s="45" t="s">
        <v>39</v>
      </c>
      <c r="G47" s="72" t="s">
        <v>327</v>
      </c>
      <c r="H47" s="45" t="s">
        <v>39</v>
      </c>
      <c r="I47" s="72" t="s">
        <v>327</v>
      </c>
      <c r="J47" s="45" t="s">
        <v>39</v>
      </c>
      <c r="K47" s="72" t="s">
        <v>327</v>
      </c>
      <c r="L47" s="45" t="s">
        <v>39</v>
      </c>
    </row>
    <row r="48" spans="1:12" x14ac:dyDescent="0.35">
      <c r="A48" s="70">
        <v>1</v>
      </c>
      <c r="B48" s="4" t="s">
        <v>365</v>
      </c>
      <c r="C48" s="70" t="s">
        <v>153</v>
      </c>
      <c r="D48" s="71">
        <f>((G3)-(G3*E3))/(F3*12)</f>
        <v>1.68</v>
      </c>
      <c r="E48" s="70">
        <v>1</v>
      </c>
      <c r="F48" s="71">
        <f>D48*E48</f>
        <v>1.68</v>
      </c>
      <c r="G48" s="70">
        <v>0</v>
      </c>
      <c r="H48" s="71">
        <f>D48*G48</f>
        <v>0</v>
      </c>
      <c r="I48" s="70">
        <v>1</v>
      </c>
      <c r="J48" s="71">
        <f>D48*I48</f>
        <v>1.68</v>
      </c>
      <c r="K48" s="70">
        <v>1</v>
      </c>
      <c r="L48" s="71">
        <f>D48*K48</f>
        <v>1.68</v>
      </c>
    </row>
    <row r="49" spans="1:12" x14ac:dyDescent="0.35">
      <c r="A49" s="70">
        <v>2</v>
      </c>
      <c r="B49" s="4" t="s">
        <v>172</v>
      </c>
      <c r="C49" s="70" t="s">
        <v>153</v>
      </c>
      <c r="D49" s="71">
        <f t="shared" ref="D49:D87" si="1">((G4)-(G4*E4))/(F4*12)</f>
        <v>2.0347500000000003</v>
      </c>
      <c r="E49" s="70">
        <v>3</v>
      </c>
      <c r="F49" s="71">
        <f t="shared" ref="F49:F87" si="2">D49*E49</f>
        <v>6.1042500000000004</v>
      </c>
      <c r="G49" s="70">
        <v>1</v>
      </c>
      <c r="H49" s="71">
        <f t="shared" ref="H49:H87" si="3">D49*G49</f>
        <v>2.0347500000000003</v>
      </c>
      <c r="I49" s="70">
        <v>1</v>
      </c>
      <c r="J49" s="71">
        <f t="shared" ref="J49:J87" si="4">D49*I49</f>
        <v>2.0347500000000003</v>
      </c>
      <c r="K49" s="70">
        <v>1</v>
      </c>
      <c r="L49" s="71">
        <f t="shared" ref="L49:L87" si="5">D49*K49</f>
        <v>2.0347500000000003</v>
      </c>
    </row>
    <row r="50" spans="1:12" x14ac:dyDescent="0.35">
      <c r="A50" s="70">
        <v>3</v>
      </c>
      <c r="B50" s="4" t="s">
        <v>173</v>
      </c>
      <c r="C50" s="70" t="s">
        <v>153</v>
      </c>
      <c r="D50" s="71">
        <f t="shared" si="1"/>
        <v>1.4174999999999998E-2</v>
      </c>
      <c r="E50" s="70">
        <v>3</v>
      </c>
      <c r="F50" s="71">
        <f t="shared" si="2"/>
        <v>4.2524999999999993E-2</v>
      </c>
      <c r="G50" s="70">
        <v>0</v>
      </c>
      <c r="H50" s="71">
        <f t="shared" si="3"/>
        <v>0</v>
      </c>
      <c r="I50" s="70">
        <v>1</v>
      </c>
      <c r="J50" s="71">
        <f t="shared" si="4"/>
        <v>1.4174999999999998E-2</v>
      </c>
      <c r="K50" s="70">
        <v>2</v>
      </c>
      <c r="L50" s="71">
        <f t="shared" si="5"/>
        <v>2.8349999999999997E-2</v>
      </c>
    </row>
    <row r="51" spans="1:12" x14ac:dyDescent="0.35">
      <c r="A51" s="70">
        <v>4</v>
      </c>
      <c r="B51" s="4" t="s">
        <v>174</v>
      </c>
      <c r="C51" s="70" t="s">
        <v>153</v>
      </c>
      <c r="D51" s="71">
        <f t="shared" si="1"/>
        <v>3.2108812499999999</v>
      </c>
      <c r="E51" s="70">
        <v>3</v>
      </c>
      <c r="F51" s="71">
        <f t="shared" si="2"/>
        <v>9.6326437499999997</v>
      </c>
      <c r="G51" s="70">
        <v>0</v>
      </c>
      <c r="H51" s="71">
        <f t="shared" si="3"/>
        <v>0</v>
      </c>
      <c r="I51" s="70">
        <v>1</v>
      </c>
      <c r="J51" s="71">
        <f t="shared" si="4"/>
        <v>3.2108812499999999</v>
      </c>
      <c r="K51" s="70">
        <v>1</v>
      </c>
      <c r="L51" s="71">
        <f t="shared" si="5"/>
        <v>3.2108812499999999</v>
      </c>
    </row>
    <row r="52" spans="1:12" x14ac:dyDescent="0.35">
      <c r="A52" s="70">
        <v>5</v>
      </c>
      <c r="B52" s="4" t="s">
        <v>363</v>
      </c>
      <c r="C52" s="70" t="s">
        <v>153</v>
      </c>
      <c r="D52" s="71">
        <f t="shared" si="1"/>
        <v>1.6084500000000002</v>
      </c>
      <c r="E52" s="70">
        <v>2</v>
      </c>
      <c r="F52" s="71">
        <f t="shared" si="2"/>
        <v>3.2169000000000003</v>
      </c>
      <c r="G52" s="70">
        <v>0</v>
      </c>
      <c r="H52" s="71">
        <f t="shared" si="3"/>
        <v>0</v>
      </c>
      <c r="I52" s="70">
        <v>1</v>
      </c>
      <c r="J52" s="71">
        <f t="shared" si="4"/>
        <v>1.6084500000000002</v>
      </c>
      <c r="K52" s="70">
        <v>1</v>
      </c>
      <c r="L52" s="71">
        <f t="shared" si="5"/>
        <v>1.6084500000000002</v>
      </c>
    </row>
    <row r="53" spans="1:12" ht="26" x14ac:dyDescent="0.35">
      <c r="A53" s="70">
        <v>6</v>
      </c>
      <c r="B53" s="4" t="s">
        <v>364</v>
      </c>
      <c r="C53" s="70" t="s">
        <v>153</v>
      </c>
      <c r="D53" s="71">
        <f t="shared" si="1"/>
        <v>7.0327087499999994</v>
      </c>
      <c r="E53" s="70">
        <v>12</v>
      </c>
      <c r="F53" s="71">
        <f t="shared" si="2"/>
        <v>84.392505</v>
      </c>
      <c r="G53" s="70">
        <v>1</v>
      </c>
      <c r="H53" s="71">
        <f t="shared" si="3"/>
        <v>7.0327087499999994</v>
      </c>
      <c r="I53" s="70">
        <v>2</v>
      </c>
      <c r="J53" s="71">
        <f t="shared" si="4"/>
        <v>14.065417499999999</v>
      </c>
      <c r="K53" s="70">
        <v>1</v>
      </c>
      <c r="L53" s="71">
        <f t="shared" si="5"/>
        <v>7.0327087499999994</v>
      </c>
    </row>
    <row r="54" spans="1:12" x14ac:dyDescent="0.35">
      <c r="A54" s="70">
        <v>7</v>
      </c>
      <c r="B54" s="4" t="s">
        <v>366</v>
      </c>
      <c r="C54" s="70" t="s">
        <v>153</v>
      </c>
      <c r="D54" s="71">
        <f t="shared" si="1"/>
        <v>0.3705</v>
      </c>
      <c r="E54" s="70">
        <v>1</v>
      </c>
      <c r="F54" s="71">
        <f t="shared" si="2"/>
        <v>0.3705</v>
      </c>
      <c r="G54" s="70">
        <v>0</v>
      </c>
      <c r="H54" s="71">
        <f t="shared" si="3"/>
        <v>0</v>
      </c>
      <c r="I54" s="70">
        <v>1</v>
      </c>
      <c r="J54" s="71">
        <f t="shared" si="4"/>
        <v>0.3705</v>
      </c>
      <c r="K54" s="70">
        <v>1</v>
      </c>
      <c r="L54" s="71">
        <f t="shared" si="5"/>
        <v>0.3705</v>
      </c>
    </row>
    <row r="55" spans="1:12" x14ac:dyDescent="0.35">
      <c r="A55" s="70">
        <v>9</v>
      </c>
      <c r="B55" s="4" t="s">
        <v>403</v>
      </c>
      <c r="C55" s="70" t="s">
        <v>153</v>
      </c>
      <c r="D55" s="71">
        <f t="shared" si="1"/>
        <v>1.3236750000000002</v>
      </c>
      <c r="E55" s="70">
        <v>1</v>
      </c>
      <c r="F55" s="71">
        <f t="shared" si="2"/>
        <v>1.3236750000000002</v>
      </c>
      <c r="G55" s="70">
        <v>0</v>
      </c>
      <c r="H55" s="71">
        <f t="shared" si="3"/>
        <v>0</v>
      </c>
      <c r="I55" s="70">
        <v>1</v>
      </c>
      <c r="J55" s="71">
        <f t="shared" si="4"/>
        <v>1.3236750000000002</v>
      </c>
      <c r="K55" s="70">
        <v>1</v>
      </c>
      <c r="L55" s="71">
        <f t="shared" si="5"/>
        <v>1.3236750000000002</v>
      </c>
    </row>
    <row r="56" spans="1:12" x14ac:dyDescent="0.35">
      <c r="A56" s="70">
        <v>8</v>
      </c>
      <c r="B56" s="4" t="s">
        <v>175</v>
      </c>
      <c r="C56" s="70" t="s">
        <v>153</v>
      </c>
      <c r="D56" s="71">
        <f t="shared" si="1"/>
        <v>6.2094749999999994</v>
      </c>
      <c r="E56" s="70">
        <v>1</v>
      </c>
      <c r="F56" s="71">
        <f t="shared" si="2"/>
        <v>6.2094749999999994</v>
      </c>
      <c r="G56" s="70">
        <v>0</v>
      </c>
      <c r="H56" s="71">
        <f t="shared" si="3"/>
        <v>0</v>
      </c>
      <c r="I56" s="70">
        <v>1</v>
      </c>
      <c r="J56" s="71">
        <f t="shared" si="4"/>
        <v>6.2094749999999994</v>
      </c>
      <c r="K56" s="70">
        <v>1</v>
      </c>
      <c r="L56" s="71">
        <f t="shared" si="5"/>
        <v>6.2094749999999994</v>
      </c>
    </row>
    <row r="57" spans="1:12" x14ac:dyDescent="0.35">
      <c r="A57" s="70">
        <v>10</v>
      </c>
      <c r="B57" s="4" t="s">
        <v>176</v>
      </c>
      <c r="C57" s="70" t="s">
        <v>153</v>
      </c>
      <c r="D57" s="71">
        <f t="shared" si="1"/>
        <v>2.8274999999999998E-2</v>
      </c>
      <c r="E57" s="70">
        <v>2</v>
      </c>
      <c r="F57" s="71">
        <f t="shared" si="2"/>
        <v>5.6549999999999996E-2</v>
      </c>
      <c r="G57" s="70">
        <v>1</v>
      </c>
      <c r="H57" s="71">
        <f t="shared" si="3"/>
        <v>2.8274999999999998E-2</v>
      </c>
      <c r="I57" s="70">
        <v>1</v>
      </c>
      <c r="J57" s="71">
        <f t="shared" si="4"/>
        <v>2.8274999999999998E-2</v>
      </c>
      <c r="K57" s="70">
        <v>1</v>
      </c>
      <c r="L57" s="71">
        <f t="shared" si="5"/>
        <v>2.8274999999999998E-2</v>
      </c>
    </row>
    <row r="58" spans="1:12" x14ac:dyDescent="0.35">
      <c r="A58" s="70">
        <v>11</v>
      </c>
      <c r="B58" s="4" t="s">
        <v>177</v>
      </c>
      <c r="C58" s="70" t="s">
        <v>153</v>
      </c>
      <c r="D58" s="71">
        <f t="shared" si="1"/>
        <v>5.0625000000000003E-2</v>
      </c>
      <c r="E58" s="70">
        <v>2</v>
      </c>
      <c r="F58" s="71">
        <f t="shared" si="2"/>
        <v>0.10125000000000001</v>
      </c>
      <c r="G58" s="70">
        <v>1</v>
      </c>
      <c r="H58" s="71">
        <f t="shared" si="3"/>
        <v>5.0625000000000003E-2</v>
      </c>
      <c r="I58" s="70">
        <v>1</v>
      </c>
      <c r="J58" s="71">
        <f t="shared" si="4"/>
        <v>5.0625000000000003E-2</v>
      </c>
      <c r="K58" s="70">
        <v>1</v>
      </c>
      <c r="L58" s="71">
        <f t="shared" si="5"/>
        <v>5.0625000000000003E-2</v>
      </c>
    </row>
    <row r="59" spans="1:12" x14ac:dyDescent="0.35">
      <c r="A59" s="70">
        <v>12</v>
      </c>
      <c r="B59" s="4" t="s">
        <v>178</v>
      </c>
      <c r="C59" s="70" t="s">
        <v>153</v>
      </c>
      <c r="D59" s="71">
        <f t="shared" si="1"/>
        <v>19.305</v>
      </c>
      <c r="E59" s="70">
        <v>4</v>
      </c>
      <c r="F59" s="71">
        <f t="shared" si="2"/>
        <v>77.22</v>
      </c>
      <c r="G59" s="70">
        <v>0</v>
      </c>
      <c r="H59" s="71">
        <f t="shared" si="3"/>
        <v>0</v>
      </c>
      <c r="I59" s="70">
        <v>0</v>
      </c>
      <c r="J59" s="71">
        <f t="shared" si="4"/>
        <v>0</v>
      </c>
      <c r="K59" s="70">
        <v>0</v>
      </c>
      <c r="L59" s="71">
        <f t="shared" si="5"/>
        <v>0</v>
      </c>
    </row>
    <row r="60" spans="1:12" x14ac:dyDescent="0.35">
      <c r="A60" s="70">
        <v>13</v>
      </c>
      <c r="B60" s="4" t="s">
        <v>179</v>
      </c>
      <c r="C60" s="70" t="s">
        <v>153</v>
      </c>
      <c r="D60" s="71">
        <f t="shared" si="1"/>
        <v>0.31642499999999996</v>
      </c>
      <c r="E60" s="70">
        <v>1</v>
      </c>
      <c r="F60" s="71">
        <f t="shared" si="2"/>
        <v>0.31642499999999996</v>
      </c>
      <c r="G60" s="70">
        <v>0</v>
      </c>
      <c r="H60" s="71">
        <f t="shared" si="3"/>
        <v>0</v>
      </c>
      <c r="I60" s="70">
        <v>1</v>
      </c>
      <c r="J60" s="71">
        <f t="shared" si="4"/>
        <v>0.31642499999999996</v>
      </c>
      <c r="K60" s="70">
        <v>1</v>
      </c>
      <c r="L60" s="71">
        <f t="shared" si="5"/>
        <v>0.31642499999999996</v>
      </c>
    </row>
    <row r="61" spans="1:12" x14ac:dyDescent="0.35">
      <c r="A61" s="70">
        <v>14</v>
      </c>
      <c r="B61" s="4" t="s">
        <v>180</v>
      </c>
      <c r="C61" s="70" t="s">
        <v>153</v>
      </c>
      <c r="D61" s="71">
        <f t="shared" si="1"/>
        <v>1.4987999999999999</v>
      </c>
      <c r="E61" s="70">
        <v>3</v>
      </c>
      <c r="F61" s="71">
        <f t="shared" si="2"/>
        <v>4.4963999999999995</v>
      </c>
      <c r="G61" s="70">
        <v>1</v>
      </c>
      <c r="H61" s="71">
        <f t="shared" si="3"/>
        <v>1.4987999999999999</v>
      </c>
      <c r="I61" s="70">
        <v>1</v>
      </c>
      <c r="J61" s="71">
        <f t="shared" si="4"/>
        <v>1.4987999999999999</v>
      </c>
      <c r="K61" s="70">
        <v>1</v>
      </c>
      <c r="L61" s="71">
        <f t="shared" si="5"/>
        <v>1.4987999999999999</v>
      </c>
    </row>
    <row r="62" spans="1:12" x14ac:dyDescent="0.35">
      <c r="A62" s="70">
        <v>15</v>
      </c>
      <c r="B62" s="48" t="s">
        <v>181</v>
      </c>
      <c r="C62" s="47" t="s">
        <v>153</v>
      </c>
      <c r="D62" s="71">
        <f t="shared" si="1"/>
        <v>2.3568562499999999</v>
      </c>
      <c r="E62" s="47">
        <v>2</v>
      </c>
      <c r="F62" s="71">
        <f t="shared" si="2"/>
        <v>4.7137124999999997</v>
      </c>
      <c r="G62" s="47">
        <v>0</v>
      </c>
      <c r="H62" s="71">
        <f t="shared" si="3"/>
        <v>0</v>
      </c>
      <c r="I62" s="47">
        <v>0</v>
      </c>
      <c r="J62" s="71">
        <f t="shared" si="4"/>
        <v>0</v>
      </c>
      <c r="K62" s="47">
        <v>0</v>
      </c>
      <c r="L62" s="71">
        <f t="shared" si="5"/>
        <v>0</v>
      </c>
    </row>
    <row r="63" spans="1:12" x14ac:dyDescent="0.35">
      <c r="A63" s="70">
        <v>16</v>
      </c>
      <c r="B63" s="4" t="s">
        <v>401</v>
      </c>
      <c r="C63" s="70" t="s">
        <v>153</v>
      </c>
      <c r="D63" s="71">
        <f t="shared" si="1"/>
        <v>8.6924999999999988E-2</v>
      </c>
      <c r="E63" s="70">
        <v>4</v>
      </c>
      <c r="F63" s="71">
        <f t="shared" si="2"/>
        <v>0.34769999999999995</v>
      </c>
      <c r="G63" s="70">
        <v>0</v>
      </c>
      <c r="H63" s="71">
        <f t="shared" si="3"/>
        <v>0</v>
      </c>
      <c r="I63" s="70">
        <v>1</v>
      </c>
      <c r="J63" s="71">
        <f t="shared" si="4"/>
        <v>8.6924999999999988E-2</v>
      </c>
      <c r="K63" s="70">
        <v>1</v>
      </c>
      <c r="L63" s="71">
        <f t="shared" si="5"/>
        <v>8.6924999999999988E-2</v>
      </c>
    </row>
    <row r="64" spans="1:12" x14ac:dyDescent="0.35">
      <c r="A64" s="70">
        <v>17</v>
      </c>
      <c r="B64" s="4" t="s">
        <v>368</v>
      </c>
      <c r="C64" s="70" t="s">
        <v>153</v>
      </c>
      <c r="D64" s="71">
        <f t="shared" si="1"/>
        <v>0.255</v>
      </c>
      <c r="E64" s="70">
        <v>1</v>
      </c>
      <c r="F64" s="71">
        <f t="shared" si="2"/>
        <v>0.255</v>
      </c>
      <c r="G64" s="70">
        <v>0</v>
      </c>
      <c r="H64" s="71">
        <f t="shared" si="3"/>
        <v>0</v>
      </c>
      <c r="I64" s="70">
        <v>1</v>
      </c>
      <c r="J64" s="71">
        <f t="shared" si="4"/>
        <v>0.255</v>
      </c>
      <c r="K64" s="70">
        <v>1</v>
      </c>
      <c r="L64" s="71">
        <f t="shared" si="5"/>
        <v>0.255</v>
      </c>
    </row>
    <row r="65" spans="1:12" x14ac:dyDescent="0.35">
      <c r="A65" s="70">
        <v>18</v>
      </c>
      <c r="B65" s="4" t="s">
        <v>182</v>
      </c>
      <c r="C65" s="70" t="s">
        <v>153</v>
      </c>
      <c r="D65" s="71">
        <f t="shared" si="1"/>
        <v>4.0837500000000002</v>
      </c>
      <c r="E65" s="70">
        <v>1</v>
      </c>
      <c r="F65" s="71">
        <f t="shared" si="2"/>
        <v>4.0837500000000002</v>
      </c>
      <c r="G65" s="70">
        <v>0</v>
      </c>
      <c r="H65" s="71">
        <f t="shared" si="3"/>
        <v>0</v>
      </c>
      <c r="I65" s="70">
        <v>1</v>
      </c>
      <c r="J65" s="71">
        <f t="shared" si="4"/>
        <v>4.0837500000000002</v>
      </c>
      <c r="K65" s="70">
        <v>1</v>
      </c>
      <c r="L65" s="71">
        <f t="shared" si="5"/>
        <v>4.0837500000000002</v>
      </c>
    </row>
    <row r="66" spans="1:12" ht="26" x14ac:dyDescent="0.35">
      <c r="A66" s="70">
        <v>19</v>
      </c>
      <c r="B66" s="4" t="s">
        <v>369</v>
      </c>
      <c r="C66" s="70" t="s">
        <v>153</v>
      </c>
      <c r="D66" s="71">
        <f t="shared" si="1"/>
        <v>14.798550000000001</v>
      </c>
      <c r="E66" s="70">
        <v>1</v>
      </c>
      <c r="F66" s="71">
        <f t="shared" si="2"/>
        <v>14.798550000000001</v>
      </c>
      <c r="G66" s="70">
        <v>0</v>
      </c>
      <c r="H66" s="71">
        <f t="shared" si="3"/>
        <v>0</v>
      </c>
      <c r="I66" s="70">
        <v>1</v>
      </c>
      <c r="J66" s="71">
        <f t="shared" si="4"/>
        <v>14.798550000000001</v>
      </c>
      <c r="K66" s="70">
        <v>1</v>
      </c>
      <c r="L66" s="71">
        <f t="shared" si="5"/>
        <v>14.798550000000001</v>
      </c>
    </row>
    <row r="67" spans="1:12" x14ac:dyDescent="0.35">
      <c r="A67" s="70">
        <v>21</v>
      </c>
      <c r="B67" s="70" t="s">
        <v>404</v>
      </c>
      <c r="C67" s="70" t="s">
        <v>153</v>
      </c>
      <c r="D67" s="71">
        <f t="shared" si="1"/>
        <v>0.142125</v>
      </c>
      <c r="E67" s="70">
        <v>52</v>
      </c>
      <c r="F67" s="71">
        <f t="shared" si="2"/>
        <v>7.3905000000000003</v>
      </c>
      <c r="G67" s="70">
        <v>7</v>
      </c>
      <c r="H67" s="71">
        <f t="shared" si="3"/>
        <v>0.99487499999999995</v>
      </c>
      <c r="I67" s="70">
        <v>12</v>
      </c>
      <c r="J67" s="71">
        <f t="shared" si="4"/>
        <v>1.7055</v>
      </c>
      <c r="K67" s="70">
        <v>8</v>
      </c>
      <c r="L67" s="71">
        <f t="shared" si="5"/>
        <v>1.137</v>
      </c>
    </row>
    <row r="68" spans="1:12" x14ac:dyDescent="0.35">
      <c r="A68" s="70">
        <v>20</v>
      </c>
      <c r="B68" s="70" t="s">
        <v>183</v>
      </c>
      <c r="C68" s="70" t="s">
        <v>153</v>
      </c>
      <c r="D68" s="71">
        <f t="shared" si="1"/>
        <v>0.7900124999999999</v>
      </c>
      <c r="E68" s="70">
        <v>4</v>
      </c>
      <c r="F68" s="71">
        <f t="shared" si="2"/>
        <v>3.1600499999999996</v>
      </c>
      <c r="G68" s="70">
        <v>2</v>
      </c>
      <c r="H68" s="71">
        <f t="shared" si="3"/>
        <v>1.5800249999999998</v>
      </c>
      <c r="I68" s="70">
        <v>2</v>
      </c>
      <c r="J68" s="71">
        <f t="shared" si="4"/>
        <v>1.5800249999999998</v>
      </c>
      <c r="K68" s="70">
        <v>4</v>
      </c>
      <c r="L68" s="71">
        <f t="shared" si="5"/>
        <v>3.1600499999999996</v>
      </c>
    </row>
    <row r="69" spans="1:12" x14ac:dyDescent="0.35">
      <c r="A69" s="70">
        <v>22</v>
      </c>
      <c r="B69" s="70" t="s">
        <v>184</v>
      </c>
      <c r="C69" s="70" t="s">
        <v>153</v>
      </c>
      <c r="D69" s="71">
        <f t="shared" si="1"/>
        <v>1.5350999999999999</v>
      </c>
      <c r="E69" s="70">
        <v>4</v>
      </c>
      <c r="F69" s="71">
        <f t="shared" si="2"/>
        <v>6.1403999999999996</v>
      </c>
      <c r="G69" s="70">
        <v>0</v>
      </c>
      <c r="H69" s="71">
        <f t="shared" si="3"/>
        <v>0</v>
      </c>
      <c r="I69" s="70">
        <v>1</v>
      </c>
      <c r="J69" s="71">
        <f t="shared" si="4"/>
        <v>1.5350999999999999</v>
      </c>
      <c r="K69" s="70">
        <v>1</v>
      </c>
      <c r="L69" s="71">
        <f t="shared" si="5"/>
        <v>1.5350999999999999</v>
      </c>
    </row>
    <row r="70" spans="1:12" x14ac:dyDescent="0.35">
      <c r="A70" s="70">
        <v>23</v>
      </c>
      <c r="B70" s="4" t="s">
        <v>185</v>
      </c>
      <c r="C70" s="70" t="s">
        <v>153</v>
      </c>
      <c r="D70" s="71">
        <f t="shared" si="1"/>
        <v>0.22567499999999999</v>
      </c>
      <c r="E70" s="70">
        <v>2</v>
      </c>
      <c r="F70" s="71">
        <f t="shared" si="2"/>
        <v>0.45134999999999997</v>
      </c>
      <c r="G70" s="70">
        <v>0</v>
      </c>
      <c r="H70" s="71">
        <f t="shared" si="3"/>
        <v>0</v>
      </c>
      <c r="I70" s="70">
        <v>2</v>
      </c>
      <c r="J70" s="71">
        <f t="shared" si="4"/>
        <v>0.45134999999999997</v>
      </c>
      <c r="K70" s="70">
        <v>2</v>
      </c>
      <c r="L70" s="71">
        <f t="shared" si="5"/>
        <v>0.45134999999999997</v>
      </c>
    </row>
    <row r="71" spans="1:12" x14ac:dyDescent="0.35">
      <c r="A71" s="70">
        <v>24</v>
      </c>
      <c r="B71" s="70" t="s">
        <v>186</v>
      </c>
      <c r="C71" s="70" t="s">
        <v>153</v>
      </c>
      <c r="D71" s="71">
        <f t="shared" si="1"/>
        <v>0.268098</v>
      </c>
      <c r="E71" s="70">
        <v>10</v>
      </c>
      <c r="F71" s="71">
        <f t="shared" si="2"/>
        <v>2.6809799999999999</v>
      </c>
      <c r="G71" s="70">
        <v>2</v>
      </c>
      <c r="H71" s="71">
        <f t="shared" si="3"/>
        <v>0.53619600000000001</v>
      </c>
      <c r="I71" s="70">
        <v>4</v>
      </c>
      <c r="J71" s="71">
        <f t="shared" si="4"/>
        <v>1.072392</v>
      </c>
      <c r="K71" s="70">
        <v>4</v>
      </c>
      <c r="L71" s="71">
        <f t="shared" si="5"/>
        <v>1.072392</v>
      </c>
    </row>
    <row r="72" spans="1:12" x14ac:dyDescent="0.35">
      <c r="A72" s="70">
        <v>32</v>
      </c>
      <c r="B72" s="4" t="s">
        <v>192</v>
      </c>
      <c r="C72" s="70" t="s">
        <v>153</v>
      </c>
      <c r="D72" s="71">
        <f t="shared" si="1"/>
        <v>2.8799999999999999E-2</v>
      </c>
      <c r="E72" s="70">
        <v>10</v>
      </c>
      <c r="F72" s="71">
        <f t="shared" si="2"/>
        <v>0.28799999999999998</v>
      </c>
      <c r="G72" s="70">
        <v>0</v>
      </c>
      <c r="H72" s="71">
        <f t="shared" si="3"/>
        <v>0</v>
      </c>
      <c r="I72" s="70">
        <v>0</v>
      </c>
      <c r="J72" s="71">
        <f t="shared" si="4"/>
        <v>0</v>
      </c>
      <c r="K72" s="70">
        <v>0</v>
      </c>
      <c r="L72" s="71">
        <f t="shared" si="5"/>
        <v>0</v>
      </c>
    </row>
    <row r="73" spans="1:12" x14ac:dyDescent="0.35">
      <c r="A73" s="70">
        <v>31</v>
      </c>
      <c r="B73" s="4" t="s">
        <v>405</v>
      </c>
      <c r="C73" s="70" t="s">
        <v>153</v>
      </c>
      <c r="D73" s="71">
        <f t="shared" si="1"/>
        <v>2.5312500000000002E-2</v>
      </c>
      <c r="E73" s="70">
        <v>3</v>
      </c>
      <c r="F73" s="71">
        <f t="shared" si="2"/>
        <v>7.5937500000000005E-2</v>
      </c>
      <c r="G73" s="70">
        <v>0</v>
      </c>
      <c r="H73" s="71">
        <f t="shared" si="3"/>
        <v>0</v>
      </c>
      <c r="I73" s="70">
        <v>1</v>
      </c>
      <c r="J73" s="71">
        <f t="shared" si="4"/>
        <v>2.5312500000000002E-2</v>
      </c>
      <c r="K73" s="70">
        <v>1</v>
      </c>
      <c r="L73" s="71">
        <f t="shared" si="5"/>
        <v>2.5312500000000002E-2</v>
      </c>
    </row>
    <row r="74" spans="1:12" x14ac:dyDescent="0.35">
      <c r="A74" s="70">
        <v>26</v>
      </c>
      <c r="B74" s="70" t="s">
        <v>187</v>
      </c>
      <c r="C74" s="70" t="s">
        <v>153</v>
      </c>
      <c r="D74" s="71">
        <f t="shared" si="1"/>
        <v>0.24014849999999999</v>
      </c>
      <c r="E74" s="70">
        <v>50</v>
      </c>
      <c r="F74" s="71">
        <f t="shared" si="2"/>
        <v>12.007425</v>
      </c>
      <c r="G74" s="70">
        <v>6</v>
      </c>
      <c r="H74" s="71">
        <f t="shared" si="3"/>
        <v>1.4408909999999999</v>
      </c>
      <c r="I74" s="70">
        <v>6</v>
      </c>
      <c r="J74" s="71">
        <f t="shared" si="4"/>
        <v>1.4408909999999999</v>
      </c>
      <c r="K74" s="70">
        <v>6</v>
      </c>
      <c r="L74" s="71">
        <f t="shared" si="5"/>
        <v>1.4408909999999999</v>
      </c>
    </row>
    <row r="75" spans="1:12" x14ac:dyDescent="0.35">
      <c r="A75" s="70">
        <v>27</v>
      </c>
      <c r="B75" s="70" t="s">
        <v>188</v>
      </c>
      <c r="C75" s="70" t="s">
        <v>153</v>
      </c>
      <c r="D75" s="71">
        <f t="shared" si="1"/>
        <v>0.18225</v>
      </c>
      <c r="E75" s="70">
        <v>50</v>
      </c>
      <c r="F75" s="71">
        <f t="shared" si="2"/>
        <v>9.1124999999999989</v>
      </c>
      <c r="G75" s="70">
        <v>6</v>
      </c>
      <c r="H75" s="71">
        <f t="shared" si="3"/>
        <v>1.0934999999999999</v>
      </c>
      <c r="I75" s="70">
        <v>6</v>
      </c>
      <c r="J75" s="71">
        <f t="shared" si="4"/>
        <v>1.0934999999999999</v>
      </c>
      <c r="K75" s="70">
        <v>6</v>
      </c>
      <c r="L75" s="71">
        <f t="shared" si="5"/>
        <v>1.0934999999999999</v>
      </c>
    </row>
    <row r="76" spans="1:12" x14ac:dyDescent="0.35">
      <c r="A76" s="70">
        <v>28</v>
      </c>
      <c r="B76" s="70" t="s">
        <v>189</v>
      </c>
      <c r="C76" s="70" t="s">
        <v>153</v>
      </c>
      <c r="D76" s="71">
        <f t="shared" si="1"/>
        <v>0.16462499999999999</v>
      </c>
      <c r="E76" s="70">
        <v>50</v>
      </c>
      <c r="F76" s="71">
        <f t="shared" si="2"/>
        <v>8.2312499999999993</v>
      </c>
      <c r="G76" s="70">
        <v>8</v>
      </c>
      <c r="H76" s="71">
        <f t="shared" si="3"/>
        <v>1.3169999999999999</v>
      </c>
      <c r="I76" s="70">
        <v>8</v>
      </c>
      <c r="J76" s="71">
        <f t="shared" si="4"/>
        <v>1.3169999999999999</v>
      </c>
      <c r="K76" s="70">
        <v>8</v>
      </c>
      <c r="L76" s="71">
        <f t="shared" si="5"/>
        <v>1.3169999999999999</v>
      </c>
    </row>
    <row r="77" spans="1:12" x14ac:dyDescent="0.35">
      <c r="A77" s="70">
        <v>29</v>
      </c>
      <c r="B77" s="4" t="s">
        <v>190</v>
      </c>
      <c r="C77" s="70" t="s">
        <v>153</v>
      </c>
      <c r="D77" s="71">
        <f t="shared" si="1"/>
        <v>2.6550000000000002</v>
      </c>
      <c r="E77" s="70">
        <v>1</v>
      </c>
      <c r="F77" s="71">
        <f t="shared" si="2"/>
        <v>2.6550000000000002</v>
      </c>
      <c r="G77" s="70">
        <v>0</v>
      </c>
      <c r="H77" s="71">
        <f t="shared" si="3"/>
        <v>0</v>
      </c>
      <c r="I77" s="70">
        <v>0</v>
      </c>
      <c r="J77" s="71">
        <f t="shared" si="4"/>
        <v>0</v>
      </c>
      <c r="K77" s="70">
        <v>0</v>
      </c>
      <c r="L77" s="71">
        <f t="shared" si="5"/>
        <v>0</v>
      </c>
    </row>
    <row r="78" spans="1:12" x14ac:dyDescent="0.35">
      <c r="A78" s="70">
        <v>30</v>
      </c>
      <c r="B78" s="70" t="s">
        <v>191</v>
      </c>
      <c r="C78" s="70" t="s">
        <v>153</v>
      </c>
      <c r="D78" s="71">
        <f t="shared" si="1"/>
        <v>0.19875000000000001</v>
      </c>
      <c r="E78" s="70">
        <v>1</v>
      </c>
      <c r="F78" s="71">
        <f t="shared" si="2"/>
        <v>0.19875000000000001</v>
      </c>
      <c r="G78" s="70">
        <v>0</v>
      </c>
      <c r="H78" s="71">
        <f t="shared" si="3"/>
        <v>0</v>
      </c>
      <c r="I78" s="70">
        <v>0</v>
      </c>
      <c r="J78" s="71">
        <f t="shared" si="4"/>
        <v>0</v>
      </c>
      <c r="K78" s="70">
        <v>0</v>
      </c>
      <c r="L78" s="71">
        <f t="shared" si="5"/>
        <v>0</v>
      </c>
    </row>
    <row r="79" spans="1:12" x14ac:dyDescent="0.35">
      <c r="A79" s="70">
        <v>33</v>
      </c>
      <c r="B79" s="70" t="s">
        <v>193</v>
      </c>
      <c r="C79" s="70" t="s">
        <v>153</v>
      </c>
      <c r="D79" s="71">
        <f t="shared" si="1"/>
        <v>0.18179999999999999</v>
      </c>
      <c r="E79" s="70">
        <v>2</v>
      </c>
      <c r="F79" s="71">
        <f t="shared" si="2"/>
        <v>0.36359999999999998</v>
      </c>
      <c r="G79" s="70">
        <v>0</v>
      </c>
      <c r="H79" s="71">
        <f t="shared" si="3"/>
        <v>0</v>
      </c>
      <c r="I79" s="70">
        <v>1</v>
      </c>
      <c r="J79" s="71">
        <f t="shared" si="4"/>
        <v>0.18179999999999999</v>
      </c>
      <c r="K79" s="70">
        <v>1</v>
      </c>
      <c r="L79" s="71">
        <f t="shared" si="5"/>
        <v>0.18179999999999999</v>
      </c>
    </row>
    <row r="80" spans="1:12" x14ac:dyDescent="0.35">
      <c r="A80" s="70">
        <v>25</v>
      </c>
      <c r="B80" s="4" t="s">
        <v>372</v>
      </c>
      <c r="C80" s="70" t="s">
        <v>153</v>
      </c>
      <c r="D80" s="71">
        <f t="shared" si="1"/>
        <v>21.696149999999999</v>
      </c>
      <c r="E80" s="70">
        <v>1</v>
      </c>
      <c r="F80" s="71">
        <f t="shared" si="2"/>
        <v>21.696149999999999</v>
      </c>
      <c r="G80" s="70">
        <v>0</v>
      </c>
      <c r="H80" s="71">
        <f t="shared" si="3"/>
        <v>0</v>
      </c>
      <c r="I80" s="70">
        <v>0</v>
      </c>
      <c r="J80" s="71">
        <f t="shared" si="4"/>
        <v>0</v>
      </c>
      <c r="K80" s="70">
        <v>0</v>
      </c>
      <c r="L80" s="71">
        <f t="shared" si="5"/>
        <v>0</v>
      </c>
    </row>
    <row r="81" spans="1:13" x14ac:dyDescent="0.35">
      <c r="A81" s="70">
        <v>34</v>
      </c>
      <c r="B81" s="4" t="s">
        <v>406</v>
      </c>
      <c r="C81" s="70" t="s">
        <v>153</v>
      </c>
      <c r="D81" s="71">
        <f t="shared" si="1"/>
        <v>5.4374250000000002</v>
      </c>
      <c r="E81" s="70">
        <v>0</v>
      </c>
      <c r="F81" s="71">
        <f t="shared" si="2"/>
        <v>0</v>
      </c>
      <c r="G81" s="70">
        <v>0</v>
      </c>
      <c r="H81" s="71">
        <f t="shared" si="3"/>
        <v>0</v>
      </c>
      <c r="I81" s="70">
        <v>1</v>
      </c>
      <c r="J81" s="71">
        <f t="shared" si="4"/>
        <v>5.4374250000000002</v>
      </c>
      <c r="K81" s="70">
        <v>1</v>
      </c>
      <c r="L81" s="71">
        <f t="shared" si="5"/>
        <v>5.4374250000000002</v>
      </c>
    </row>
    <row r="82" spans="1:13" x14ac:dyDescent="0.35">
      <c r="A82" s="70">
        <v>35</v>
      </c>
      <c r="B82" s="70" t="s">
        <v>194</v>
      </c>
      <c r="C82" s="70" t="s">
        <v>153</v>
      </c>
      <c r="D82" s="71">
        <f t="shared" si="1"/>
        <v>0.1875</v>
      </c>
      <c r="E82" s="70">
        <v>10</v>
      </c>
      <c r="F82" s="71">
        <f t="shared" si="2"/>
        <v>1.875</v>
      </c>
      <c r="G82" s="70">
        <v>2</v>
      </c>
      <c r="H82" s="71">
        <f t="shared" si="3"/>
        <v>0.375</v>
      </c>
      <c r="I82" s="70">
        <v>3</v>
      </c>
      <c r="J82" s="71">
        <f t="shared" si="4"/>
        <v>0.5625</v>
      </c>
      <c r="K82" s="70">
        <v>3</v>
      </c>
      <c r="L82" s="71">
        <f t="shared" si="5"/>
        <v>0.5625</v>
      </c>
    </row>
    <row r="83" spans="1:13" x14ac:dyDescent="0.35">
      <c r="A83" s="70">
        <v>36</v>
      </c>
      <c r="B83" s="4" t="s">
        <v>195</v>
      </c>
      <c r="C83" s="70" t="s">
        <v>153</v>
      </c>
      <c r="D83" s="71">
        <f t="shared" si="1"/>
        <v>0.18742500000000001</v>
      </c>
      <c r="E83" s="70">
        <v>4</v>
      </c>
      <c r="F83" s="71">
        <f t="shared" si="2"/>
        <v>0.74970000000000003</v>
      </c>
      <c r="G83" s="70">
        <v>0</v>
      </c>
      <c r="H83" s="71">
        <f t="shared" si="3"/>
        <v>0</v>
      </c>
      <c r="I83" s="70">
        <v>1</v>
      </c>
      <c r="J83" s="71">
        <f t="shared" si="4"/>
        <v>0.18742500000000001</v>
      </c>
      <c r="K83" s="70">
        <v>1</v>
      </c>
      <c r="L83" s="71">
        <f t="shared" si="5"/>
        <v>0.18742500000000001</v>
      </c>
    </row>
    <row r="84" spans="1:13" x14ac:dyDescent="0.35">
      <c r="A84" s="70">
        <v>37</v>
      </c>
      <c r="B84" s="4" t="s">
        <v>374</v>
      </c>
      <c r="C84" s="70" t="s">
        <v>153</v>
      </c>
      <c r="D84" s="71">
        <f t="shared" si="1"/>
        <v>0.28432499999999999</v>
      </c>
      <c r="E84" s="70">
        <v>13</v>
      </c>
      <c r="F84" s="71">
        <f t="shared" si="2"/>
        <v>3.6962250000000001</v>
      </c>
      <c r="G84" s="70">
        <v>2</v>
      </c>
      <c r="H84" s="71">
        <f t="shared" si="3"/>
        <v>0.56864999999999999</v>
      </c>
      <c r="I84" s="70">
        <v>2</v>
      </c>
      <c r="J84" s="71">
        <f t="shared" si="4"/>
        <v>0.56864999999999999</v>
      </c>
      <c r="K84" s="70">
        <v>2</v>
      </c>
      <c r="L84" s="71">
        <f t="shared" si="5"/>
        <v>0.56864999999999999</v>
      </c>
    </row>
    <row r="85" spans="1:13" x14ac:dyDescent="0.35">
      <c r="A85" s="70">
        <v>38</v>
      </c>
      <c r="B85" s="4" t="s">
        <v>196</v>
      </c>
      <c r="C85" s="70" t="s">
        <v>153</v>
      </c>
      <c r="D85" s="71">
        <f t="shared" si="1"/>
        <v>0.23193525000000001</v>
      </c>
      <c r="E85" s="70">
        <v>4</v>
      </c>
      <c r="F85" s="71">
        <f t="shared" si="2"/>
        <v>0.92774100000000004</v>
      </c>
      <c r="G85" s="70">
        <v>0</v>
      </c>
      <c r="H85" s="71">
        <f t="shared" si="3"/>
        <v>0</v>
      </c>
      <c r="I85" s="70">
        <v>1</v>
      </c>
      <c r="J85" s="71">
        <f t="shared" si="4"/>
        <v>0.23193525000000001</v>
      </c>
      <c r="K85" s="70">
        <v>2</v>
      </c>
      <c r="L85" s="71">
        <f t="shared" si="5"/>
        <v>0.46387050000000002</v>
      </c>
    </row>
    <row r="86" spans="1:13" x14ac:dyDescent="0.35">
      <c r="A86" s="70">
        <v>39</v>
      </c>
      <c r="B86" s="4" t="s">
        <v>197</v>
      </c>
      <c r="C86" s="70" t="s">
        <v>153</v>
      </c>
      <c r="D86" s="71">
        <f t="shared" si="1"/>
        <v>0.34092224999999998</v>
      </c>
      <c r="E86" s="70">
        <v>3</v>
      </c>
      <c r="F86" s="71">
        <f t="shared" si="2"/>
        <v>1.0227667499999999</v>
      </c>
      <c r="G86" s="70">
        <v>0</v>
      </c>
      <c r="H86" s="71">
        <f t="shared" si="3"/>
        <v>0</v>
      </c>
      <c r="I86" s="70">
        <v>1</v>
      </c>
      <c r="J86" s="71">
        <f t="shared" si="4"/>
        <v>0.34092224999999998</v>
      </c>
      <c r="K86" s="70">
        <v>1</v>
      </c>
      <c r="L86" s="71">
        <f t="shared" si="5"/>
        <v>0.34092224999999998</v>
      </c>
    </row>
    <row r="87" spans="1:13" x14ac:dyDescent="0.35">
      <c r="A87" s="70">
        <v>40</v>
      </c>
      <c r="B87" s="4" t="s">
        <v>198</v>
      </c>
      <c r="C87" s="70" t="s">
        <v>153</v>
      </c>
      <c r="D87" s="71">
        <f t="shared" si="1"/>
        <v>0.15</v>
      </c>
      <c r="E87" s="70">
        <v>12</v>
      </c>
      <c r="F87" s="71">
        <f t="shared" si="2"/>
        <v>1.7999999999999998</v>
      </c>
      <c r="G87" s="70">
        <v>0</v>
      </c>
      <c r="H87" s="71">
        <f t="shared" si="3"/>
        <v>0</v>
      </c>
      <c r="I87" s="70">
        <v>3</v>
      </c>
      <c r="J87" s="71">
        <f t="shared" si="4"/>
        <v>0.44999999999999996</v>
      </c>
      <c r="K87" s="70">
        <v>3</v>
      </c>
      <c r="L87" s="71">
        <f t="shared" si="5"/>
        <v>0.44999999999999996</v>
      </c>
    </row>
    <row r="88" spans="1:13" x14ac:dyDescent="0.35">
      <c r="A88" s="501" t="s">
        <v>408</v>
      </c>
      <c r="B88" s="501"/>
      <c r="C88" s="501"/>
      <c r="D88" s="501"/>
      <c r="E88" s="87" t="s">
        <v>410</v>
      </c>
      <c r="F88" s="86">
        <f>(SUM(F48:F87))/(' Item 1.2 (ASG)'!G159+'Item 1.3 (ASG Banheirista)'!G159+'Item 2 (Lavador)'!G158)</f>
        <v>17.875596264705891</v>
      </c>
      <c r="G88" s="87" t="s">
        <v>409</v>
      </c>
      <c r="H88" s="86">
        <f>(SUM(H48:H87))/'Item 3 (ASG)'!G158</f>
        <v>9.2756478750000007</v>
      </c>
      <c r="I88" s="87" t="s">
        <v>412</v>
      </c>
      <c r="J88" s="86">
        <f>(SUM(J48:J87))/('Item 4.1 (ASG)'!G158+'Item 4.2 (ASG Banheirista)'!G158)</f>
        <v>23.272467250000009</v>
      </c>
      <c r="K88" s="87" t="s">
        <v>413</v>
      </c>
      <c r="L88" s="86">
        <f>((SUM(L48:L87))/('Item 5.1 (ASG)'!G158+'Item 5.2 (ASG Banheirista)'!G158))</f>
        <v>21.347442749999995</v>
      </c>
    </row>
    <row r="89" spans="1:13" x14ac:dyDescent="0.35">
      <c r="F89" s="29"/>
      <c r="H89" s="29"/>
      <c r="J89" s="29"/>
      <c r="L89" s="29"/>
      <c r="M89" s="29"/>
    </row>
  </sheetData>
  <sheetProtection algorithmName="SHA-512" hashValue="AVSSRV06w1qhVpd1sORCvAHjtV1ZbIHyreswTXkD1fObP1DNUv/tMfSew5Ok0u/0ETH8Eff3RBDUsCy2fmvTrQ==" saltValue="UfbuEF9Y3c8Nxrn4fMvR/Q==" spinCount="100000" sheet="1" objects="1" scenarios="1"/>
  <sortState ref="A3:H42">
    <sortCondition ref="B3:B42"/>
  </sortState>
  <mergeCells count="12">
    <mergeCell ref="A43:G43"/>
    <mergeCell ref="A1:H1"/>
    <mergeCell ref="D46:D47"/>
    <mergeCell ref="E46:F46"/>
    <mergeCell ref="G46:H46"/>
    <mergeCell ref="A88:D88"/>
    <mergeCell ref="I46:J46"/>
    <mergeCell ref="K46:L46"/>
    <mergeCell ref="A45:L45"/>
    <mergeCell ref="A46:A47"/>
    <mergeCell ref="B46:B47"/>
    <mergeCell ref="C46:C47"/>
  </mergeCells>
  <pageMargins left="0.511811024" right="0.511811024" top="0.78740157499999996" bottom="0.78740157499999996" header="0.31496062000000002" footer="0.31496062000000002"/>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9A303-EE18-468B-9883-A6E6EE0CB93A}">
  <sheetPr>
    <tabColor theme="3" tint="0.59999389629810485"/>
  </sheetPr>
  <dimension ref="A1:H113"/>
  <sheetViews>
    <sheetView workbookViewId="0">
      <selection activeCell="B112" sqref="B112"/>
    </sheetView>
  </sheetViews>
  <sheetFormatPr defaultRowHeight="14.5" x14ac:dyDescent="0.35"/>
  <cols>
    <col min="2" max="2" width="93.81640625" customWidth="1"/>
    <col min="3" max="3" width="15" bestFit="1" customWidth="1"/>
    <col min="4" max="4" width="22.36328125" bestFit="1" customWidth="1"/>
    <col min="5" max="5" width="23.26953125" bestFit="1" customWidth="1"/>
    <col min="6" max="7" width="15.1796875" bestFit="1" customWidth="1"/>
    <col min="8" max="8" width="20.36328125" customWidth="1"/>
  </cols>
  <sheetData>
    <row r="1" spans="1:8" x14ac:dyDescent="0.35">
      <c r="A1" s="504" t="s">
        <v>355</v>
      </c>
      <c r="B1" s="504"/>
      <c r="C1" s="504"/>
      <c r="D1" s="504"/>
      <c r="E1" s="504"/>
      <c r="F1" s="504"/>
      <c r="G1" s="504"/>
      <c r="H1" s="504"/>
    </row>
    <row r="2" spans="1:8" x14ac:dyDescent="0.35">
      <c r="A2" s="504" t="s">
        <v>142</v>
      </c>
      <c r="B2" s="504" t="s">
        <v>143</v>
      </c>
      <c r="C2" s="504" t="s">
        <v>345</v>
      </c>
      <c r="D2" s="504" t="s">
        <v>354</v>
      </c>
      <c r="E2" s="504"/>
      <c r="F2" s="504"/>
      <c r="G2" s="504"/>
      <c r="H2" s="505" t="s">
        <v>157</v>
      </c>
    </row>
    <row r="3" spans="1:8" x14ac:dyDescent="0.35">
      <c r="A3" s="504"/>
      <c r="B3" s="504"/>
      <c r="C3" s="504"/>
      <c r="D3" s="36" t="s">
        <v>236</v>
      </c>
      <c r="E3" s="36" t="s">
        <v>169</v>
      </c>
      <c r="F3" s="36" t="s">
        <v>170</v>
      </c>
      <c r="G3" s="36" t="s">
        <v>171</v>
      </c>
      <c r="H3" s="505"/>
    </row>
    <row r="4" spans="1:8" ht="26" x14ac:dyDescent="0.35">
      <c r="A4" s="33">
        <v>1</v>
      </c>
      <c r="B4" s="4" t="s">
        <v>346</v>
      </c>
      <c r="C4" s="52">
        <v>12</v>
      </c>
      <c r="D4" s="33">
        <v>40</v>
      </c>
      <c r="E4" s="33">
        <v>1</v>
      </c>
      <c r="F4" s="33">
        <v>3</v>
      </c>
      <c r="G4" s="33">
        <v>3</v>
      </c>
      <c r="H4" s="33">
        <f>SUM(D4:G4)*C4</f>
        <v>564</v>
      </c>
    </row>
    <row r="5" spans="1:8" x14ac:dyDescent="0.35">
      <c r="A5" s="33">
        <v>2</v>
      </c>
      <c r="B5" s="4" t="s">
        <v>239</v>
      </c>
      <c r="C5" s="52">
        <v>12</v>
      </c>
      <c r="D5" s="33">
        <v>30</v>
      </c>
      <c r="E5" s="33">
        <v>5</v>
      </c>
      <c r="F5" s="33">
        <v>5</v>
      </c>
      <c r="G5" s="33">
        <v>5</v>
      </c>
      <c r="H5" s="33">
        <f t="shared" ref="H5:H65" si="0">SUM(D5:G5)*C5</f>
        <v>540</v>
      </c>
    </row>
    <row r="6" spans="1:8" x14ac:dyDescent="0.35">
      <c r="A6" s="33">
        <v>3</v>
      </c>
      <c r="B6" s="4" t="s">
        <v>241</v>
      </c>
      <c r="C6" s="52">
        <v>12</v>
      </c>
      <c r="D6" s="33">
        <v>12</v>
      </c>
      <c r="E6" s="33">
        <v>5</v>
      </c>
      <c r="F6" s="33">
        <v>5</v>
      </c>
      <c r="G6" s="33">
        <v>5</v>
      </c>
      <c r="H6" s="33">
        <f t="shared" si="0"/>
        <v>324</v>
      </c>
    </row>
    <row r="7" spans="1:8" x14ac:dyDescent="0.35">
      <c r="A7" s="33">
        <v>4</v>
      </c>
      <c r="B7" s="4" t="s">
        <v>243</v>
      </c>
      <c r="C7" s="52">
        <v>1</v>
      </c>
      <c r="D7" s="33">
        <v>1</v>
      </c>
      <c r="E7" s="33">
        <v>0</v>
      </c>
      <c r="F7" s="33">
        <v>1</v>
      </c>
      <c r="G7" s="33">
        <v>1</v>
      </c>
      <c r="H7" s="33">
        <f t="shared" si="0"/>
        <v>3</v>
      </c>
    </row>
    <row r="8" spans="1:8" x14ac:dyDescent="0.35">
      <c r="A8" s="33">
        <v>5</v>
      </c>
      <c r="B8" s="4" t="s">
        <v>244</v>
      </c>
      <c r="C8" s="52">
        <v>1</v>
      </c>
      <c r="D8" s="33">
        <v>20</v>
      </c>
      <c r="E8" s="33">
        <v>3</v>
      </c>
      <c r="F8" s="33">
        <v>4</v>
      </c>
      <c r="G8" s="33">
        <v>3</v>
      </c>
      <c r="H8" s="33">
        <f t="shared" si="0"/>
        <v>30</v>
      </c>
    </row>
    <row r="9" spans="1:8" ht="26" x14ac:dyDescent="0.35">
      <c r="A9" s="33">
        <v>6</v>
      </c>
      <c r="B9" s="4" t="s">
        <v>347</v>
      </c>
      <c r="C9" s="52">
        <v>4</v>
      </c>
      <c r="D9" s="33">
        <v>1</v>
      </c>
      <c r="E9" s="33">
        <v>0</v>
      </c>
      <c r="F9" s="33">
        <v>0</v>
      </c>
      <c r="G9" s="33">
        <v>0</v>
      </c>
      <c r="H9" s="33">
        <f t="shared" si="0"/>
        <v>4</v>
      </c>
    </row>
    <row r="10" spans="1:8" x14ac:dyDescent="0.35">
      <c r="A10" s="33">
        <v>7</v>
      </c>
      <c r="B10" s="48" t="s">
        <v>245</v>
      </c>
      <c r="C10" s="53">
        <v>2</v>
      </c>
      <c r="D10" s="33">
        <v>1</v>
      </c>
      <c r="E10" s="33">
        <v>0</v>
      </c>
      <c r="F10" s="33">
        <v>0</v>
      </c>
      <c r="G10" s="33">
        <v>0</v>
      </c>
      <c r="H10" s="33">
        <f t="shared" si="0"/>
        <v>2</v>
      </c>
    </row>
    <row r="11" spans="1:8" ht="26" x14ac:dyDescent="0.35">
      <c r="A11" s="33">
        <v>8</v>
      </c>
      <c r="B11" s="48" t="s">
        <v>247</v>
      </c>
      <c r="C11" s="53">
        <v>12</v>
      </c>
      <c r="D11" s="33">
        <v>1</v>
      </c>
      <c r="E11" s="33">
        <v>0</v>
      </c>
      <c r="F11" s="33">
        <v>0</v>
      </c>
      <c r="G11" s="33">
        <v>0</v>
      </c>
      <c r="H11" s="33">
        <f t="shared" si="0"/>
        <v>12</v>
      </c>
    </row>
    <row r="12" spans="1:8" x14ac:dyDescent="0.35">
      <c r="A12" s="33">
        <v>9</v>
      </c>
      <c r="B12" s="48" t="s">
        <v>348</v>
      </c>
      <c r="C12" s="53">
        <v>6</v>
      </c>
      <c r="D12" s="33">
        <v>1</v>
      </c>
      <c r="E12" s="33">
        <v>0</v>
      </c>
      <c r="F12" s="33">
        <v>0</v>
      </c>
      <c r="G12" s="33">
        <v>0</v>
      </c>
      <c r="H12" s="33">
        <f t="shared" si="0"/>
        <v>6</v>
      </c>
    </row>
    <row r="13" spans="1:8" ht="26" x14ac:dyDescent="0.35">
      <c r="A13" s="33">
        <v>10</v>
      </c>
      <c r="B13" s="4" t="s">
        <v>249</v>
      </c>
      <c r="C13" s="52">
        <v>12</v>
      </c>
      <c r="D13" s="33">
        <v>4</v>
      </c>
      <c r="E13" s="33">
        <v>2</v>
      </c>
      <c r="F13" s="33">
        <v>2</v>
      </c>
      <c r="G13" s="33">
        <v>2</v>
      </c>
      <c r="H13" s="33">
        <f t="shared" si="0"/>
        <v>120</v>
      </c>
    </row>
    <row r="14" spans="1:8" ht="39" x14ac:dyDescent="0.35">
      <c r="A14" s="33">
        <v>11</v>
      </c>
      <c r="B14" s="4" t="s">
        <v>349</v>
      </c>
      <c r="C14" s="52">
        <v>12</v>
      </c>
      <c r="D14" s="33">
        <v>20</v>
      </c>
      <c r="E14" s="33">
        <v>5</v>
      </c>
      <c r="F14" s="33">
        <v>5</v>
      </c>
      <c r="G14" s="33">
        <v>5</v>
      </c>
      <c r="H14" s="33">
        <f t="shared" si="0"/>
        <v>420</v>
      </c>
    </row>
    <row r="15" spans="1:8" ht="26" x14ac:dyDescent="0.35">
      <c r="A15" s="33">
        <v>12</v>
      </c>
      <c r="B15" s="48" t="s">
        <v>252</v>
      </c>
      <c r="C15" s="53">
        <v>6</v>
      </c>
      <c r="D15" s="33">
        <v>1</v>
      </c>
      <c r="E15" s="33">
        <v>0</v>
      </c>
      <c r="F15" s="33">
        <v>0</v>
      </c>
      <c r="G15" s="33">
        <v>0</v>
      </c>
      <c r="H15" s="33">
        <f t="shared" si="0"/>
        <v>6</v>
      </c>
    </row>
    <row r="16" spans="1:8" ht="26" x14ac:dyDescent="0.35">
      <c r="A16" s="33">
        <v>13</v>
      </c>
      <c r="B16" s="48" t="s">
        <v>253</v>
      </c>
      <c r="C16" s="53">
        <v>6</v>
      </c>
      <c r="D16" s="33">
        <v>1</v>
      </c>
      <c r="E16" s="33">
        <v>0</v>
      </c>
      <c r="F16" s="33">
        <v>0</v>
      </c>
      <c r="G16" s="33">
        <v>0</v>
      </c>
      <c r="H16" s="33">
        <f t="shared" si="0"/>
        <v>6</v>
      </c>
    </row>
    <row r="17" spans="1:8" ht="26" x14ac:dyDescent="0.35">
      <c r="A17" s="33">
        <v>14</v>
      </c>
      <c r="B17" s="4" t="s">
        <v>254</v>
      </c>
      <c r="C17" s="52">
        <v>12</v>
      </c>
      <c r="D17" s="33">
        <v>6</v>
      </c>
      <c r="E17" s="33">
        <v>1</v>
      </c>
      <c r="F17" s="33">
        <v>1</v>
      </c>
      <c r="G17" s="33">
        <v>1</v>
      </c>
      <c r="H17" s="33">
        <f t="shared" si="0"/>
        <v>108</v>
      </c>
    </row>
    <row r="18" spans="1:8" x14ac:dyDescent="0.35">
      <c r="A18" s="33">
        <v>15</v>
      </c>
      <c r="B18" s="4" t="s">
        <v>255</v>
      </c>
      <c r="C18" s="52">
        <v>6</v>
      </c>
      <c r="D18" s="33">
        <v>5</v>
      </c>
      <c r="E18" s="33">
        <v>0</v>
      </c>
      <c r="F18" s="33">
        <v>0</v>
      </c>
      <c r="G18" s="33">
        <v>1</v>
      </c>
      <c r="H18" s="33">
        <f t="shared" si="0"/>
        <v>36</v>
      </c>
    </row>
    <row r="19" spans="1:8" x14ac:dyDescent="0.35">
      <c r="A19" s="33">
        <v>16</v>
      </c>
      <c r="B19" s="4" t="s">
        <v>256</v>
      </c>
      <c r="C19" s="52">
        <v>6</v>
      </c>
      <c r="D19" s="33">
        <v>5</v>
      </c>
      <c r="E19" s="33">
        <v>0</v>
      </c>
      <c r="F19" s="33">
        <v>0</v>
      </c>
      <c r="G19" s="33">
        <v>1</v>
      </c>
      <c r="H19" s="33">
        <f t="shared" si="0"/>
        <v>36</v>
      </c>
    </row>
    <row r="20" spans="1:8" x14ac:dyDescent="0.35">
      <c r="A20" s="33">
        <v>17</v>
      </c>
      <c r="B20" s="4" t="s">
        <v>257</v>
      </c>
      <c r="C20" s="52">
        <v>6</v>
      </c>
      <c r="D20" s="33">
        <v>5</v>
      </c>
      <c r="E20" s="33">
        <v>0</v>
      </c>
      <c r="F20" s="33">
        <v>0</v>
      </c>
      <c r="G20" s="33">
        <v>1</v>
      </c>
      <c r="H20" s="33">
        <f t="shared" si="0"/>
        <v>36</v>
      </c>
    </row>
    <row r="21" spans="1:8" x14ac:dyDescent="0.35">
      <c r="A21" s="33">
        <v>18</v>
      </c>
      <c r="B21" s="4" t="s">
        <v>350</v>
      </c>
      <c r="C21" s="52">
        <v>2</v>
      </c>
      <c r="D21" s="33">
        <v>10</v>
      </c>
      <c r="E21" s="33">
        <v>1</v>
      </c>
      <c r="F21" s="33">
        <v>1</v>
      </c>
      <c r="G21" s="33">
        <v>1</v>
      </c>
      <c r="H21" s="33">
        <f t="shared" si="0"/>
        <v>26</v>
      </c>
    </row>
    <row r="22" spans="1:8" ht="26" x14ac:dyDescent="0.35">
      <c r="A22" s="33">
        <v>19</v>
      </c>
      <c r="B22" s="4" t="s">
        <v>259</v>
      </c>
      <c r="C22" s="52">
        <v>12</v>
      </c>
      <c r="D22" s="33">
        <v>20</v>
      </c>
      <c r="E22" s="33">
        <v>4</v>
      </c>
      <c r="F22" s="33">
        <v>6</v>
      </c>
      <c r="G22" s="33">
        <v>6</v>
      </c>
      <c r="H22" s="33">
        <f t="shared" si="0"/>
        <v>432</v>
      </c>
    </row>
    <row r="23" spans="1:8" x14ac:dyDescent="0.35">
      <c r="A23" s="33">
        <v>20</v>
      </c>
      <c r="B23" s="33" t="s">
        <v>260</v>
      </c>
      <c r="C23" s="52">
        <v>12</v>
      </c>
      <c r="D23" s="33">
        <v>30</v>
      </c>
      <c r="E23" s="33">
        <v>4</v>
      </c>
      <c r="F23" s="33">
        <v>6</v>
      </c>
      <c r="G23" s="33">
        <v>6</v>
      </c>
      <c r="H23" s="33">
        <f t="shared" si="0"/>
        <v>552</v>
      </c>
    </row>
    <row r="24" spans="1:8" ht="26" x14ac:dyDescent="0.35">
      <c r="A24" s="33">
        <v>21</v>
      </c>
      <c r="B24" s="4" t="s">
        <v>261</v>
      </c>
      <c r="C24" s="52">
        <v>2</v>
      </c>
      <c r="D24" s="33">
        <v>1</v>
      </c>
      <c r="E24" s="33">
        <v>0</v>
      </c>
      <c r="F24" s="33">
        <v>0</v>
      </c>
      <c r="G24" s="33">
        <v>0</v>
      </c>
      <c r="H24" s="33">
        <f t="shared" si="0"/>
        <v>2</v>
      </c>
    </row>
    <row r="25" spans="1:8" x14ac:dyDescent="0.35">
      <c r="A25" s="33">
        <v>22</v>
      </c>
      <c r="B25" s="48" t="s">
        <v>262</v>
      </c>
      <c r="C25" s="53">
        <v>12</v>
      </c>
      <c r="D25" s="33">
        <v>10</v>
      </c>
      <c r="E25" s="33">
        <v>0</v>
      </c>
      <c r="F25" s="33">
        <v>3</v>
      </c>
      <c r="G25" s="33">
        <v>3</v>
      </c>
      <c r="H25" s="33">
        <f t="shared" si="0"/>
        <v>192</v>
      </c>
    </row>
    <row r="26" spans="1:8" ht="26" x14ac:dyDescent="0.35">
      <c r="A26" s="33">
        <v>23</v>
      </c>
      <c r="B26" s="4" t="s">
        <v>264</v>
      </c>
      <c r="C26" s="52">
        <v>4</v>
      </c>
      <c r="D26" s="33">
        <v>1</v>
      </c>
      <c r="E26" s="33">
        <v>0</v>
      </c>
      <c r="F26" s="33">
        <v>0</v>
      </c>
      <c r="G26" s="33">
        <v>0</v>
      </c>
      <c r="H26" s="33">
        <f t="shared" si="0"/>
        <v>4</v>
      </c>
    </row>
    <row r="27" spans="1:8" x14ac:dyDescent="0.35">
      <c r="A27" s="33">
        <v>24</v>
      </c>
      <c r="B27" s="4" t="s">
        <v>266</v>
      </c>
      <c r="C27" s="52">
        <v>12</v>
      </c>
      <c r="D27" s="33">
        <v>5</v>
      </c>
      <c r="E27" s="33">
        <v>1</v>
      </c>
      <c r="F27" s="33">
        <v>2</v>
      </c>
      <c r="G27" s="33">
        <v>2</v>
      </c>
      <c r="H27" s="33">
        <f t="shared" si="0"/>
        <v>120</v>
      </c>
    </row>
    <row r="28" spans="1:8" x14ac:dyDescent="0.35">
      <c r="A28" s="33">
        <v>25</v>
      </c>
      <c r="B28" s="4" t="s">
        <v>267</v>
      </c>
      <c r="C28" s="52">
        <v>12</v>
      </c>
      <c r="D28" s="33">
        <v>25</v>
      </c>
      <c r="E28" s="33">
        <v>5</v>
      </c>
      <c r="F28" s="33">
        <v>10</v>
      </c>
      <c r="G28" s="33">
        <v>10</v>
      </c>
      <c r="H28" s="33">
        <f t="shared" si="0"/>
        <v>600</v>
      </c>
    </row>
    <row r="29" spans="1:8" x14ac:dyDescent="0.35">
      <c r="A29" s="33">
        <v>26</v>
      </c>
      <c r="B29" s="4" t="s">
        <v>268</v>
      </c>
      <c r="C29" s="52">
        <v>4</v>
      </c>
      <c r="D29" s="33">
        <v>2</v>
      </c>
      <c r="E29" s="33">
        <v>0</v>
      </c>
      <c r="F29" s="33">
        <v>0</v>
      </c>
      <c r="G29" s="33">
        <v>0</v>
      </c>
      <c r="H29" s="33">
        <f t="shared" si="0"/>
        <v>8</v>
      </c>
    </row>
    <row r="30" spans="1:8" x14ac:dyDescent="0.35">
      <c r="A30" s="33">
        <v>27</v>
      </c>
      <c r="B30" s="4" t="s">
        <v>351</v>
      </c>
      <c r="C30" s="52">
        <v>2</v>
      </c>
      <c r="D30" s="33">
        <v>1</v>
      </c>
      <c r="E30" s="33">
        <v>0</v>
      </c>
      <c r="F30" s="33">
        <v>0</v>
      </c>
      <c r="G30" s="33">
        <v>0</v>
      </c>
      <c r="H30" s="33">
        <f t="shared" si="0"/>
        <v>2</v>
      </c>
    </row>
    <row r="31" spans="1:8" ht="26" x14ac:dyDescent="0.35">
      <c r="A31" s="33">
        <v>28</v>
      </c>
      <c r="B31" s="4" t="s">
        <v>270</v>
      </c>
      <c r="C31" s="52">
        <v>6</v>
      </c>
      <c r="D31" s="33">
        <v>1</v>
      </c>
      <c r="E31" s="33">
        <v>0</v>
      </c>
      <c r="F31" s="33">
        <v>1</v>
      </c>
      <c r="G31" s="33">
        <v>1</v>
      </c>
      <c r="H31" s="33">
        <f t="shared" si="0"/>
        <v>18</v>
      </c>
    </row>
    <row r="32" spans="1:8" ht="26" x14ac:dyDescent="0.35">
      <c r="A32" s="33">
        <v>29</v>
      </c>
      <c r="B32" s="4" t="s">
        <v>272</v>
      </c>
      <c r="C32" s="52">
        <v>12</v>
      </c>
      <c r="D32" s="33">
        <v>1</v>
      </c>
      <c r="E32" s="33">
        <v>0</v>
      </c>
      <c r="F32" s="33">
        <v>1</v>
      </c>
      <c r="G32" s="33">
        <v>1</v>
      </c>
      <c r="H32" s="33">
        <f t="shared" si="0"/>
        <v>36</v>
      </c>
    </row>
    <row r="33" spans="1:8" x14ac:dyDescent="0.35">
      <c r="A33" s="33">
        <v>30</v>
      </c>
      <c r="B33" s="48" t="s">
        <v>274</v>
      </c>
      <c r="C33" s="53">
        <v>12</v>
      </c>
      <c r="D33" s="33">
        <v>5</v>
      </c>
      <c r="E33" s="33">
        <v>4</v>
      </c>
      <c r="F33" s="33">
        <v>2</v>
      </c>
      <c r="G33" s="33">
        <v>2</v>
      </c>
      <c r="H33" s="33">
        <f t="shared" si="0"/>
        <v>156</v>
      </c>
    </row>
    <row r="34" spans="1:8" x14ac:dyDescent="0.35">
      <c r="A34" s="33">
        <v>31</v>
      </c>
      <c r="B34" s="4" t="s">
        <v>275</v>
      </c>
      <c r="C34" s="52">
        <v>12</v>
      </c>
      <c r="D34" s="33">
        <v>1</v>
      </c>
      <c r="E34" s="33">
        <v>0</v>
      </c>
      <c r="F34" s="33">
        <v>0</v>
      </c>
      <c r="G34" s="33">
        <v>0</v>
      </c>
      <c r="H34" s="33">
        <f t="shared" si="0"/>
        <v>12</v>
      </c>
    </row>
    <row r="35" spans="1:8" x14ac:dyDescent="0.35">
      <c r="A35" s="33">
        <v>32</v>
      </c>
      <c r="B35" s="4" t="s">
        <v>276</v>
      </c>
      <c r="C35" s="52">
        <v>12</v>
      </c>
      <c r="D35" s="33">
        <v>60</v>
      </c>
      <c r="E35" s="33">
        <v>5</v>
      </c>
      <c r="F35" s="33">
        <v>5</v>
      </c>
      <c r="G35" s="33">
        <v>5</v>
      </c>
      <c r="H35" s="33">
        <f t="shared" si="0"/>
        <v>900</v>
      </c>
    </row>
    <row r="36" spans="1:8" ht="26" x14ac:dyDescent="0.35">
      <c r="A36" s="33">
        <v>33</v>
      </c>
      <c r="B36" s="4" t="s">
        <v>277</v>
      </c>
      <c r="C36" s="52">
        <v>12</v>
      </c>
      <c r="D36" s="33">
        <v>6</v>
      </c>
      <c r="E36" s="33">
        <v>2</v>
      </c>
      <c r="F36" s="33">
        <v>2</v>
      </c>
      <c r="G36" s="33">
        <v>2</v>
      </c>
      <c r="H36" s="33">
        <f t="shared" si="0"/>
        <v>144</v>
      </c>
    </row>
    <row r="37" spans="1:8" x14ac:dyDescent="0.35">
      <c r="A37" s="33">
        <v>34</v>
      </c>
      <c r="B37" s="4" t="s">
        <v>278</v>
      </c>
      <c r="C37" s="52">
        <v>6</v>
      </c>
      <c r="D37" s="33">
        <v>8</v>
      </c>
      <c r="E37" s="33">
        <v>1</v>
      </c>
      <c r="F37" s="33">
        <v>1</v>
      </c>
      <c r="G37" s="33">
        <v>1</v>
      </c>
      <c r="H37" s="33">
        <f t="shared" si="0"/>
        <v>66</v>
      </c>
    </row>
    <row r="38" spans="1:8" x14ac:dyDescent="0.35">
      <c r="A38" s="33">
        <v>35</v>
      </c>
      <c r="B38" s="4" t="s">
        <v>279</v>
      </c>
      <c r="C38" s="52">
        <v>12</v>
      </c>
      <c r="D38" s="33">
        <v>20</v>
      </c>
      <c r="E38" s="33">
        <v>5</v>
      </c>
      <c r="F38" s="33">
        <v>5</v>
      </c>
      <c r="G38" s="33">
        <v>5</v>
      </c>
      <c r="H38" s="33">
        <f t="shared" si="0"/>
        <v>420</v>
      </c>
    </row>
    <row r="39" spans="1:8" x14ac:dyDescent="0.35">
      <c r="A39" s="33">
        <v>36</v>
      </c>
      <c r="B39" s="4" t="s">
        <v>280</v>
      </c>
      <c r="C39" s="52">
        <v>1</v>
      </c>
      <c r="D39" s="33">
        <v>2</v>
      </c>
      <c r="E39" s="33">
        <v>0</v>
      </c>
      <c r="F39" s="33">
        <v>1</v>
      </c>
      <c r="G39" s="33">
        <v>1</v>
      </c>
      <c r="H39" s="33">
        <f t="shared" si="0"/>
        <v>4</v>
      </c>
    </row>
    <row r="40" spans="1:8" x14ac:dyDescent="0.35">
      <c r="A40" s="33">
        <v>37</v>
      </c>
      <c r="B40" s="48" t="s">
        <v>281</v>
      </c>
      <c r="C40" s="53">
        <v>2</v>
      </c>
      <c r="D40" s="33">
        <v>1</v>
      </c>
      <c r="E40" s="33">
        <v>0</v>
      </c>
      <c r="F40" s="33">
        <v>0</v>
      </c>
      <c r="G40" s="33">
        <v>0</v>
      </c>
      <c r="H40" s="33">
        <f t="shared" si="0"/>
        <v>2</v>
      </c>
    </row>
    <row r="41" spans="1:8" x14ac:dyDescent="0.35">
      <c r="A41" s="33">
        <v>38</v>
      </c>
      <c r="B41" s="4" t="s">
        <v>283</v>
      </c>
      <c r="C41" s="52">
        <v>12</v>
      </c>
      <c r="D41" s="33">
        <v>12</v>
      </c>
      <c r="E41" s="33">
        <v>2</v>
      </c>
      <c r="F41" s="33">
        <v>6</v>
      </c>
      <c r="G41" s="33">
        <v>6</v>
      </c>
      <c r="H41" s="33">
        <f t="shared" si="0"/>
        <v>312</v>
      </c>
    </row>
    <row r="42" spans="1:8" x14ac:dyDescent="0.35">
      <c r="A42" s="33">
        <v>39</v>
      </c>
      <c r="B42" s="4" t="s">
        <v>284</v>
      </c>
      <c r="C42" s="52">
        <v>2</v>
      </c>
      <c r="D42" s="33">
        <v>16</v>
      </c>
      <c r="E42" s="33">
        <v>0</v>
      </c>
      <c r="F42" s="33">
        <v>7</v>
      </c>
      <c r="G42" s="33">
        <v>7</v>
      </c>
      <c r="H42" s="33">
        <f t="shared" si="0"/>
        <v>60</v>
      </c>
    </row>
    <row r="43" spans="1:8" x14ac:dyDescent="0.35">
      <c r="A43" s="33">
        <v>40</v>
      </c>
      <c r="B43" s="4" t="s">
        <v>285</v>
      </c>
      <c r="C43" s="52">
        <v>4</v>
      </c>
      <c r="D43" s="33">
        <v>0</v>
      </c>
      <c r="E43" s="33">
        <v>0</v>
      </c>
      <c r="F43" s="33">
        <v>1</v>
      </c>
      <c r="G43" s="33">
        <v>1</v>
      </c>
      <c r="H43" s="33">
        <f t="shared" si="0"/>
        <v>8</v>
      </c>
    </row>
    <row r="44" spans="1:8" x14ac:dyDescent="0.35">
      <c r="A44" s="33">
        <v>41</v>
      </c>
      <c r="B44" s="4" t="s">
        <v>287</v>
      </c>
      <c r="C44" s="52">
        <v>1</v>
      </c>
      <c r="D44" s="33">
        <v>15</v>
      </c>
      <c r="E44" s="33">
        <v>2</v>
      </c>
      <c r="F44" s="33">
        <v>3</v>
      </c>
      <c r="G44" s="33">
        <v>3</v>
      </c>
      <c r="H44" s="33">
        <f t="shared" si="0"/>
        <v>23</v>
      </c>
    </row>
    <row r="45" spans="1:8" x14ac:dyDescent="0.35">
      <c r="A45" s="33">
        <v>42</v>
      </c>
      <c r="B45" s="4" t="s">
        <v>288</v>
      </c>
      <c r="C45" s="52">
        <v>12</v>
      </c>
      <c r="D45" s="33">
        <v>30</v>
      </c>
      <c r="E45" s="33">
        <v>5</v>
      </c>
      <c r="F45" s="33">
        <v>10</v>
      </c>
      <c r="G45" s="33">
        <v>10</v>
      </c>
      <c r="H45" s="33">
        <f t="shared" si="0"/>
        <v>660</v>
      </c>
    </row>
    <row r="46" spans="1:8" x14ac:dyDescent="0.35">
      <c r="A46" s="33">
        <v>43</v>
      </c>
      <c r="B46" s="48" t="s">
        <v>289</v>
      </c>
      <c r="C46" s="53">
        <v>6</v>
      </c>
      <c r="D46" s="33">
        <v>12</v>
      </c>
      <c r="E46" s="33">
        <v>4</v>
      </c>
      <c r="F46" s="33">
        <v>8</v>
      </c>
      <c r="G46" s="33">
        <v>8</v>
      </c>
      <c r="H46" s="33">
        <f t="shared" si="0"/>
        <v>192</v>
      </c>
    </row>
    <row r="47" spans="1:8" ht="26" x14ac:dyDescent="0.35">
      <c r="A47" s="33">
        <v>44</v>
      </c>
      <c r="B47" s="4" t="s">
        <v>352</v>
      </c>
      <c r="C47" s="52">
        <v>12</v>
      </c>
      <c r="D47" s="33">
        <v>10</v>
      </c>
      <c r="E47" s="33">
        <v>2</v>
      </c>
      <c r="F47" s="33">
        <v>2</v>
      </c>
      <c r="G47" s="33">
        <v>2</v>
      </c>
      <c r="H47" s="33">
        <f t="shared" si="0"/>
        <v>192</v>
      </c>
    </row>
    <row r="48" spans="1:8" x14ac:dyDescent="0.35">
      <c r="A48" s="33">
        <v>45</v>
      </c>
      <c r="B48" s="48" t="s">
        <v>292</v>
      </c>
      <c r="C48" s="53">
        <v>12</v>
      </c>
      <c r="D48" s="33">
        <v>80</v>
      </c>
      <c r="E48" s="33">
        <v>10</v>
      </c>
      <c r="F48" s="33">
        <v>10</v>
      </c>
      <c r="G48" s="33">
        <v>10</v>
      </c>
      <c r="H48" s="33">
        <f t="shared" si="0"/>
        <v>1320</v>
      </c>
    </row>
    <row r="49" spans="1:8" x14ac:dyDescent="0.35">
      <c r="A49" s="33">
        <v>46</v>
      </c>
      <c r="B49" s="48" t="s">
        <v>294</v>
      </c>
      <c r="C49" s="53">
        <v>12</v>
      </c>
      <c r="D49" s="33">
        <v>6</v>
      </c>
      <c r="E49" s="33">
        <v>0</v>
      </c>
      <c r="F49" s="33">
        <v>5</v>
      </c>
      <c r="G49" s="33">
        <v>5</v>
      </c>
      <c r="H49" s="33">
        <f t="shared" si="0"/>
        <v>192</v>
      </c>
    </row>
    <row r="50" spans="1:8" x14ac:dyDescent="0.35">
      <c r="A50" s="33">
        <v>47</v>
      </c>
      <c r="B50" s="48" t="s">
        <v>295</v>
      </c>
      <c r="C50" s="53">
        <v>12</v>
      </c>
      <c r="D50" s="33">
        <v>4</v>
      </c>
      <c r="E50" s="33">
        <v>0</v>
      </c>
      <c r="F50" s="33">
        <v>1</v>
      </c>
      <c r="G50" s="33">
        <v>1</v>
      </c>
      <c r="H50" s="33">
        <f t="shared" si="0"/>
        <v>72</v>
      </c>
    </row>
    <row r="51" spans="1:8" x14ac:dyDescent="0.35">
      <c r="A51" s="33">
        <v>48</v>
      </c>
      <c r="B51" s="4" t="s">
        <v>297</v>
      </c>
      <c r="C51" s="52">
        <v>12</v>
      </c>
      <c r="D51" s="33">
        <v>2</v>
      </c>
      <c r="E51" s="33">
        <v>0</v>
      </c>
      <c r="F51" s="33">
        <v>0</v>
      </c>
      <c r="G51" s="33">
        <v>0</v>
      </c>
      <c r="H51" s="33">
        <f t="shared" si="0"/>
        <v>24</v>
      </c>
    </row>
    <row r="52" spans="1:8" x14ac:dyDescent="0.35">
      <c r="A52" s="33">
        <v>49</v>
      </c>
      <c r="B52" s="4" t="s">
        <v>298</v>
      </c>
      <c r="C52" s="52">
        <v>1</v>
      </c>
      <c r="D52" s="33">
        <v>20</v>
      </c>
      <c r="E52" s="33">
        <v>4</v>
      </c>
      <c r="F52" s="33">
        <v>4</v>
      </c>
      <c r="G52" s="33">
        <v>4</v>
      </c>
      <c r="H52" s="33">
        <f t="shared" si="0"/>
        <v>32</v>
      </c>
    </row>
    <row r="53" spans="1:8" x14ac:dyDescent="0.35">
      <c r="A53" s="33">
        <v>50</v>
      </c>
      <c r="B53" s="4" t="s">
        <v>299</v>
      </c>
      <c r="C53" s="52">
        <v>12</v>
      </c>
      <c r="D53" s="33">
        <v>5</v>
      </c>
      <c r="E53" s="33">
        <v>1</v>
      </c>
      <c r="F53" s="33">
        <v>1</v>
      </c>
      <c r="G53" s="33">
        <v>1</v>
      </c>
      <c r="H53" s="33">
        <f t="shared" si="0"/>
        <v>96</v>
      </c>
    </row>
    <row r="54" spans="1:8" x14ac:dyDescent="0.35">
      <c r="A54" s="33">
        <v>51</v>
      </c>
      <c r="B54" s="4" t="s">
        <v>301</v>
      </c>
      <c r="C54" s="52">
        <v>12</v>
      </c>
      <c r="D54" s="33">
        <v>8</v>
      </c>
      <c r="E54" s="33">
        <v>1</v>
      </c>
      <c r="F54" s="33">
        <v>1</v>
      </c>
      <c r="G54" s="33">
        <v>1</v>
      </c>
      <c r="H54" s="33">
        <f t="shared" si="0"/>
        <v>132</v>
      </c>
    </row>
    <row r="55" spans="1:8" x14ac:dyDescent="0.35">
      <c r="A55" s="33">
        <v>52</v>
      </c>
      <c r="B55" s="4" t="s">
        <v>303</v>
      </c>
      <c r="C55" s="52">
        <v>6</v>
      </c>
      <c r="D55" s="33">
        <v>1</v>
      </c>
      <c r="E55" s="33">
        <v>0</v>
      </c>
      <c r="F55" s="33">
        <v>0</v>
      </c>
      <c r="G55" s="33">
        <v>0</v>
      </c>
      <c r="H55" s="33">
        <f t="shared" si="0"/>
        <v>6</v>
      </c>
    </row>
    <row r="56" spans="1:8" x14ac:dyDescent="0.35">
      <c r="A56" s="33">
        <v>53</v>
      </c>
      <c r="B56" s="4" t="s">
        <v>304</v>
      </c>
      <c r="C56" s="52">
        <v>12</v>
      </c>
      <c r="D56" s="33">
        <v>10</v>
      </c>
      <c r="E56" s="33">
        <v>1</v>
      </c>
      <c r="F56" s="33">
        <v>1</v>
      </c>
      <c r="G56" s="33">
        <v>1</v>
      </c>
      <c r="H56" s="33">
        <f t="shared" si="0"/>
        <v>156</v>
      </c>
    </row>
    <row r="57" spans="1:8" x14ac:dyDescent="0.35">
      <c r="A57" s="33">
        <v>54</v>
      </c>
      <c r="B57" s="4" t="s">
        <v>305</v>
      </c>
      <c r="C57" s="52">
        <v>12</v>
      </c>
      <c r="D57" s="33">
        <v>6</v>
      </c>
      <c r="E57" s="33">
        <v>2</v>
      </c>
      <c r="F57" s="33">
        <v>2</v>
      </c>
      <c r="G57" s="33">
        <v>2</v>
      </c>
      <c r="H57" s="33">
        <f t="shared" si="0"/>
        <v>144</v>
      </c>
    </row>
    <row r="58" spans="1:8" x14ac:dyDescent="0.35">
      <c r="A58" s="33">
        <v>55</v>
      </c>
      <c r="B58" s="4" t="s">
        <v>307</v>
      </c>
      <c r="C58" s="52">
        <v>12</v>
      </c>
      <c r="D58" s="33">
        <v>1</v>
      </c>
      <c r="E58" s="33">
        <v>1</v>
      </c>
      <c r="F58" s="33">
        <v>1</v>
      </c>
      <c r="G58" s="33">
        <v>1</v>
      </c>
      <c r="H58" s="33">
        <f t="shared" si="0"/>
        <v>48</v>
      </c>
    </row>
    <row r="59" spans="1:8" x14ac:dyDescent="0.35">
      <c r="A59" s="33">
        <v>56</v>
      </c>
      <c r="B59" s="4" t="s">
        <v>308</v>
      </c>
      <c r="C59" s="52">
        <v>12</v>
      </c>
      <c r="D59" s="33">
        <v>8</v>
      </c>
      <c r="E59" s="33">
        <v>1</v>
      </c>
      <c r="F59" s="33">
        <v>1</v>
      </c>
      <c r="G59" s="33">
        <v>1</v>
      </c>
      <c r="H59" s="33">
        <f t="shared" si="0"/>
        <v>132</v>
      </c>
    </row>
    <row r="60" spans="1:8" x14ac:dyDescent="0.35">
      <c r="A60" s="33">
        <v>57</v>
      </c>
      <c r="B60" s="4" t="s">
        <v>309</v>
      </c>
      <c r="C60" s="52">
        <v>12</v>
      </c>
      <c r="D60" s="33">
        <v>15</v>
      </c>
      <c r="E60" s="33">
        <v>2</v>
      </c>
      <c r="F60" s="33">
        <v>1</v>
      </c>
      <c r="G60" s="33">
        <v>1</v>
      </c>
      <c r="H60" s="33">
        <f t="shared" si="0"/>
        <v>228</v>
      </c>
    </row>
    <row r="61" spans="1:8" x14ac:dyDescent="0.35">
      <c r="A61" s="33">
        <v>58</v>
      </c>
      <c r="B61" s="4" t="s">
        <v>311</v>
      </c>
      <c r="C61" s="52">
        <v>2</v>
      </c>
      <c r="D61" s="33">
        <v>1</v>
      </c>
      <c r="E61" s="33">
        <v>0</v>
      </c>
      <c r="F61" s="33">
        <v>0</v>
      </c>
      <c r="G61" s="33">
        <v>0</v>
      </c>
      <c r="H61" s="33">
        <f t="shared" si="0"/>
        <v>2</v>
      </c>
    </row>
    <row r="62" spans="1:8" x14ac:dyDescent="0.35">
      <c r="A62" s="33">
        <v>59</v>
      </c>
      <c r="B62" s="4" t="s">
        <v>312</v>
      </c>
      <c r="C62" s="52">
        <v>12</v>
      </c>
      <c r="D62" s="33">
        <v>40</v>
      </c>
      <c r="E62" s="33">
        <v>10</v>
      </c>
      <c r="F62" s="33">
        <v>6</v>
      </c>
      <c r="G62" s="33">
        <v>6</v>
      </c>
      <c r="H62" s="33">
        <f t="shared" si="0"/>
        <v>744</v>
      </c>
    </row>
    <row r="63" spans="1:8" x14ac:dyDescent="0.35">
      <c r="A63" s="33">
        <v>60</v>
      </c>
      <c r="B63" s="4" t="s">
        <v>313</v>
      </c>
      <c r="C63" s="52">
        <v>6</v>
      </c>
      <c r="D63" s="33">
        <v>2</v>
      </c>
      <c r="E63" s="33">
        <v>0</v>
      </c>
      <c r="F63" s="33">
        <v>0</v>
      </c>
      <c r="G63" s="33">
        <v>0</v>
      </c>
      <c r="H63" s="33">
        <f t="shared" si="0"/>
        <v>12</v>
      </c>
    </row>
    <row r="64" spans="1:8" x14ac:dyDescent="0.35">
      <c r="A64" s="33">
        <v>61</v>
      </c>
      <c r="B64" s="4" t="s">
        <v>315</v>
      </c>
      <c r="C64" s="52">
        <v>12</v>
      </c>
      <c r="D64" s="33">
        <v>2</v>
      </c>
      <c r="E64" s="33">
        <v>0</v>
      </c>
      <c r="F64" s="33">
        <v>2</v>
      </c>
      <c r="G64" s="33">
        <v>2</v>
      </c>
      <c r="H64" s="33">
        <f t="shared" si="0"/>
        <v>72</v>
      </c>
    </row>
    <row r="65" spans="1:8" x14ac:dyDescent="0.35">
      <c r="A65" s="33">
        <v>62</v>
      </c>
      <c r="B65" s="4" t="s">
        <v>316</v>
      </c>
      <c r="C65" s="52">
        <v>1</v>
      </c>
      <c r="D65" s="33">
        <v>6</v>
      </c>
      <c r="E65" s="33">
        <v>3</v>
      </c>
      <c r="F65" s="33">
        <v>4</v>
      </c>
      <c r="G65" s="33">
        <v>4</v>
      </c>
      <c r="H65" s="33">
        <f t="shared" si="0"/>
        <v>17</v>
      </c>
    </row>
    <row r="66" spans="1:8" x14ac:dyDescent="0.35">
      <c r="A66" s="33">
        <v>63</v>
      </c>
      <c r="B66" s="4" t="s">
        <v>317</v>
      </c>
      <c r="C66" s="52">
        <v>1</v>
      </c>
      <c r="D66" s="33">
        <v>12</v>
      </c>
      <c r="E66" s="33">
        <v>3</v>
      </c>
      <c r="F66" s="33">
        <v>3</v>
      </c>
      <c r="G66" s="33">
        <v>3</v>
      </c>
      <c r="H66" s="33">
        <f t="shared" ref="H66:H69" si="1">SUM(D66:G66)*C66</f>
        <v>21</v>
      </c>
    </row>
    <row r="67" spans="1:8" x14ac:dyDescent="0.35">
      <c r="A67" s="33">
        <v>64</v>
      </c>
      <c r="B67" s="4" t="s">
        <v>318</v>
      </c>
      <c r="C67" s="52">
        <v>1</v>
      </c>
      <c r="D67" s="33">
        <v>5</v>
      </c>
      <c r="E67" s="33">
        <v>2</v>
      </c>
      <c r="F67" s="33">
        <v>2</v>
      </c>
      <c r="G67" s="33">
        <v>2</v>
      </c>
      <c r="H67" s="33">
        <f t="shared" si="1"/>
        <v>11</v>
      </c>
    </row>
    <row r="68" spans="1:8" x14ac:dyDescent="0.35">
      <c r="A68" s="33">
        <v>65</v>
      </c>
      <c r="B68" s="4" t="s">
        <v>319</v>
      </c>
      <c r="C68" s="52">
        <v>4</v>
      </c>
      <c r="D68" s="33">
        <v>40</v>
      </c>
      <c r="E68" s="33">
        <v>2</v>
      </c>
      <c r="F68" s="33">
        <v>2</v>
      </c>
      <c r="G68" s="33">
        <v>2</v>
      </c>
      <c r="H68" s="33">
        <f t="shared" si="1"/>
        <v>184</v>
      </c>
    </row>
    <row r="69" spans="1:8" x14ac:dyDescent="0.35">
      <c r="A69" s="33">
        <v>66</v>
      </c>
      <c r="B69" s="4" t="s">
        <v>320</v>
      </c>
      <c r="C69" s="52">
        <v>12</v>
      </c>
      <c r="D69" s="33">
        <v>2</v>
      </c>
      <c r="E69" s="33">
        <v>0</v>
      </c>
      <c r="F69" s="33">
        <v>1</v>
      </c>
      <c r="G69" s="33">
        <v>1</v>
      </c>
      <c r="H69" s="33">
        <f t="shared" si="1"/>
        <v>48</v>
      </c>
    </row>
    <row r="71" spans="1:8" x14ac:dyDescent="0.35">
      <c r="A71" s="504" t="s">
        <v>356</v>
      </c>
      <c r="B71" s="504"/>
      <c r="C71" s="504"/>
      <c r="D71" s="504"/>
      <c r="E71" s="504"/>
      <c r="F71" s="504"/>
      <c r="G71" s="504"/>
      <c r="H71" s="504"/>
    </row>
    <row r="72" spans="1:8" x14ac:dyDescent="0.35">
      <c r="A72" s="504" t="s">
        <v>142</v>
      </c>
      <c r="B72" s="505" t="s">
        <v>143</v>
      </c>
      <c r="C72" s="504" t="s">
        <v>144</v>
      </c>
      <c r="D72" s="502" t="s">
        <v>353</v>
      </c>
      <c r="E72" s="509"/>
      <c r="F72" s="509"/>
      <c r="G72" s="503"/>
      <c r="H72" s="510" t="s">
        <v>237</v>
      </c>
    </row>
    <row r="73" spans="1:8" x14ac:dyDescent="0.35">
      <c r="A73" s="504"/>
      <c r="B73" s="505"/>
      <c r="C73" s="504"/>
      <c r="D73" s="72" t="s">
        <v>168</v>
      </c>
      <c r="E73" s="72" t="s">
        <v>169</v>
      </c>
      <c r="F73" s="72" t="s">
        <v>170</v>
      </c>
      <c r="G73" s="72" t="s">
        <v>171</v>
      </c>
      <c r="H73" s="511"/>
    </row>
    <row r="74" spans="1:8" x14ac:dyDescent="0.35">
      <c r="A74" s="70">
        <v>1</v>
      </c>
      <c r="B74" s="4" t="s">
        <v>365</v>
      </c>
      <c r="C74" s="70" t="s">
        <v>153</v>
      </c>
      <c r="D74" s="70">
        <v>1</v>
      </c>
      <c r="E74" s="70">
        <v>0</v>
      </c>
      <c r="F74" s="70">
        <v>1</v>
      </c>
      <c r="G74" s="70">
        <v>1</v>
      </c>
      <c r="H74" s="70">
        <f t="shared" ref="H74:H113" si="2">SUM(D74:G74)</f>
        <v>3</v>
      </c>
    </row>
    <row r="75" spans="1:8" x14ac:dyDescent="0.35">
      <c r="A75" s="70">
        <v>2</v>
      </c>
      <c r="B75" s="4" t="s">
        <v>172</v>
      </c>
      <c r="C75" s="70" t="s">
        <v>153</v>
      </c>
      <c r="D75" s="70">
        <v>3</v>
      </c>
      <c r="E75" s="70">
        <v>1</v>
      </c>
      <c r="F75" s="70">
        <v>1</v>
      </c>
      <c r="G75" s="70">
        <v>1</v>
      </c>
      <c r="H75" s="70">
        <f t="shared" si="2"/>
        <v>6</v>
      </c>
    </row>
    <row r="76" spans="1:8" x14ac:dyDescent="0.35">
      <c r="A76" s="70">
        <v>3</v>
      </c>
      <c r="B76" s="4" t="s">
        <v>173</v>
      </c>
      <c r="C76" s="70" t="s">
        <v>153</v>
      </c>
      <c r="D76" s="70">
        <v>3</v>
      </c>
      <c r="E76" s="70">
        <v>0</v>
      </c>
      <c r="F76" s="70">
        <v>1</v>
      </c>
      <c r="G76" s="70">
        <v>2</v>
      </c>
      <c r="H76" s="70">
        <f t="shared" si="2"/>
        <v>6</v>
      </c>
    </row>
    <row r="77" spans="1:8" x14ac:dyDescent="0.35">
      <c r="A77" s="70">
        <v>4</v>
      </c>
      <c r="B77" s="4" t="s">
        <v>174</v>
      </c>
      <c r="C77" s="70" t="s">
        <v>153</v>
      </c>
      <c r="D77" s="70">
        <v>3</v>
      </c>
      <c r="E77" s="70">
        <v>0</v>
      </c>
      <c r="F77" s="70">
        <v>1</v>
      </c>
      <c r="G77" s="70">
        <v>1</v>
      </c>
      <c r="H77" s="70">
        <f t="shared" si="2"/>
        <v>5</v>
      </c>
    </row>
    <row r="78" spans="1:8" x14ac:dyDescent="0.35">
      <c r="A78" s="70">
        <v>5</v>
      </c>
      <c r="B78" s="4" t="s">
        <v>363</v>
      </c>
      <c r="C78" s="70" t="s">
        <v>153</v>
      </c>
      <c r="D78" s="70">
        <v>2</v>
      </c>
      <c r="E78" s="70">
        <v>0</v>
      </c>
      <c r="F78" s="70">
        <v>1</v>
      </c>
      <c r="G78" s="70">
        <v>1</v>
      </c>
      <c r="H78" s="70">
        <f t="shared" si="2"/>
        <v>4</v>
      </c>
    </row>
    <row r="79" spans="1:8" ht="26" x14ac:dyDescent="0.35">
      <c r="A79" s="70">
        <v>6</v>
      </c>
      <c r="B79" s="4" t="s">
        <v>364</v>
      </c>
      <c r="C79" s="70" t="s">
        <v>153</v>
      </c>
      <c r="D79" s="70">
        <v>12</v>
      </c>
      <c r="E79" s="70">
        <v>1</v>
      </c>
      <c r="F79" s="70">
        <v>2</v>
      </c>
      <c r="G79" s="70">
        <v>1</v>
      </c>
      <c r="H79" s="70">
        <f t="shared" si="2"/>
        <v>16</v>
      </c>
    </row>
    <row r="80" spans="1:8" x14ac:dyDescent="0.35">
      <c r="A80" s="70">
        <v>7</v>
      </c>
      <c r="B80" s="4" t="s">
        <v>366</v>
      </c>
      <c r="C80" s="70" t="s">
        <v>153</v>
      </c>
      <c r="D80" s="70">
        <v>1</v>
      </c>
      <c r="E80" s="70">
        <v>0</v>
      </c>
      <c r="F80" s="70">
        <v>1</v>
      </c>
      <c r="G80" s="70">
        <v>1</v>
      </c>
      <c r="H80" s="70">
        <f t="shared" si="2"/>
        <v>3</v>
      </c>
    </row>
    <row r="81" spans="1:8" x14ac:dyDescent="0.35">
      <c r="A81" s="70">
        <v>9</v>
      </c>
      <c r="B81" s="4" t="s">
        <v>403</v>
      </c>
      <c r="C81" s="70" t="s">
        <v>153</v>
      </c>
      <c r="D81" s="70">
        <v>1</v>
      </c>
      <c r="E81" s="70">
        <v>0</v>
      </c>
      <c r="F81" s="70">
        <v>1</v>
      </c>
      <c r="G81" s="70">
        <v>1</v>
      </c>
      <c r="H81" s="70">
        <f t="shared" si="2"/>
        <v>3</v>
      </c>
    </row>
    <row r="82" spans="1:8" x14ac:dyDescent="0.35">
      <c r="A82" s="70">
        <v>8</v>
      </c>
      <c r="B82" s="4" t="s">
        <v>175</v>
      </c>
      <c r="C82" s="70" t="s">
        <v>153</v>
      </c>
      <c r="D82" s="70">
        <v>1</v>
      </c>
      <c r="E82" s="70">
        <v>0</v>
      </c>
      <c r="F82" s="70">
        <v>1</v>
      </c>
      <c r="G82" s="70">
        <v>1</v>
      </c>
      <c r="H82" s="70">
        <f t="shared" si="2"/>
        <v>3</v>
      </c>
    </row>
    <row r="83" spans="1:8" x14ac:dyDescent="0.35">
      <c r="A83" s="70">
        <v>10</v>
      </c>
      <c r="B83" s="4" t="s">
        <v>176</v>
      </c>
      <c r="C83" s="70" t="s">
        <v>153</v>
      </c>
      <c r="D83" s="70">
        <v>2</v>
      </c>
      <c r="E83" s="70">
        <v>1</v>
      </c>
      <c r="F83" s="70">
        <v>1</v>
      </c>
      <c r="G83" s="70">
        <v>1</v>
      </c>
      <c r="H83" s="70">
        <f t="shared" si="2"/>
        <v>5</v>
      </c>
    </row>
    <row r="84" spans="1:8" x14ac:dyDescent="0.35">
      <c r="A84" s="70">
        <v>11</v>
      </c>
      <c r="B84" s="4" t="s">
        <v>177</v>
      </c>
      <c r="C84" s="70" t="s">
        <v>153</v>
      </c>
      <c r="D84" s="70">
        <v>2</v>
      </c>
      <c r="E84" s="70">
        <v>1</v>
      </c>
      <c r="F84" s="70">
        <v>1</v>
      </c>
      <c r="G84" s="70">
        <v>1</v>
      </c>
      <c r="H84" s="70">
        <f t="shared" si="2"/>
        <v>5</v>
      </c>
    </row>
    <row r="85" spans="1:8" x14ac:dyDescent="0.35">
      <c r="A85" s="70">
        <v>12</v>
      </c>
      <c r="B85" s="4" t="s">
        <v>178</v>
      </c>
      <c r="C85" s="70" t="s">
        <v>153</v>
      </c>
      <c r="D85" s="70">
        <v>4</v>
      </c>
      <c r="E85" s="70">
        <v>0</v>
      </c>
      <c r="F85" s="70">
        <v>0</v>
      </c>
      <c r="G85" s="70">
        <v>0</v>
      </c>
      <c r="H85" s="70">
        <f t="shared" si="2"/>
        <v>4</v>
      </c>
    </row>
    <row r="86" spans="1:8" x14ac:dyDescent="0.35">
      <c r="A86" s="70">
        <v>13</v>
      </c>
      <c r="B86" s="4" t="s">
        <v>179</v>
      </c>
      <c r="C86" s="70" t="s">
        <v>153</v>
      </c>
      <c r="D86" s="70">
        <v>1</v>
      </c>
      <c r="E86" s="70">
        <v>0</v>
      </c>
      <c r="F86" s="70">
        <v>1</v>
      </c>
      <c r="G86" s="70">
        <v>1</v>
      </c>
      <c r="H86" s="70">
        <f t="shared" si="2"/>
        <v>3</v>
      </c>
    </row>
    <row r="87" spans="1:8" x14ac:dyDescent="0.35">
      <c r="A87" s="70">
        <v>14</v>
      </c>
      <c r="B87" s="4" t="s">
        <v>180</v>
      </c>
      <c r="C87" s="70" t="s">
        <v>153</v>
      </c>
      <c r="D87" s="70">
        <v>3</v>
      </c>
      <c r="E87" s="70">
        <v>1</v>
      </c>
      <c r="F87" s="70">
        <v>1</v>
      </c>
      <c r="G87" s="70">
        <v>1</v>
      </c>
      <c r="H87" s="70">
        <f t="shared" si="2"/>
        <v>6</v>
      </c>
    </row>
    <row r="88" spans="1:8" x14ac:dyDescent="0.35">
      <c r="A88" s="70">
        <v>15</v>
      </c>
      <c r="B88" s="48" t="s">
        <v>181</v>
      </c>
      <c r="C88" s="47" t="s">
        <v>153</v>
      </c>
      <c r="D88" s="47">
        <v>2</v>
      </c>
      <c r="E88" s="47">
        <v>0</v>
      </c>
      <c r="F88" s="47">
        <v>0</v>
      </c>
      <c r="G88" s="47">
        <v>0</v>
      </c>
      <c r="H88" s="70">
        <f t="shared" si="2"/>
        <v>2</v>
      </c>
    </row>
    <row r="89" spans="1:8" x14ac:dyDescent="0.35">
      <c r="A89" s="70">
        <v>16</v>
      </c>
      <c r="B89" s="4" t="s">
        <v>401</v>
      </c>
      <c r="C89" s="70" t="s">
        <v>153</v>
      </c>
      <c r="D89" s="70">
        <v>4</v>
      </c>
      <c r="E89" s="70">
        <v>0</v>
      </c>
      <c r="F89" s="70">
        <v>1</v>
      </c>
      <c r="G89" s="70">
        <v>1</v>
      </c>
      <c r="H89" s="70">
        <f t="shared" si="2"/>
        <v>6</v>
      </c>
    </row>
    <row r="90" spans="1:8" x14ac:dyDescent="0.35">
      <c r="A90" s="70">
        <v>17</v>
      </c>
      <c r="B90" s="4" t="s">
        <v>368</v>
      </c>
      <c r="C90" s="70" t="s">
        <v>153</v>
      </c>
      <c r="D90" s="70">
        <v>1</v>
      </c>
      <c r="E90" s="70">
        <v>0</v>
      </c>
      <c r="F90" s="70">
        <v>1</v>
      </c>
      <c r="G90" s="70">
        <v>1</v>
      </c>
      <c r="H90" s="70">
        <f t="shared" si="2"/>
        <v>3</v>
      </c>
    </row>
    <row r="91" spans="1:8" x14ac:dyDescent="0.35">
      <c r="A91" s="70">
        <v>18</v>
      </c>
      <c r="B91" s="4" t="s">
        <v>182</v>
      </c>
      <c r="C91" s="70" t="s">
        <v>153</v>
      </c>
      <c r="D91" s="70">
        <v>1</v>
      </c>
      <c r="E91" s="70">
        <v>0</v>
      </c>
      <c r="F91" s="70">
        <v>1</v>
      </c>
      <c r="G91" s="70">
        <v>1</v>
      </c>
      <c r="H91" s="70">
        <f t="shared" si="2"/>
        <v>3</v>
      </c>
    </row>
    <row r="92" spans="1:8" ht="26" x14ac:dyDescent="0.35">
      <c r="A92" s="70">
        <v>19</v>
      </c>
      <c r="B92" s="4" t="s">
        <v>369</v>
      </c>
      <c r="C92" s="70" t="s">
        <v>153</v>
      </c>
      <c r="D92" s="70">
        <v>1</v>
      </c>
      <c r="E92" s="70">
        <v>0</v>
      </c>
      <c r="F92" s="70">
        <v>1</v>
      </c>
      <c r="G92" s="70">
        <v>1</v>
      </c>
      <c r="H92" s="70">
        <f t="shared" si="2"/>
        <v>3</v>
      </c>
    </row>
    <row r="93" spans="1:8" x14ac:dyDescent="0.35">
      <c r="A93" s="70">
        <v>21</v>
      </c>
      <c r="B93" s="70" t="s">
        <v>404</v>
      </c>
      <c r="C93" s="70" t="s">
        <v>153</v>
      </c>
      <c r="D93" s="70">
        <v>52</v>
      </c>
      <c r="E93" s="70">
        <v>7</v>
      </c>
      <c r="F93" s="70">
        <v>12</v>
      </c>
      <c r="G93" s="70">
        <v>8</v>
      </c>
      <c r="H93" s="70">
        <f t="shared" si="2"/>
        <v>79</v>
      </c>
    </row>
    <row r="94" spans="1:8" x14ac:dyDescent="0.35">
      <c r="A94" s="70">
        <v>20</v>
      </c>
      <c r="B94" s="70" t="s">
        <v>183</v>
      </c>
      <c r="C94" s="70" t="s">
        <v>153</v>
      </c>
      <c r="D94" s="70">
        <v>4</v>
      </c>
      <c r="E94" s="70">
        <v>2</v>
      </c>
      <c r="F94" s="70">
        <v>2</v>
      </c>
      <c r="G94" s="70">
        <v>4</v>
      </c>
      <c r="H94" s="70">
        <f t="shared" si="2"/>
        <v>12</v>
      </c>
    </row>
    <row r="95" spans="1:8" x14ac:dyDescent="0.35">
      <c r="A95" s="70">
        <v>22</v>
      </c>
      <c r="B95" s="70" t="s">
        <v>184</v>
      </c>
      <c r="C95" s="70" t="s">
        <v>153</v>
      </c>
      <c r="D95" s="70">
        <v>4</v>
      </c>
      <c r="E95" s="70">
        <v>0</v>
      </c>
      <c r="F95" s="70">
        <v>1</v>
      </c>
      <c r="G95" s="70">
        <v>1</v>
      </c>
      <c r="H95" s="70">
        <f t="shared" si="2"/>
        <v>6</v>
      </c>
    </row>
    <row r="96" spans="1:8" x14ac:dyDescent="0.35">
      <c r="A96" s="70">
        <v>23</v>
      </c>
      <c r="B96" s="4" t="s">
        <v>185</v>
      </c>
      <c r="C96" s="70" t="s">
        <v>153</v>
      </c>
      <c r="D96" s="70">
        <v>2</v>
      </c>
      <c r="E96" s="70">
        <v>0</v>
      </c>
      <c r="F96" s="70">
        <v>2</v>
      </c>
      <c r="G96" s="70">
        <v>2</v>
      </c>
      <c r="H96" s="70">
        <f t="shared" si="2"/>
        <v>6</v>
      </c>
    </row>
    <row r="97" spans="1:8" x14ac:dyDescent="0.35">
      <c r="A97" s="70">
        <v>24</v>
      </c>
      <c r="B97" s="70" t="s">
        <v>186</v>
      </c>
      <c r="C97" s="70" t="s">
        <v>153</v>
      </c>
      <c r="D97" s="70">
        <v>10</v>
      </c>
      <c r="E97" s="70">
        <v>2</v>
      </c>
      <c r="F97" s="70">
        <v>4</v>
      </c>
      <c r="G97" s="70">
        <v>4</v>
      </c>
      <c r="H97" s="70">
        <f t="shared" si="2"/>
        <v>20</v>
      </c>
    </row>
    <row r="98" spans="1:8" x14ac:dyDescent="0.35">
      <c r="A98" s="70">
        <v>32</v>
      </c>
      <c r="B98" s="4" t="s">
        <v>192</v>
      </c>
      <c r="C98" s="70" t="s">
        <v>153</v>
      </c>
      <c r="D98" s="70">
        <v>10</v>
      </c>
      <c r="E98" s="70">
        <v>0</v>
      </c>
      <c r="F98" s="70">
        <v>0</v>
      </c>
      <c r="G98" s="70">
        <v>0</v>
      </c>
      <c r="H98" s="70">
        <f t="shared" si="2"/>
        <v>10</v>
      </c>
    </row>
    <row r="99" spans="1:8" x14ac:dyDescent="0.35">
      <c r="A99" s="70">
        <v>31</v>
      </c>
      <c r="B99" s="4" t="s">
        <v>405</v>
      </c>
      <c r="C99" s="70" t="s">
        <v>153</v>
      </c>
      <c r="D99" s="70">
        <v>3</v>
      </c>
      <c r="E99" s="70">
        <v>0</v>
      </c>
      <c r="F99" s="70">
        <v>1</v>
      </c>
      <c r="G99" s="70">
        <v>1</v>
      </c>
      <c r="H99" s="70">
        <f t="shared" si="2"/>
        <v>5</v>
      </c>
    </row>
    <row r="100" spans="1:8" x14ac:dyDescent="0.35">
      <c r="A100" s="70">
        <v>26</v>
      </c>
      <c r="B100" s="70" t="s">
        <v>187</v>
      </c>
      <c r="C100" s="70" t="s">
        <v>153</v>
      </c>
      <c r="D100" s="70">
        <v>50</v>
      </c>
      <c r="E100" s="70">
        <v>6</v>
      </c>
      <c r="F100" s="70">
        <v>6</v>
      </c>
      <c r="G100" s="70">
        <v>6</v>
      </c>
      <c r="H100" s="70">
        <f t="shared" si="2"/>
        <v>68</v>
      </c>
    </row>
    <row r="101" spans="1:8" x14ac:dyDescent="0.35">
      <c r="A101" s="70">
        <v>27</v>
      </c>
      <c r="B101" s="70" t="s">
        <v>188</v>
      </c>
      <c r="C101" s="70" t="s">
        <v>153</v>
      </c>
      <c r="D101" s="70">
        <v>50</v>
      </c>
      <c r="E101" s="70">
        <v>6</v>
      </c>
      <c r="F101" s="70">
        <v>6</v>
      </c>
      <c r="G101" s="70">
        <v>6</v>
      </c>
      <c r="H101" s="70">
        <f t="shared" si="2"/>
        <v>68</v>
      </c>
    </row>
    <row r="102" spans="1:8" x14ac:dyDescent="0.35">
      <c r="A102" s="70">
        <v>28</v>
      </c>
      <c r="B102" s="70" t="s">
        <v>189</v>
      </c>
      <c r="C102" s="70" t="s">
        <v>153</v>
      </c>
      <c r="D102" s="70">
        <v>50</v>
      </c>
      <c r="E102" s="70">
        <v>8</v>
      </c>
      <c r="F102" s="70">
        <v>8</v>
      </c>
      <c r="G102" s="70">
        <v>8</v>
      </c>
      <c r="H102" s="70">
        <f t="shared" si="2"/>
        <v>74</v>
      </c>
    </row>
    <row r="103" spans="1:8" x14ac:dyDescent="0.35">
      <c r="A103" s="70">
        <v>29</v>
      </c>
      <c r="B103" s="4" t="s">
        <v>190</v>
      </c>
      <c r="C103" s="70" t="s">
        <v>153</v>
      </c>
      <c r="D103" s="70">
        <v>1</v>
      </c>
      <c r="E103" s="70">
        <v>0</v>
      </c>
      <c r="F103" s="70">
        <v>0</v>
      </c>
      <c r="G103" s="70">
        <v>0</v>
      </c>
      <c r="H103" s="70">
        <f t="shared" si="2"/>
        <v>1</v>
      </c>
    </row>
    <row r="104" spans="1:8" x14ac:dyDescent="0.35">
      <c r="A104" s="70">
        <v>30</v>
      </c>
      <c r="B104" s="70" t="s">
        <v>191</v>
      </c>
      <c r="C104" s="70" t="s">
        <v>153</v>
      </c>
      <c r="D104" s="70">
        <v>1</v>
      </c>
      <c r="E104" s="70">
        <v>0</v>
      </c>
      <c r="F104" s="70">
        <v>0</v>
      </c>
      <c r="G104" s="70">
        <v>0</v>
      </c>
      <c r="H104" s="70">
        <f t="shared" si="2"/>
        <v>1</v>
      </c>
    </row>
    <row r="105" spans="1:8" x14ac:dyDescent="0.35">
      <c r="A105" s="70">
        <v>33</v>
      </c>
      <c r="B105" s="70" t="s">
        <v>193</v>
      </c>
      <c r="C105" s="70" t="s">
        <v>153</v>
      </c>
      <c r="D105" s="70">
        <v>2</v>
      </c>
      <c r="E105" s="70">
        <v>0</v>
      </c>
      <c r="F105" s="70">
        <v>1</v>
      </c>
      <c r="G105" s="70">
        <v>1</v>
      </c>
      <c r="H105" s="70">
        <f t="shared" si="2"/>
        <v>4</v>
      </c>
    </row>
    <row r="106" spans="1:8" x14ac:dyDescent="0.35">
      <c r="A106" s="70">
        <v>25</v>
      </c>
      <c r="B106" s="4" t="s">
        <v>372</v>
      </c>
      <c r="C106" s="70" t="s">
        <v>153</v>
      </c>
      <c r="D106" s="70">
        <v>1</v>
      </c>
      <c r="E106" s="70">
        <v>0</v>
      </c>
      <c r="F106" s="70">
        <v>0</v>
      </c>
      <c r="G106" s="70">
        <v>0</v>
      </c>
      <c r="H106" s="70">
        <f t="shared" si="2"/>
        <v>1</v>
      </c>
    </row>
    <row r="107" spans="1:8" x14ac:dyDescent="0.35">
      <c r="A107" s="70">
        <v>34</v>
      </c>
      <c r="B107" s="4" t="s">
        <v>406</v>
      </c>
      <c r="C107" s="70" t="s">
        <v>153</v>
      </c>
      <c r="D107" s="70">
        <v>0</v>
      </c>
      <c r="E107" s="70">
        <v>0</v>
      </c>
      <c r="F107" s="70">
        <v>1</v>
      </c>
      <c r="G107" s="70">
        <v>1</v>
      </c>
      <c r="H107" s="70">
        <f t="shared" si="2"/>
        <v>2</v>
      </c>
    </row>
    <row r="108" spans="1:8" x14ac:dyDescent="0.35">
      <c r="A108" s="70">
        <v>35</v>
      </c>
      <c r="B108" s="70" t="s">
        <v>194</v>
      </c>
      <c r="C108" s="70" t="s">
        <v>153</v>
      </c>
      <c r="D108" s="70">
        <v>10</v>
      </c>
      <c r="E108" s="70">
        <v>2</v>
      </c>
      <c r="F108" s="70">
        <v>3</v>
      </c>
      <c r="G108" s="70">
        <v>3</v>
      </c>
      <c r="H108" s="70">
        <f t="shared" si="2"/>
        <v>18</v>
      </c>
    </row>
    <row r="109" spans="1:8" x14ac:dyDescent="0.35">
      <c r="A109" s="70">
        <v>36</v>
      </c>
      <c r="B109" s="4" t="s">
        <v>195</v>
      </c>
      <c r="C109" s="70" t="s">
        <v>153</v>
      </c>
      <c r="D109" s="70">
        <v>4</v>
      </c>
      <c r="E109" s="70">
        <v>0</v>
      </c>
      <c r="F109" s="70">
        <v>1</v>
      </c>
      <c r="G109" s="70">
        <v>1</v>
      </c>
      <c r="H109" s="70">
        <f t="shared" si="2"/>
        <v>6</v>
      </c>
    </row>
    <row r="110" spans="1:8" x14ac:dyDescent="0.35">
      <c r="A110" s="70">
        <v>37</v>
      </c>
      <c r="B110" s="4" t="s">
        <v>374</v>
      </c>
      <c r="C110" s="70" t="s">
        <v>153</v>
      </c>
      <c r="D110" s="70">
        <v>13</v>
      </c>
      <c r="E110" s="70">
        <v>2</v>
      </c>
      <c r="F110" s="70">
        <v>2</v>
      </c>
      <c r="G110" s="70">
        <v>2</v>
      </c>
      <c r="H110" s="70">
        <f t="shared" si="2"/>
        <v>19</v>
      </c>
    </row>
    <row r="111" spans="1:8" x14ac:dyDescent="0.35">
      <c r="A111" s="70">
        <v>38</v>
      </c>
      <c r="B111" s="4" t="s">
        <v>196</v>
      </c>
      <c r="C111" s="70" t="s">
        <v>153</v>
      </c>
      <c r="D111" s="70">
        <v>4</v>
      </c>
      <c r="E111" s="70">
        <v>0</v>
      </c>
      <c r="F111" s="70">
        <v>1</v>
      </c>
      <c r="G111" s="70">
        <v>2</v>
      </c>
      <c r="H111" s="70">
        <f t="shared" si="2"/>
        <v>7</v>
      </c>
    </row>
    <row r="112" spans="1:8" x14ac:dyDescent="0.35">
      <c r="A112" s="70">
        <v>39</v>
      </c>
      <c r="B112" s="4" t="s">
        <v>197</v>
      </c>
      <c r="C112" s="70" t="s">
        <v>153</v>
      </c>
      <c r="D112" s="70">
        <v>3</v>
      </c>
      <c r="E112" s="70">
        <v>0</v>
      </c>
      <c r="F112" s="70">
        <v>1</v>
      </c>
      <c r="G112" s="70">
        <v>1</v>
      </c>
      <c r="H112" s="70">
        <f t="shared" si="2"/>
        <v>5</v>
      </c>
    </row>
    <row r="113" spans="1:8" x14ac:dyDescent="0.35">
      <c r="A113" s="70">
        <v>40</v>
      </c>
      <c r="B113" s="4" t="s">
        <v>198</v>
      </c>
      <c r="C113" s="70" t="s">
        <v>153</v>
      </c>
      <c r="D113" s="70">
        <v>12</v>
      </c>
      <c r="E113" s="70">
        <v>0</v>
      </c>
      <c r="F113" s="70">
        <v>3</v>
      </c>
      <c r="G113" s="70">
        <v>3</v>
      </c>
      <c r="H113" s="70">
        <f t="shared" si="2"/>
        <v>18</v>
      </c>
    </row>
  </sheetData>
  <sheetProtection algorithmName="SHA-512" hashValue="rI9M813rvVdmJhh4zKOuWNYAfHqnfxcc2RlRw+skg/EdsaTdbIlrH/s6WnkOwiY3FZ62s/2DYogzjwOegMu2VQ==" saltValue="JN4u0Z+NBu8WHWKAcxmzOw==" spinCount="100000" sheet="1" objects="1" scenarios="1"/>
  <mergeCells count="12">
    <mergeCell ref="A1:H1"/>
    <mergeCell ref="A2:A3"/>
    <mergeCell ref="B2:B3"/>
    <mergeCell ref="C2:C3"/>
    <mergeCell ref="D2:G2"/>
    <mergeCell ref="H2:H3"/>
    <mergeCell ref="A71:H71"/>
    <mergeCell ref="A72:A73"/>
    <mergeCell ref="B72:B73"/>
    <mergeCell ref="C72:C73"/>
    <mergeCell ref="D72:G72"/>
    <mergeCell ref="H72:H73"/>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B0C983-8B8F-4118-9BB6-095734F79AFD}">
  <sheetPr>
    <tabColor theme="7" tint="0.79998168889431442"/>
  </sheetPr>
  <dimension ref="B1:F130"/>
  <sheetViews>
    <sheetView topLeftCell="A109" workbookViewId="0">
      <selection activeCell="C132" sqref="C132"/>
    </sheetView>
  </sheetViews>
  <sheetFormatPr defaultRowHeight="14.5" x14ac:dyDescent="0.35"/>
  <cols>
    <col min="1" max="2" width="5.1796875" customWidth="1"/>
    <col min="3" max="3" width="78.81640625" customWidth="1"/>
    <col min="5" max="5" width="50.36328125" bestFit="1" customWidth="1"/>
    <col min="6" max="6" width="71.1796875" customWidth="1"/>
  </cols>
  <sheetData>
    <row r="1" spans="2:6" ht="15" x14ac:dyDescent="0.35">
      <c r="B1" s="272" t="s">
        <v>420</v>
      </c>
      <c r="C1" s="273"/>
      <c r="D1" s="273"/>
      <c r="E1" s="273"/>
      <c r="F1" s="274"/>
    </row>
    <row r="2" spans="2:6" ht="19" x14ac:dyDescent="0.35">
      <c r="B2" s="275" t="s">
        <v>421</v>
      </c>
      <c r="C2" s="276"/>
      <c r="D2" s="276"/>
      <c r="E2" s="276"/>
      <c r="F2" s="277"/>
    </row>
    <row r="3" spans="2:6" x14ac:dyDescent="0.35">
      <c r="B3" s="91"/>
      <c r="C3" s="91"/>
      <c r="D3" s="92"/>
      <c r="E3" s="91"/>
      <c r="F3" s="93"/>
    </row>
    <row r="4" spans="2:6" x14ac:dyDescent="0.35">
      <c r="B4" s="193" t="s">
        <v>32</v>
      </c>
      <c r="C4" s="193"/>
      <c r="D4" s="94" t="s">
        <v>90</v>
      </c>
      <c r="E4" s="84" t="s">
        <v>422</v>
      </c>
      <c r="F4" s="95" t="s">
        <v>423</v>
      </c>
    </row>
    <row r="5" spans="2:6" x14ac:dyDescent="0.35">
      <c r="B5" s="73" t="s">
        <v>3</v>
      </c>
      <c r="C5" s="73" t="s">
        <v>424</v>
      </c>
      <c r="D5" s="96" t="s">
        <v>139</v>
      </c>
      <c r="E5" s="73" t="s">
        <v>139</v>
      </c>
      <c r="F5" s="97" t="s">
        <v>425</v>
      </c>
    </row>
    <row r="6" spans="2:6" x14ac:dyDescent="0.35">
      <c r="B6" s="73" t="s">
        <v>5</v>
      </c>
      <c r="C6" s="73" t="s">
        <v>36</v>
      </c>
      <c r="D6" s="96">
        <v>0.3</v>
      </c>
      <c r="E6" s="73" t="s">
        <v>139</v>
      </c>
      <c r="F6" s="97" t="s">
        <v>426</v>
      </c>
    </row>
    <row r="7" spans="2:6" x14ac:dyDescent="0.35">
      <c r="B7" s="73" t="s">
        <v>8</v>
      </c>
      <c r="C7" s="73" t="s">
        <v>37</v>
      </c>
      <c r="D7" s="96">
        <v>0.4</v>
      </c>
      <c r="E7" s="73" t="s">
        <v>139</v>
      </c>
      <c r="F7" s="97" t="s">
        <v>534</v>
      </c>
    </row>
    <row r="8" spans="2:6" x14ac:dyDescent="0.35">
      <c r="B8" s="73" t="s">
        <v>10</v>
      </c>
      <c r="C8" s="73" t="s">
        <v>533</v>
      </c>
      <c r="D8" s="96">
        <v>1</v>
      </c>
      <c r="E8" s="73" t="s">
        <v>139</v>
      </c>
      <c r="F8" s="97" t="s">
        <v>535</v>
      </c>
    </row>
    <row r="9" spans="2:6" x14ac:dyDescent="0.35">
      <c r="B9" s="141" t="s">
        <v>56</v>
      </c>
      <c r="C9" s="141" t="s">
        <v>427</v>
      </c>
      <c r="D9" s="142" t="s">
        <v>139</v>
      </c>
      <c r="E9" s="141" t="s">
        <v>139</v>
      </c>
      <c r="F9" s="151"/>
    </row>
    <row r="10" spans="2:6" x14ac:dyDescent="0.35">
      <c r="B10" s="237" t="s">
        <v>428</v>
      </c>
      <c r="C10" s="278"/>
      <c r="D10" s="278"/>
      <c r="E10" s="278"/>
      <c r="F10" s="279"/>
    </row>
    <row r="11" spans="2:6" ht="35.5" customHeight="1" x14ac:dyDescent="0.35">
      <c r="B11" s="190" t="s">
        <v>429</v>
      </c>
      <c r="C11" s="191"/>
      <c r="D11" s="191"/>
      <c r="E11" s="191"/>
      <c r="F11" s="192"/>
    </row>
    <row r="12" spans="2:6" ht="18.5" customHeight="1" x14ac:dyDescent="0.35">
      <c r="B12" s="190" t="s">
        <v>430</v>
      </c>
      <c r="C12" s="191"/>
      <c r="D12" s="191"/>
      <c r="E12" s="191"/>
      <c r="F12" s="192"/>
    </row>
    <row r="13" spans="2:6" ht="45" customHeight="1" x14ac:dyDescent="0.35">
      <c r="B13" s="190" t="s">
        <v>431</v>
      </c>
      <c r="C13" s="191"/>
      <c r="D13" s="191"/>
      <c r="E13" s="191"/>
      <c r="F13" s="192"/>
    </row>
    <row r="14" spans="2:6" x14ac:dyDescent="0.35">
      <c r="B14" s="219" t="s">
        <v>536</v>
      </c>
      <c r="C14" s="214"/>
      <c r="D14" s="214"/>
      <c r="E14" s="214"/>
      <c r="F14" s="215"/>
    </row>
    <row r="15" spans="2:6" x14ac:dyDescent="0.35">
      <c r="B15" s="91"/>
      <c r="C15" s="91"/>
      <c r="D15" s="92"/>
      <c r="E15" s="91"/>
      <c r="F15" s="93"/>
    </row>
    <row r="16" spans="2:6" x14ac:dyDescent="0.35">
      <c r="B16" s="91"/>
      <c r="C16" s="91"/>
      <c r="D16" s="92"/>
      <c r="E16" s="91"/>
      <c r="F16" s="93"/>
    </row>
    <row r="17" spans="2:6" x14ac:dyDescent="0.35">
      <c r="B17" s="222" t="s">
        <v>40</v>
      </c>
      <c r="C17" s="223"/>
      <c r="D17" s="268" t="s">
        <v>90</v>
      </c>
      <c r="E17" s="193" t="s">
        <v>422</v>
      </c>
      <c r="F17" s="225" t="s">
        <v>423</v>
      </c>
    </row>
    <row r="18" spans="2:6" x14ac:dyDescent="0.35">
      <c r="B18" s="270" t="s">
        <v>41</v>
      </c>
      <c r="C18" s="271"/>
      <c r="D18" s="268"/>
      <c r="E18" s="193"/>
      <c r="F18" s="225"/>
    </row>
    <row r="19" spans="2:6" x14ac:dyDescent="0.35">
      <c r="B19" s="99" t="s">
        <v>3</v>
      </c>
      <c r="C19" s="99" t="s">
        <v>46</v>
      </c>
      <c r="D19" s="96">
        <f>1/12</f>
        <v>8.3333333333333329E-2</v>
      </c>
      <c r="E19" s="100" t="s">
        <v>432</v>
      </c>
      <c r="F19" s="101" t="s">
        <v>433</v>
      </c>
    </row>
    <row r="20" spans="2:6" x14ac:dyDescent="0.35">
      <c r="B20" s="73" t="s">
        <v>5</v>
      </c>
      <c r="C20" s="73" t="s">
        <v>47</v>
      </c>
      <c r="D20" s="96">
        <f>(1/3)*(1/12)</f>
        <v>2.7777777777777776E-2</v>
      </c>
      <c r="E20" s="100" t="s">
        <v>434</v>
      </c>
      <c r="F20" s="101" t="s">
        <v>435</v>
      </c>
    </row>
    <row r="21" spans="2:6" x14ac:dyDescent="0.35">
      <c r="B21" s="269" t="s">
        <v>436</v>
      </c>
      <c r="C21" s="238"/>
      <c r="D21" s="238"/>
      <c r="E21" s="238"/>
      <c r="F21" s="239"/>
    </row>
    <row r="22" spans="2:6" ht="23" customHeight="1" x14ac:dyDescent="0.35">
      <c r="B22" s="213" t="s">
        <v>437</v>
      </c>
      <c r="C22" s="220"/>
      <c r="D22" s="220"/>
      <c r="E22" s="220"/>
      <c r="F22" s="221"/>
    </row>
    <row r="23" spans="2:6" x14ac:dyDescent="0.35">
      <c r="B23" s="102"/>
      <c r="C23" s="102"/>
      <c r="D23" s="102"/>
      <c r="E23" s="102"/>
      <c r="F23" s="103"/>
    </row>
    <row r="24" spans="2:6" x14ac:dyDescent="0.35">
      <c r="B24" s="91"/>
      <c r="C24" s="91"/>
      <c r="D24" s="92"/>
      <c r="E24" s="91"/>
      <c r="F24" s="93"/>
    </row>
    <row r="25" spans="2:6" x14ac:dyDescent="0.35">
      <c r="B25" s="222" t="s">
        <v>40</v>
      </c>
      <c r="C25" s="223"/>
      <c r="D25" s="268" t="s">
        <v>90</v>
      </c>
      <c r="E25" s="193" t="s">
        <v>422</v>
      </c>
      <c r="F25" s="225" t="s">
        <v>423</v>
      </c>
    </row>
    <row r="26" spans="2:6" x14ac:dyDescent="0.35">
      <c r="B26" s="226" t="s">
        <v>48</v>
      </c>
      <c r="C26" s="227"/>
      <c r="D26" s="268"/>
      <c r="E26" s="193"/>
      <c r="F26" s="225"/>
    </row>
    <row r="27" spans="2:6" ht="28" x14ac:dyDescent="0.35">
      <c r="B27" s="98" t="s">
        <v>3</v>
      </c>
      <c r="C27" s="98" t="s">
        <v>438</v>
      </c>
      <c r="D27" s="104">
        <v>0.2</v>
      </c>
      <c r="E27" s="105" t="s">
        <v>139</v>
      </c>
      <c r="F27" s="106" t="s">
        <v>439</v>
      </c>
    </row>
    <row r="28" spans="2:6" ht="42" x14ac:dyDescent="0.35">
      <c r="B28" s="98" t="s">
        <v>5</v>
      </c>
      <c r="C28" s="98" t="s">
        <v>53</v>
      </c>
      <c r="D28" s="104">
        <v>2.5000000000000001E-2</v>
      </c>
      <c r="E28" s="105" t="s">
        <v>139</v>
      </c>
      <c r="F28" s="106" t="s">
        <v>440</v>
      </c>
    </row>
    <row r="29" spans="2:6" ht="42" x14ac:dyDescent="0.35">
      <c r="B29" s="98" t="s">
        <v>8</v>
      </c>
      <c r="C29" s="107" t="s">
        <v>441</v>
      </c>
      <c r="D29" s="108" t="s">
        <v>139</v>
      </c>
      <c r="E29" s="109" t="s">
        <v>442</v>
      </c>
      <c r="F29" s="106" t="s">
        <v>443</v>
      </c>
    </row>
    <row r="30" spans="2:6" ht="28" x14ac:dyDescent="0.35">
      <c r="B30" s="98" t="s">
        <v>10</v>
      </c>
      <c r="C30" s="98" t="s">
        <v>55</v>
      </c>
      <c r="D30" s="104">
        <v>1.4999999999999999E-2</v>
      </c>
      <c r="E30" s="104" t="s">
        <v>139</v>
      </c>
      <c r="F30" s="106" t="s">
        <v>444</v>
      </c>
    </row>
    <row r="31" spans="2:6" x14ac:dyDescent="0.35">
      <c r="B31" s="98" t="s">
        <v>56</v>
      </c>
      <c r="C31" s="98" t="s">
        <v>57</v>
      </c>
      <c r="D31" s="104">
        <v>0.01</v>
      </c>
      <c r="E31" s="104" t="s">
        <v>139</v>
      </c>
      <c r="F31" s="106" t="s">
        <v>445</v>
      </c>
    </row>
    <row r="32" spans="2:6" x14ac:dyDescent="0.35">
      <c r="B32" s="98" t="s">
        <v>58</v>
      </c>
      <c r="C32" s="98" t="s">
        <v>59</v>
      </c>
      <c r="D32" s="104">
        <v>6.0000000000000001E-3</v>
      </c>
      <c r="E32" s="104" t="s">
        <v>139</v>
      </c>
      <c r="F32" s="106" t="s">
        <v>446</v>
      </c>
    </row>
    <row r="33" spans="2:6" ht="28" x14ac:dyDescent="0.35">
      <c r="B33" s="98" t="s">
        <v>60</v>
      </c>
      <c r="C33" s="98" t="s">
        <v>61</v>
      </c>
      <c r="D33" s="104">
        <v>2E-3</v>
      </c>
      <c r="E33" s="104" t="s">
        <v>139</v>
      </c>
      <c r="F33" s="106" t="s">
        <v>447</v>
      </c>
    </row>
    <row r="34" spans="2:6" x14ac:dyDescent="0.35">
      <c r="B34" s="98" t="s">
        <v>62</v>
      </c>
      <c r="C34" s="98" t="s">
        <v>63</v>
      </c>
      <c r="D34" s="104">
        <v>0.08</v>
      </c>
      <c r="E34" s="104" t="s">
        <v>139</v>
      </c>
      <c r="F34" s="106" t="s">
        <v>448</v>
      </c>
    </row>
    <row r="35" spans="2:6" ht="28" x14ac:dyDescent="0.35">
      <c r="B35" s="110" t="s">
        <v>20</v>
      </c>
      <c r="C35" s="110" t="s">
        <v>449</v>
      </c>
      <c r="D35" s="111" t="s">
        <v>139</v>
      </c>
      <c r="E35" s="111" t="s">
        <v>139</v>
      </c>
      <c r="F35" s="112" t="s">
        <v>450</v>
      </c>
    </row>
    <row r="36" spans="2:6" ht="21.5" customHeight="1" x14ac:dyDescent="0.35">
      <c r="B36" s="259" t="s">
        <v>451</v>
      </c>
      <c r="C36" s="260"/>
      <c r="D36" s="260"/>
      <c r="E36" s="260"/>
      <c r="F36" s="261"/>
    </row>
    <row r="37" spans="2:6" ht="32" customHeight="1" x14ac:dyDescent="0.35">
      <c r="B37" s="262" t="s">
        <v>452</v>
      </c>
      <c r="C37" s="263"/>
      <c r="D37" s="263"/>
      <c r="E37" s="263"/>
      <c r="F37" s="264"/>
    </row>
    <row r="38" spans="2:6" ht="64" customHeight="1" x14ac:dyDescent="0.35">
      <c r="B38" s="262" t="s">
        <v>453</v>
      </c>
      <c r="C38" s="263"/>
      <c r="D38" s="263"/>
      <c r="E38" s="263"/>
      <c r="F38" s="264"/>
    </row>
    <row r="39" spans="2:6" ht="37.5" customHeight="1" x14ac:dyDescent="0.35">
      <c r="B39" s="262" t="s">
        <v>454</v>
      </c>
      <c r="C39" s="263"/>
      <c r="D39" s="263"/>
      <c r="E39" s="263"/>
      <c r="F39" s="264"/>
    </row>
    <row r="40" spans="2:6" ht="37.5" customHeight="1" x14ac:dyDescent="0.35">
      <c r="B40" s="262" t="s">
        <v>455</v>
      </c>
      <c r="C40" s="263"/>
      <c r="D40" s="263"/>
      <c r="E40" s="263"/>
      <c r="F40" s="264"/>
    </row>
    <row r="41" spans="2:6" ht="107.5" customHeight="1" x14ac:dyDescent="0.35">
      <c r="B41" s="265" t="s">
        <v>456</v>
      </c>
      <c r="C41" s="266"/>
      <c r="D41" s="266"/>
      <c r="E41" s="266"/>
      <c r="F41" s="267"/>
    </row>
    <row r="42" spans="2:6" x14ac:dyDescent="0.35">
      <c r="B42" s="91"/>
      <c r="C42" s="91"/>
      <c r="D42" s="92"/>
      <c r="E42" s="91"/>
      <c r="F42" s="93"/>
    </row>
    <row r="43" spans="2:6" x14ac:dyDescent="0.35">
      <c r="B43" s="91"/>
      <c r="C43" s="91"/>
      <c r="D43" s="92"/>
      <c r="E43" s="91"/>
      <c r="F43" s="93"/>
    </row>
    <row r="44" spans="2:6" x14ac:dyDescent="0.35">
      <c r="B44" s="222" t="s">
        <v>40</v>
      </c>
      <c r="C44" s="223"/>
      <c r="D44" s="268" t="s">
        <v>90</v>
      </c>
      <c r="E44" s="193" t="s">
        <v>422</v>
      </c>
      <c r="F44" s="225" t="s">
        <v>423</v>
      </c>
    </row>
    <row r="45" spans="2:6" x14ac:dyDescent="0.35">
      <c r="B45" s="226" t="s">
        <v>457</v>
      </c>
      <c r="C45" s="227"/>
      <c r="D45" s="268"/>
      <c r="E45" s="193"/>
      <c r="F45" s="225"/>
    </row>
    <row r="46" spans="2:6" x14ac:dyDescent="0.35">
      <c r="B46" s="73" t="s">
        <v>3</v>
      </c>
      <c r="C46" s="113" t="s">
        <v>68</v>
      </c>
      <c r="D46" s="96" t="s">
        <v>139</v>
      </c>
      <c r="E46" s="73" t="s">
        <v>139</v>
      </c>
      <c r="F46" s="114" t="s">
        <v>458</v>
      </c>
    </row>
    <row r="47" spans="2:6" x14ac:dyDescent="0.35">
      <c r="B47" s="73" t="s">
        <v>5</v>
      </c>
      <c r="C47" s="113" t="s">
        <v>69</v>
      </c>
      <c r="D47" s="96" t="s">
        <v>139</v>
      </c>
      <c r="E47" s="73" t="s">
        <v>139</v>
      </c>
      <c r="F47" s="115" t="s">
        <v>459</v>
      </c>
    </row>
    <row r="48" spans="2:6" x14ac:dyDescent="0.35">
      <c r="B48" s="73" t="s">
        <v>8</v>
      </c>
      <c r="C48" s="113" t="s">
        <v>70</v>
      </c>
      <c r="D48" s="96" t="s">
        <v>139</v>
      </c>
      <c r="E48" s="73" t="s">
        <v>139</v>
      </c>
      <c r="F48" s="98" t="s">
        <v>139</v>
      </c>
    </row>
    <row r="49" spans="2:6" x14ac:dyDescent="0.35">
      <c r="B49" s="73" t="s">
        <v>10</v>
      </c>
      <c r="C49" s="113" t="s">
        <v>71</v>
      </c>
      <c r="D49" s="96" t="s">
        <v>139</v>
      </c>
      <c r="E49" s="73" t="s">
        <v>139</v>
      </c>
      <c r="F49" s="98" t="s">
        <v>139</v>
      </c>
    </row>
    <row r="50" spans="2:6" x14ac:dyDescent="0.35">
      <c r="B50" s="73" t="s">
        <v>56</v>
      </c>
      <c r="C50" s="113" t="s">
        <v>72</v>
      </c>
      <c r="D50" s="96" t="s">
        <v>139</v>
      </c>
      <c r="E50" s="73" t="s">
        <v>139</v>
      </c>
      <c r="F50" s="98" t="s">
        <v>139</v>
      </c>
    </row>
    <row r="51" spans="2:6" x14ac:dyDescent="0.35">
      <c r="B51" s="73" t="s">
        <v>58</v>
      </c>
      <c r="C51" s="113" t="s">
        <v>460</v>
      </c>
      <c r="D51" s="96" t="s">
        <v>139</v>
      </c>
      <c r="E51" s="73" t="s">
        <v>139</v>
      </c>
      <c r="F51" s="98" t="s">
        <v>139</v>
      </c>
    </row>
    <row r="52" spans="2:6" x14ac:dyDescent="0.35">
      <c r="B52" s="73" t="s">
        <v>60</v>
      </c>
      <c r="C52" s="113" t="s">
        <v>74</v>
      </c>
      <c r="D52" s="96" t="s">
        <v>139</v>
      </c>
      <c r="E52" s="73" t="s">
        <v>139</v>
      </c>
      <c r="F52" s="98" t="s">
        <v>139</v>
      </c>
    </row>
    <row r="53" spans="2:6" x14ac:dyDescent="0.35">
      <c r="B53" s="73" t="s">
        <v>62</v>
      </c>
      <c r="C53" s="113" t="s">
        <v>461</v>
      </c>
      <c r="D53" s="96" t="s">
        <v>139</v>
      </c>
      <c r="E53" s="73" t="s">
        <v>139</v>
      </c>
      <c r="F53" s="98" t="s">
        <v>139</v>
      </c>
    </row>
    <row r="54" spans="2:6" x14ac:dyDescent="0.35">
      <c r="B54" s="73" t="s">
        <v>20</v>
      </c>
      <c r="C54" s="116" t="s">
        <v>38</v>
      </c>
      <c r="D54" s="96" t="s">
        <v>139</v>
      </c>
      <c r="E54" s="73" t="s">
        <v>139</v>
      </c>
      <c r="F54" s="98" t="s">
        <v>139</v>
      </c>
    </row>
    <row r="55" spans="2:6" ht="19" customHeight="1" x14ac:dyDescent="0.35">
      <c r="B55" s="207" t="s">
        <v>462</v>
      </c>
      <c r="C55" s="208"/>
      <c r="D55" s="208"/>
      <c r="E55" s="208"/>
      <c r="F55" s="209"/>
    </row>
    <row r="56" spans="2:6" ht="51" customHeight="1" x14ac:dyDescent="0.35">
      <c r="B56" s="203" t="s">
        <v>463</v>
      </c>
      <c r="C56" s="243"/>
      <c r="D56" s="243"/>
      <c r="E56" s="243"/>
      <c r="F56" s="244"/>
    </row>
    <row r="57" spans="2:6" ht="31.5" customHeight="1" x14ac:dyDescent="0.35">
      <c r="B57" s="203" t="s">
        <v>541</v>
      </c>
      <c r="C57" s="243"/>
      <c r="D57" s="243"/>
      <c r="E57" s="243"/>
      <c r="F57" s="244"/>
    </row>
    <row r="58" spans="2:6" ht="29" customHeight="1" x14ac:dyDescent="0.35">
      <c r="B58" s="203" t="s">
        <v>464</v>
      </c>
      <c r="C58" s="243"/>
      <c r="D58" s="243"/>
      <c r="E58" s="243"/>
      <c r="F58" s="244"/>
    </row>
    <row r="59" spans="2:6" x14ac:dyDescent="0.35">
      <c r="B59" s="203" t="s">
        <v>465</v>
      </c>
      <c r="C59" s="243"/>
      <c r="D59" s="243"/>
      <c r="E59" s="243"/>
      <c r="F59" s="244"/>
    </row>
    <row r="60" spans="2:6" ht="31" customHeight="1" x14ac:dyDescent="0.35">
      <c r="B60" s="245" t="s">
        <v>466</v>
      </c>
      <c r="C60" s="246"/>
      <c r="D60" s="246"/>
      <c r="E60" s="246"/>
      <c r="F60" s="247"/>
    </row>
    <row r="61" spans="2:6" x14ac:dyDescent="0.35">
      <c r="B61" s="91"/>
      <c r="C61" s="91"/>
      <c r="D61" s="92"/>
      <c r="E61" s="91"/>
      <c r="F61" s="93"/>
    </row>
    <row r="62" spans="2:6" x14ac:dyDescent="0.35">
      <c r="B62" s="91"/>
      <c r="C62" s="91"/>
      <c r="D62" s="92"/>
      <c r="E62" s="91"/>
      <c r="F62" s="93"/>
    </row>
    <row r="63" spans="2:6" x14ac:dyDescent="0.35">
      <c r="B63" s="248" t="s">
        <v>78</v>
      </c>
      <c r="C63" s="249"/>
      <c r="D63" s="94" t="s">
        <v>90</v>
      </c>
      <c r="E63" s="84" t="s">
        <v>422</v>
      </c>
      <c r="F63" s="95" t="s">
        <v>423</v>
      </c>
    </row>
    <row r="64" spans="2:6" x14ac:dyDescent="0.35">
      <c r="B64" s="98" t="s">
        <v>3</v>
      </c>
      <c r="C64" s="116" t="s">
        <v>81</v>
      </c>
      <c r="D64" s="96">
        <f>0.05*(1/12)</f>
        <v>4.1666666666666666E-3</v>
      </c>
      <c r="E64" s="117" t="s">
        <v>467</v>
      </c>
      <c r="F64" s="118" t="s">
        <v>468</v>
      </c>
    </row>
    <row r="65" spans="2:6" x14ac:dyDescent="0.35">
      <c r="B65" s="98" t="s">
        <v>5</v>
      </c>
      <c r="C65" s="116" t="s">
        <v>82</v>
      </c>
      <c r="D65" s="96">
        <f>(0.08*0.0042)</f>
        <v>3.3599999999999998E-4</v>
      </c>
      <c r="E65" s="117" t="s">
        <v>469</v>
      </c>
      <c r="F65" s="118" t="s">
        <v>470</v>
      </c>
    </row>
    <row r="66" spans="2:6" ht="28" x14ac:dyDescent="0.35">
      <c r="B66" s="98" t="s">
        <v>8</v>
      </c>
      <c r="C66" s="116" t="s">
        <v>471</v>
      </c>
      <c r="D66" s="96">
        <f>0.08*0.4* 0.9*(1 + 1/12 + 1/12 + (1/3*1/12))</f>
        <v>3.4399999999999993E-2</v>
      </c>
      <c r="E66" s="119" t="s">
        <v>472</v>
      </c>
      <c r="F66" s="118" t="s">
        <v>473</v>
      </c>
    </row>
    <row r="67" spans="2:6" ht="28" x14ac:dyDescent="0.35">
      <c r="B67" s="98" t="s">
        <v>10</v>
      </c>
      <c r="C67" s="116" t="s">
        <v>83</v>
      </c>
      <c r="D67" s="96">
        <f>((7/30) + (7/30*0.1))/ 24</f>
        <v>1.0694444444444444E-2</v>
      </c>
      <c r="E67" s="117" t="s">
        <v>474</v>
      </c>
      <c r="F67" s="118" t="s">
        <v>475</v>
      </c>
    </row>
    <row r="68" spans="2:6" x14ac:dyDescent="0.35">
      <c r="B68" s="110" t="s">
        <v>476</v>
      </c>
      <c r="C68" s="120" t="s">
        <v>477</v>
      </c>
      <c r="D68" s="121">
        <f>(7/30)*0.1/12</f>
        <v>1.9444444444444446E-3</v>
      </c>
      <c r="E68" s="122" t="s">
        <v>478</v>
      </c>
      <c r="F68" s="123" t="s">
        <v>479</v>
      </c>
    </row>
    <row r="69" spans="2:6" x14ac:dyDescent="0.35">
      <c r="B69" s="98" t="s">
        <v>56</v>
      </c>
      <c r="C69" s="116" t="s">
        <v>84</v>
      </c>
      <c r="D69" s="96">
        <f>(0.368* 0.0107)</f>
        <v>3.9375999999999994E-3</v>
      </c>
      <c r="E69" s="117" t="s">
        <v>480</v>
      </c>
      <c r="F69" s="118" t="s">
        <v>481</v>
      </c>
    </row>
    <row r="70" spans="2:6" ht="28" x14ac:dyDescent="0.35">
      <c r="B70" s="110" t="s">
        <v>482</v>
      </c>
      <c r="C70" s="120" t="s">
        <v>483</v>
      </c>
      <c r="D70" s="124">
        <f>(0.368*0.00194)</f>
        <v>7.1392000000000005E-4</v>
      </c>
      <c r="E70" s="122" t="s">
        <v>484</v>
      </c>
      <c r="F70" s="123" t="s">
        <v>479</v>
      </c>
    </row>
    <row r="71" spans="2:6" ht="28" x14ac:dyDescent="0.35">
      <c r="B71" s="98" t="s">
        <v>58</v>
      </c>
      <c r="C71" s="116" t="s">
        <v>204</v>
      </c>
      <c r="D71" s="125">
        <f>(0.0107*0.08)*0.4</f>
        <v>3.4240000000000003E-4</v>
      </c>
      <c r="E71" s="117" t="s">
        <v>485</v>
      </c>
      <c r="F71" s="118" t="s">
        <v>486</v>
      </c>
    </row>
    <row r="72" spans="2:6" x14ac:dyDescent="0.35">
      <c r="B72" s="110" t="s">
        <v>487</v>
      </c>
      <c r="C72" s="120" t="s">
        <v>488</v>
      </c>
      <c r="D72" s="121">
        <f>(0.00194*0.08)*0.4</f>
        <v>6.2080000000000002E-5</v>
      </c>
      <c r="E72" s="126" t="s">
        <v>489</v>
      </c>
      <c r="F72" s="123" t="s">
        <v>479</v>
      </c>
    </row>
    <row r="73" spans="2:6" ht="20.5" customHeight="1" x14ac:dyDescent="0.35">
      <c r="B73" s="250" t="s">
        <v>490</v>
      </c>
      <c r="C73" s="251"/>
      <c r="D73" s="251"/>
      <c r="E73" s="251"/>
      <c r="F73" s="252"/>
    </row>
    <row r="74" spans="2:6" ht="35" customHeight="1" x14ac:dyDescent="0.35">
      <c r="B74" s="253" t="s">
        <v>491</v>
      </c>
      <c r="C74" s="254"/>
      <c r="D74" s="254"/>
      <c r="E74" s="254"/>
      <c r="F74" s="255"/>
    </row>
    <row r="75" spans="2:6" ht="32" customHeight="1" x14ac:dyDescent="0.35">
      <c r="B75" s="253" t="s">
        <v>492</v>
      </c>
      <c r="C75" s="254"/>
      <c r="D75" s="254"/>
      <c r="E75" s="254"/>
      <c r="F75" s="255"/>
    </row>
    <row r="76" spans="2:6" ht="22" customHeight="1" x14ac:dyDescent="0.35">
      <c r="B76" s="256" t="s">
        <v>493</v>
      </c>
      <c r="C76" s="257"/>
      <c r="D76" s="257"/>
      <c r="E76" s="257"/>
      <c r="F76" s="258"/>
    </row>
    <row r="77" spans="2:6" ht="36.5" customHeight="1" x14ac:dyDescent="0.35">
      <c r="B77" s="253" t="s">
        <v>494</v>
      </c>
      <c r="C77" s="254"/>
      <c r="D77" s="254"/>
      <c r="E77" s="254"/>
      <c r="F77" s="255"/>
    </row>
    <row r="78" spans="2:6" ht="20.5" customHeight="1" x14ac:dyDescent="0.35">
      <c r="B78" s="240" t="s">
        <v>495</v>
      </c>
      <c r="C78" s="241"/>
      <c r="D78" s="241"/>
      <c r="E78" s="241"/>
      <c r="F78" s="242"/>
    </row>
    <row r="79" spans="2:6" x14ac:dyDescent="0.35">
      <c r="B79" s="91"/>
      <c r="C79" s="91"/>
      <c r="D79" s="92"/>
      <c r="E79" s="91"/>
      <c r="F79" s="93"/>
    </row>
    <row r="80" spans="2:6" x14ac:dyDescent="0.35">
      <c r="B80" s="91"/>
      <c r="C80" s="91"/>
      <c r="D80" s="92"/>
      <c r="E80" s="91"/>
      <c r="F80" s="93"/>
    </row>
    <row r="81" spans="2:6" x14ac:dyDescent="0.35">
      <c r="B81" s="222" t="s">
        <v>85</v>
      </c>
      <c r="C81" s="223"/>
      <c r="D81" s="228" t="s">
        <v>90</v>
      </c>
      <c r="E81" s="230" t="s">
        <v>422</v>
      </c>
      <c r="F81" s="232" t="s">
        <v>423</v>
      </c>
    </row>
    <row r="82" spans="2:6" x14ac:dyDescent="0.35">
      <c r="B82" s="226" t="s">
        <v>86</v>
      </c>
      <c r="C82" s="227"/>
      <c r="D82" s="229"/>
      <c r="E82" s="231"/>
      <c r="F82" s="233"/>
    </row>
    <row r="83" spans="2:6" x14ac:dyDescent="0.35">
      <c r="B83" s="98" t="s">
        <v>3</v>
      </c>
      <c r="C83" s="97" t="s">
        <v>91</v>
      </c>
      <c r="D83" s="127">
        <f>1/12</f>
        <v>8.3333333333333329E-2</v>
      </c>
      <c r="E83" s="128" t="s">
        <v>496</v>
      </c>
      <c r="F83" s="129" t="s">
        <v>497</v>
      </c>
    </row>
    <row r="84" spans="2:6" x14ac:dyDescent="0.35">
      <c r="B84" s="98" t="s">
        <v>5</v>
      </c>
      <c r="C84" s="97" t="s">
        <v>92</v>
      </c>
      <c r="D84" s="127">
        <f>(1/30)/12</f>
        <v>2.7777777777777779E-3</v>
      </c>
      <c r="E84" s="130" t="s">
        <v>498</v>
      </c>
      <c r="F84" s="114" t="s">
        <v>499</v>
      </c>
    </row>
    <row r="85" spans="2:6" x14ac:dyDescent="0.35">
      <c r="B85" s="98" t="s">
        <v>8</v>
      </c>
      <c r="C85" s="97" t="s">
        <v>93</v>
      </c>
      <c r="D85" s="127">
        <f>(5/30)/12*0.015</f>
        <v>2.0833333333333332E-4</v>
      </c>
      <c r="E85" s="130" t="s">
        <v>500</v>
      </c>
      <c r="F85" s="113" t="s">
        <v>501</v>
      </c>
    </row>
    <row r="86" spans="2:6" x14ac:dyDescent="0.35">
      <c r="B86" s="98" t="s">
        <v>10</v>
      </c>
      <c r="C86" s="97" t="s">
        <v>94</v>
      </c>
      <c r="D86" s="127">
        <f>1/12*0.0078</f>
        <v>6.4999999999999997E-4</v>
      </c>
      <c r="E86" s="130" t="s">
        <v>502</v>
      </c>
      <c r="F86" s="114" t="s">
        <v>503</v>
      </c>
    </row>
    <row r="87" spans="2:6" x14ac:dyDescent="0.35">
      <c r="B87" s="98" t="s">
        <v>56</v>
      </c>
      <c r="C87" s="97" t="s">
        <v>95</v>
      </c>
      <c r="D87" s="127">
        <f>((1/12)+(1/3*1/12))*0.02607*6/12</f>
        <v>1.4483333333333334E-3</v>
      </c>
      <c r="E87" s="131" t="s">
        <v>504</v>
      </c>
      <c r="F87" s="106" t="s">
        <v>505</v>
      </c>
    </row>
    <row r="88" spans="2:6" ht="28" x14ac:dyDescent="0.35">
      <c r="B88" s="98" t="s">
        <v>58</v>
      </c>
      <c r="C88" s="97" t="s">
        <v>96</v>
      </c>
      <c r="D88" s="127">
        <f>(5/30/12)</f>
        <v>1.3888888888888888E-2</v>
      </c>
      <c r="E88" s="130" t="s">
        <v>506</v>
      </c>
      <c r="F88" s="113" t="s">
        <v>507</v>
      </c>
    </row>
    <row r="89" spans="2:6" x14ac:dyDescent="0.35">
      <c r="B89" s="234" t="s">
        <v>97</v>
      </c>
      <c r="C89" s="235"/>
      <c r="D89" s="132">
        <f>SUM(D83:E88)</f>
        <v>0.10230666666666666</v>
      </c>
      <c r="E89" s="73" t="s">
        <v>139</v>
      </c>
      <c r="F89" s="98" t="s">
        <v>139</v>
      </c>
    </row>
    <row r="90" spans="2:6" x14ac:dyDescent="0.35">
      <c r="B90" s="133" t="s">
        <v>60</v>
      </c>
      <c r="C90" s="134" t="s">
        <v>98</v>
      </c>
      <c r="D90" s="135">
        <f>(D89-D87)*(2/12+(1/3*1/12))</f>
        <v>1.961134259259259E-2</v>
      </c>
      <c r="E90" s="136" t="str">
        <f>"("&amp;TEXT(D89,"0,0000")&amp;" - "&amp;TEXT(D82,"0,0000")&amp;") x [1/12+1/12+(1/12 x 1/3)] x 100 ≅ "&amp;TEXT(D90,"0,00%")</f>
        <v>(0,1023 - 0,0000) x [1/12+1/12+(1/12 x 1/3)] x 100 ≅ 1,96%</v>
      </c>
      <c r="F90" s="137" t="s">
        <v>139</v>
      </c>
    </row>
    <row r="91" spans="2:6" x14ac:dyDescent="0.35">
      <c r="B91" s="236" t="s">
        <v>99</v>
      </c>
      <c r="C91" s="236"/>
      <c r="D91" s="138">
        <f>SUM(D89:E90)</f>
        <v>0.12191800925925925</v>
      </c>
      <c r="E91" s="73" t="s">
        <v>139</v>
      </c>
      <c r="F91" s="98" t="s">
        <v>139</v>
      </c>
    </row>
    <row r="92" spans="2:6" x14ac:dyDescent="0.35">
      <c r="B92" s="98" t="s">
        <v>62</v>
      </c>
      <c r="C92" s="134" t="s">
        <v>100</v>
      </c>
      <c r="D92" s="135" t="s">
        <v>139</v>
      </c>
      <c r="E92" s="73" t="s">
        <v>139</v>
      </c>
      <c r="F92" s="98" t="s">
        <v>139</v>
      </c>
    </row>
    <row r="93" spans="2:6" ht="20" customHeight="1" x14ac:dyDescent="0.35">
      <c r="B93" s="237" t="s">
        <v>508</v>
      </c>
      <c r="C93" s="238"/>
      <c r="D93" s="238"/>
      <c r="E93" s="238"/>
      <c r="F93" s="239"/>
    </row>
    <row r="94" spans="2:6" ht="33.5" customHeight="1" x14ac:dyDescent="0.35">
      <c r="B94" s="184" t="s">
        <v>509</v>
      </c>
      <c r="C94" s="185"/>
      <c r="D94" s="185"/>
      <c r="E94" s="185"/>
      <c r="F94" s="186"/>
    </row>
    <row r="95" spans="2:6" x14ac:dyDescent="0.35">
      <c r="B95" s="210" t="s">
        <v>510</v>
      </c>
      <c r="C95" s="211"/>
      <c r="D95" s="211"/>
      <c r="E95" s="211"/>
      <c r="F95" s="212"/>
    </row>
    <row r="96" spans="2:6" ht="20" customHeight="1" x14ac:dyDescent="0.35">
      <c r="B96" s="210" t="s">
        <v>511</v>
      </c>
      <c r="C96" s="211"/>
      <c r="D96" s="211"/>
      <c r="E96" s="211"/>
      <c r="F96" s="212"/>
    </row>
    <row r="97" spans="2:6" ht="20.5" customHeight="1" x14ac:dyDescent="0.35">
      <c r="B97" s="210" t="s">
        <v>512</v>
      </c>
      <c r="C97" s="211"/>
      <c r="D97" s="211"/>
      <c r="E97" s="211"/>
      <c r="F97" s="212"/>
    </row>
    <row r="98" spans="2:6" ht="20.5" customHeight="1" x14ac:dyDescent="0.35">
      <c r="B98" s="210" t="s">
        <v>513</v>
      </c>
      <c r="C98" s="211"/>
      <c r="D98" s="211"/>
      <c r="E98" s="211"/>
      <c r="F98" s="212"/>
    </row>
    <row r="99" spans="2:6" ht="17.5" customHeight="1" x14ac:dyDescent="0.35">
      <c r="B99" s="216" t="s">
        <v>514</v>
      </c>
      <c r="C99" s="217"/>
      <c r="D99" s="217"/>
      <c r="E99" s="217"/>
      <c r="F99" s="218"/>
    </row>
    <row r="100" spans="2:6" ht="30.5" customHeight="1" x14ac:dyDescent="0.35">
      <c r="B100" s="219" t="s">
        <v>515</v>
      </c>
      <c r="C100" s="220"/>
      <c r="D100" s="220"/>
      <c r="E100" s="220"/>
      <c r="F100" s="221"/>
    </row>
    <row r="101" spans="2:6" x14ac:dyDescent="0.35">
      <c r="B101" s="91"/>
      <c r="C101" s="91"/>
      <c r="D101" s="92"/>
      <c r="E101" s="91"/>
      <c r="F101" s="93"/>
    </row>
    <row r="102" spans="2:6" x14ac:dyDescent="0.35">
      <c r="B102" s="91"/>
      <c r="C102" s="91"/>
      <c r="D102" s="92"/>
      <c r="E102" s="91"/>
      <c r="F102" s="93"/>
    </row>
    <row r="103" spans="2:6" x14ac:dyDescent="0.35">
      <c r="B103" s="222" t="s">
        <v>85</v>
      </c>
      <c r="C103" s="223"/>
      <c r="D103" s="224" t="s">
        <v>90</v>
      </c>
      <c r="E103" s="193" t="s">
        <v>422</v>
      </c>
      <c r="F103" s="225" t="s">
        <v>423</v>
      </c>
    </row>
    <row r="104" spans="2:6" x14ac:dyDescent="0.35">
      <c r="B104" s="226" t="s">
        <v>101</v>
      </c>
      <c r="C104" s="227"/>
      <c r="D104" s="224"/>
      <c r="E104" s="193"/>
      <c r="F104" s="225"/>
    </row>
    <row r="105" spans="2:6" x14ac:dyDescent="0.35">
      <c r="B105" s="139" t="s">
        <v>3</v>
      </c>
      <c r="C105" s="140" t="s">
        <v>104</v>
      </c>
      <c r="D105" s="96" t="s">
        <v>139</v>
      </c>
      <c r="E105" s="73" t="s">
        <v>139</v>
      </c>
      <c r="F105" s="98" t="s">
        <v>139</v>
      </c>
    </row>
    <row r="106" spans="2:6" x14ac:dyDescent="0.35">
      <c r="B106" s="204" t="s">
        <v>516</v>
      </c>
      <c r="C106" s="205"/>
      <c r="D106" s="205"/>
      <c r="E106" s="205"/>
      <c r="F106" s="206"/>
    </row>
    <row r="107" spans="2:6" x14ac:dyDescent="0.35">
      <c r="B107" s="91"/>
      <c r="C107" s="91"/>
      <c r="D107" s="92"/>
      <c r="E107" s="91"/>
      <c r="F107" s="93"/>
    </row>
    <row r="108" spans="2:6" x14ac:dyDescent="0.35">
      <c r="B108" s="91"/>
      <c r="C108" s="91"/>
      <c r="D108" s="92"/>
      <c r="E108" s="91"/>
      <c r="F108" s="93"/>
    </row>
    <row r="109" spans="2:6" x14ac:dyDescent="0.35">
      <c r="B109" s="193" t="s">
        <v>517</v>
      </c>
      <c r="C109" s="193"/>
      <c r="D109" s="94" t="s">
        <v>90</v>
      </c>
      <c r="E109" s="84" t="s">
        <v>422</v>
      </c>
      <c r="F109" s="95" t="s">
        <v>423</v>
      </c>
    </row>
    <row r="110" spans="2:6" x14ac:dyDescent="0.35">
      <c r="B110" s="73" t="s">
        <v>3</v>
      </c>
      <c r="C110" s="73" t="s">
        <v>518</v>
      </c>
      <c r="D110" s="96" t="s">
        <v>139</v>
      </c>
      <c r="E110" s="73" t="s">
        <v>139</v>
      </c>
      <c r="F110" s="73" t="s">
        <v>139</v>
      </c>
    </row>
    <row r="111" spans="2:6" x14ac:dyDescent="0.35">
      <c r="B111" s="141" t="s">
        <v>5</v>
      </c>
      <c r="C111" s="141" t="s">
        <v>202</v>
      </c>
      <c r="D111" s="142" t="s">
        <v>139</v>
      </c>
      <c r="E111" s="141" t="s">
        <v>139</v>
      </c>
      <c r="F111" s="141" t="s">
        <v>519</v>
      </c>
    </row>
    <row r="112" spans="2:6" ht="16" customHeight="1" x14ac:dyDescent="0.35">
      <c r="B112" s="207" t="s">
        <v>520</v>
      </c>
      <c r="C112" s="208"/>
      <c r="D112" s="208"/>
      <c r="E112" s="208"/>
      <c r="F112" s="209"/>
    </row>
    <row r="113" spans="2:6" ht="16" customHeight="1" x14ac:dyDescent="0.35">
      <c r="B113" s="210" t="s">
        <v>521</v>
      </c>
      <c r="C113" s="211"/>
      <c r="D113" s="211"/>
      <c r="E113" s="211"/>
      <c r="F113" s="212"/>
    </row>
    <row r="114" spans="2:6" ht="29.5" customHeight="1" x14ac:dyDescent="0.35">
      <c r="B114" s="213" t="s">
        <v>522</v>
      </c>
      <c r="C114" s="214"/>
      <c r="D114" s="214"/>
      <c r="E114" s="214"/>
      <c r="F114" s="215"/>
    </row>
    <row r="115" spans="2:6" x14ac:dyDescent="0.35">
      <c r="B115" s="91"/>
      <c r="C115" s="91"/>
      <c r="D115" s="92"/>
      <c r="E115" s="91"/>
      <c r="F115" s="93"/>
    </row>
    <row r="116" spans="2:6" x14ac:dyDescent="0.35">
      <c r="B116" s="91"/>
      <c r="C116" s="91"/>
      <c r="D116" s="92"/>
      <c r="E116" s="91"/>
      <c r="F116" s="93"/>
    </row>
    <row r="117" spans="2:6" x14ac:dyDescent="0.35">
      <c r="B117" s="193" t="s">
        <v>112</v>
      </c>
      <c r="C117" s="193"/>
      <c r="D117" s="94" t="s">
        <v>90</v>
      </c>
      <c r="E117" s="84" t="s">
        <v>422</v>
      </c>
      <c r="F117" s="95" t="s">
        <v>423</v>
      </c>
    </row>
    <row r="118" spans="2:6" x14ac:dyDescent="0.35">
      <c r="B118" s="109" t="s">
        <v>3</v>
      </c>
      <c r="C118" s="113" t="s">
        <v>117</v>
      </c>
      <c r="D118" s="96" t="s">
        <v>139</v>
      </c>
      <c r="E118" s="143" t="s">
        <v>523</v>
      </c>
      <c r="F118" s="98" t="s">
        <v>139</v>
      </c>
    </row>
    <row r="119" spans="2:6" x14ac:dyDescent="0.35">
      <c r="B119" s="109" t="s">
        <v>5</v>
      </c>
      <c r="C119" s="113" t="s">
        <v>118</v>
      </c>
      <c r="D119" s="96" t="s">
        <v>139</v>
      </c>
      <c r="E119" s="143" t="s">
        <v>524</v>
      </c>
      <c r="F119" s="98" t="s">
        <v>139</v>
      </c>
    </row>
    <row r="120" spans="2:6" ht="28" x14ac:dyDescent="0.35">
      <c r="B120" s="109" t="s">
        <v>8</v>
      </c>
      <c r="C120" s="113" t="s">
        <v>119</v>
      </c>
      <c r="D120" s="144" t="s">
        <v>139</v>
      </c>
      <c r="E120" s="97" t="s">
        <v>525</v>
      </c>
      <c r="F120" s="98"/>
    </row>
    <row r="121" spans="2:6" x14ac:dyDescent="0.35">
      <c r="B121" s="145" t="s">
        <v>120</v>
      </c>
      <c r="C121" s="146" t="s">
        <v>121</v>
      </c>
      <c r="D121" s="147" t="s">
        <v>139</v>
      </c>
      <c r="E121" s="73" t="s">
        <v>139</v>
      </c>
      <c r="F121" s="98"/>
    </row>
    <row r="122" spans="2:6" x14ac:dyDescent="0.35">
      <c r="B122" s="145" t="s">
        <v>122</v>
      </c>
      <c r="C122" s="146" t="s">
        <v>123</v>
      </c>
      <c r="D122" s="147" t="s">
        <v>139</v>
      </c>
      <c r="E122" s="73" t="s">
        <v>139</v>
      </c>
      <c r="F122" s="98"/>
    </row>
    <row r="123" spans="2:6" x14ac:dyDescent="0.35">
      <c r="B123" s="148" t="s">
        <v>124</v>
      </c>
      <c r="C123" s="149" t="s">
        <v>125</v>
      </c>
      <c r="D123" s="150" t="s">
        <v>139</v>
      </c>
      <c r="E123" s="141" t="s">
        <v>139</v>
      </c>
      <c r="F123" s="151"/>
    </row>
    <row r="124" spans="2:6" ht="19" customHeight="1" x14ac:dyDescent="0.35">
      <c r="B124" s="194" t="s">
        <v>526</v>
      </c>
      <c r="C124" s="195"/>
      <c r="D124" s="195"/>
      <c r="E124" s="195"/>
      <c r="F124" s="196"/>
    </row>
    <row r="125" spans="2:6" ht="20" customHeight="1" x14ac:dyDescent="0.35">
      <c r="B125" s="197" t="s">
        <v>527</v>
      </c>
      <c r="C125" s="198"/>
      <c r="D125" s="198"/>
      <c r="E125" s="198"/>
      <c r="F125" s="199"/>
    </row>
    <row r="126" spans="2:6" ht="19" customHeight="1" x14ac:dyDescent="0.35">
      <c r="B126" s="200" t="s">
        <v>528</v>
      </c>
      <c r="C126" s="201"/>
      <c r="D126" s="201"/>
      <c r="E126" s="201"/>
      <c r="F126" s="202"/>
    </row>
    <row r="127" spans="2:6" ht="19" customHeight="1" x14ac:dyDescent="0.35">
      <c r="B127" s="203" t="s">
        <v>529</v>
      </c>
      <c r="C127" s="201"/>
      <c r="D127" s="201"/>
      <c r="E127" s="201"/>
      <c r="F127" s="202"/>
    </row>
    <row r="128" spans="2:6" ht="48" customHeight="1" x14ac:dyDescent="0.35">
      <c r="B128" s="203" t="s">
        <v>530</v>
      </c>
      <c r="C128" s="201"/>
      <c r="D128" s="201"/>
      <c r="E128" s="201"/>
      <c r="F128" s="202"/>
    </row>
    <row r="129" spans="2:6" ht="32" customHeight="1" x14ac:dyDescent="0.35">
      <c r="B129" s="184" t="s">
        <v>531</v>
      </c>
      <c r="C129" s="185"/>
      <c r="D129" s="185"/>
      <c r="E129" s="185"/>
      <c r="F129" s="186"/>
    </row>
    <row r="130" spans="2:6" ht="34" customHeight="1" x14ac:dyDescent="0.35">
      <c r="B130" s="187" t="s">
        <v>532</v>
      </c>
      <c r="C130" s="188"/>
      <c r="D130" s="188"/>
      <c r="E130" s="188"/>
      <c r="F130" s="189"/>
    </row>
  </sheetData>
  <sheetProtection algorithmName="SHA-512" hashValue="Oa5XhSvvPreucT+06gwrPDgb7DpF4PS22GPLMraaXCkfEUTOAozDqBdVtzp0DEsIiuyH0o7oqsGM9xFpbu87IQ==" saltValue="A2YGyqNU4yDa+SMmfuBerw==" spinCount="100000" sheet="1" objects="1" scenarios="1"/>
  <mergeCells count="77">
    <mergeCell ref="B12:F12"/>
    <mergeCell ref="B1:F1"/>
    <mergeCell ref="B2:F2"/>
    <mergeCell ref="B4:C4"/>
    <mergeCell ref="B10:F10"/>
    <mergeCell ref="B11:F11"/>
    <mergeCell ref="B14:F14"/>
    <mergeCell ref="B17:C17"/>
    <mergeCell ref="D17:D18"/>
    <mergeCell ref="E17:E18"/>
    <mergeCell ref="F17:F18"/>
    <mergeCell ref="B18:C18"/>
    <mergeCell ref="B21:F21"/>
    <mergeCell ref="B22:F22"/>
    <mergeCell ref="B25:C25"/>
    <mergeCell ref="D25:D26"/>
    <mergeCell ref="E25:E26"/>
    <mergeCell ref="F25:F26"/>
    <mergeCell ref="B26:C26"/>
    <mergeCell ref="B55:F55"/>
    <mergeCell ref="B36:F36"/>
    <mergeCell ref="B37:F37"/>
    <mergeCell ref="B38:F38"/>
    <mergeCell ref="B39:F39"/>
    <mergeCell ref="B40:F40"/>
    <mergeCell ref="B41:F41"/>
    <mergeCell ref="B44:C44"/>
    <mergeCell ref="D44:D45"/>
    <mergeCell ref="E44:E45"/>
    <mergeCell ref="F44:F45"/>
    <mergeCell ref="B45:C45"/>
    <mergeCell ref="B78:F78"/>
    <mergeCell ref="B56:F56"/>
    <mergeCell ref="B57:F57"/>
    <mergeCell ref="B58:F58"/>
    <mergeCell ref="B59:F59"/>
    <mergeCell ref="B60:F60"/>
    <mergeCell ref="B63:C63"/>
    <mergeCell ref="B73:F73"/>
    <mergeCell ref="B74:F74"/>
    <mergeCell ref="B75:F75"/>
    <mergeCell ref="B76:F76"/>
    <mergeCell ref="B77:F77"/>
    <mergeCell ref="B97:F97"/>
    <mergeCell ref="B81:C81"/>
    <mergeCell ref="D81:D82"/>
    <mergeCell ref="E81:E82"/>
    <mergeCell ref="F81:F82"/>
    <mergeCell ref="B82:C82"/>
    <mergeCell ref="B89:C89"/>
    <mergeCell ref="B91:C91"/>
    <mergeCell ref="B93:F93"/>
    <mergeCell ref="B94:F94"/>
    <mergeCell ref="B95:F95"/>
    <mergeCell ref="B96:F96"/>
    <mergeCell ref="B100:F100"/>
    <mergeCell ref="B103:C103"/>
    <mergeCell ref="D103:D104"/>
    <mergeCell ref="E103:E104"/>
    <mergeCell ref="F103:F104"/>
    <mergeCell ref="B104:C104"/>
    <mergeCell ref="B129:F129"/>
    <mergeCell ref="B130:F130"/>
    <mergeCell ref="B13:F13"/>
    <mergeCell ref="B117:C117"/>
    <mergeCell ref="B124:F124"/>
    <mergeCell ref="B125:F125"/>
    <mergeCell ref="B126:F126"/>
    <mergeCell ref="B127:F127"/>
    <mergeCell ref="B128:F128"/>
    <mergeCell ref="B106:F106"/>
    <mergeCell ref="B109:C109"/>
    <mergeCell ref="B112:F112"/>
    <mergeCell ref="B113:F113"/>
    <mergeCell ref="B114:F114"/>
    <mergeCell ref="B98:F98"/>
    <mergeCell ref="B99:F99"/>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5C6EB9-74BB-4F6F-8711-FF9A5A779914}">
  <sheetPr>
    <tabColor theme="9" tint="0.59999389629810485"/>
  </sheetPr>
  <dimension ref="A1:L167"/>
  <sheetViews>
    <sheetView topLeftCell="A130" workbookViewId="0">
      <selection activeCell="G144" sqref="G144:H144"/>
    </sheetView>
  </sheetViews>
  <sheetFormatPr defaultRowHeight="14.5" x14ac:dyDescent="0.35"/>
  <cols>
    <col min="1" max="1" width="8.7265625" style="11"/>
    <col min="2" max="2" width="13.26953125" style="11" customWidth="1"/>
    <col min="3" max="3" width="13.36328125" style="11" customWidth="1"/>
    <col min="4" max="4" width="12.6328125" style="11" customWidth="1"/>
    <col min="5" max="5" width="13.36328125" style="11" customWidth="1"/>
    <col min="6" max="6" width="12.90625" style="11" customWidth="1"/>
    <col min="7" max="7" width="8.7265625" style="11"/>
    <col min="8" max="8" width="11.54296875" style="11" bestFit="1" customWidth="1"/>
    <col min="9" max="9" width="13" style="11" bestFit="1" customWidth="1"/>
    <col min="10" max="10" width="9.90625" style="11" bestFit="1" customWidth="1"/>
    <col min="11" max="11" width="8.7265625" style="11"/>
    <col min="12" max="12" width="7.81640625" style="11" customWidth="1"/>
    <col min="13" max="16384" width="8.7265625" style="11"/>
  </cols>
  <sheetData>
    <row r="1" spans="1:10" x14ac:dyDescent="0.35">
      <c r="A1" s="287" t="s">
        <v>0</v>
      </c>
      <c r="B1" s="287"/>
      <c r="C1" s="287"/>
      <c r="D1" s="287"/>
      <c r="E1" s="287"/>
      <c r="F1" s="287"/>
      <c r="G1" s="287"/>
      <c r="H1" s="287"/>
      <c r="I1" s="287"/>
      <c r="J1" s="287"/>
    </row>
    <row r="2" spans="1:10" x14ac:dyDescent="0.35">
      <c r="A2" s="287" t="s">
        <v>1</v>
      </c>
      <c r="B2" s="287"/>
      <c r="C2" s="287"/>
      <c r="D2" s="287"/>
      <c r="E2" s="287"/>
      <c r="F2" s="287"/>
      <c r="G2" s="287"/>
      <c r="H2" s="287"/>
      <c r="I2" s="287"/>
      <c r="J2" s="287"/>
    </row>
    <row r="3" spans="1:10" x14ac:dyDescent="0.35">
      <c r="A3" s="12"/>
      <c r="B3" s="288"/>
      <c r="C3" s="288"/>
      <c r="D3" s="288"/>
      <c r="E3" s="288"/>
      <c r="F3" s="288"/>
      <c r="G3" s="288"/>
      <c r="H3" s="288"/>
      <c r="I3" s="288"/>
      <c r="J3" s="288"/>
    </row>
    <row r="4" spans="1:10" x14ac:dyDescent="0.35">
      <c r="A4" s="280" t="s">
        <v>209</v>
      </c>
      <c r="B4" s="280"/>
      <c r="C4" s="280"/>
      <c r="D4" s="280"/>
      <c r="E4" s="280"/>
      <c r="F4" s="280"/>
      <c r="G4" s="280"/>
      <c r="H4" s="280"/>
      <c r="I4" s="280"/>
      <c r="J4" s="280"/>
    </row>
    <row r="5" spans="1:10" x14ac:dyDescent="0.35">
      <c r="A5" s="280" t="s">
        <v>140</v>
      </c>
      <c r="B5" s="280"/>
      <c r="C5" s="280"/>
      <c r="D5" s="280"/>
      <c r="E5" s="280"/>
      <c r="F5" s="280"/>
      <c r="G5" s="280"/>
      <c r="H5" s="280"/>
      <c r="I5" s="280"/>
      <c r="J5" s="280"/>
    </row>
    <row r="6" spans="1:10" x14ac:dyDescent="0.35">
      <c r="A6" s="303"/>
      <c r="B6" s="303"/>
      <c r="C6" s="303"/>
      <c r="D6" s="303"/>
      <c r="E6" s="303"/>
      <c r="F6" s="303"/>
      <c r="G6" s="303"/>
      <c r="H6" s="303"/>
      <c r="I6" s="303"/>
      <c r="J6" s="303"/>
    </row>
    <row r="7" spans="1:10" x14ac:dyDescent="0.35">
      <c r="A7" s="287" t="s">
        <v>2</v>
      </c>
      <c r="B7" s="287"/>
      <c r="C7" s="287"/>
      <c r="D7" s="287"/>
      <c r="E7" s="287"/>
      <c r="F7" s="287"/>
      <c r="G7" s="287"/>
      <c r="H7" s="287"/>
      <c r="I7" s="287"/>
      <c r="J7" s="287"/>
    </row>
    <row r="8" spans="1:10" x14ac:dyDescent="0.35">
      <c r="A8" s="308"/>
      <c r="B8" s="308"/>
      <c r="C8" s="308"/>
      <c r="D8" s="308"/>
      <c r="E8" s="308"/>
      <c r="F8" s="308"/>
      <c r="G8" s="308"/>
      <c r="H8" s="308"/>
      <c r="I8" s="308"/>
      <c r="J8" s="308"/>
    </row>
    <row r="9" spans="1:10" x14ac:dyDescent="0.35">
      <c r="A9" s="57" t="s">
        <v>3</v>
      </c>
      <c r="B9" s="310" t="s">
        <v>4</v>
      </c>
      <c r="C9" s="310"/>
      <c r="D9" s="310"/>
      <c r="E9" s="310"/>
      <c r="F9" s="310"/>
      <c r="G9" s="311"/>
      <c r="H9" s="311"/>
      <c r="I9" s="311"/>
      <c r="J9" s="311"/>
    </row>
    <row r="10" spans="1:10" x14ac:dyDescent="0.35">
      <c r="A10" s="57" t="s">
        <v>5</v>
      </c>
      <c r="B10" s="310" t="s">
        <v>6</v>
      </c>
      <c r="C10" s="310"/>
      <c r="D10" s="310"/>
      <c r="E10" s="310"/>
      <c r="F10" s="310"/>
      <c r="G10" s="311" t="s">
        <v>7</v>
      </c>
      <c r="H10" s="311"/>
      <c r="I10" s="311"/>
      <c r="J10" s="311"/>
    </row>
    <row r="11" spans="1:10" ht="14.5" customHeight="1" x14ac:dyDescent="0.35">
      <c r="A11" s="57" t="s">
        <v>8</v>
      </c>
      <c r="B11" s="310" t="s">
        <v>9</v>
      </c>
      <c r="C11" s="310"/>
      <c r="D11" s="310"/>
      <c r="E11" s="310"/>
      <c r="F11" s="310"/>
      <c r="G11" s="297" t="s">
        <v>136</v>
      </c>
      <c r="H11" s="298"/>
      <c r="I11" s="298"/>
      <c r="J11" s="299"/>
    </row>
    <row r="12" spans="1:10" x14ac:dyDescent="0.35">
      <c r="A12" s="57" t="s">
        <v>10</v>
      </c>
      <c r="B12" s="310" t="s">
        <v>11</v>
      </c>
      <c r="C12" s="310"/>
      <c r="D12" s="310"/>
      <c r="E12" s="310"/>
      <c r="F12" s="310"/>
      <c r="G12" s="311" t="s">
        <v>12</v>
      </c>
      <c r="H12" s="311"/>
      <c r="I12" s="311"/>
      <c r="J12" s="311"/>
    </row>
    <row r="13" spans="1:10" x14ac:dyDescent="0.35">
      <c r="A13" s="308"/>
      <c r="B13" s="308"/>
      <c r="C13" s="308"/>
      <c r="D13" s="308"/>
      <c r="E13" s="308"/>
      <c r="F13" s="308"/>
      <c r="G13" s="308"/>
      <c r="H13" s="308"/>
      <c r="I13" s="308"/>
      <c r="J13" s="308"/>
    </row>
    <row r="14" spans="1:10" x14ac:dyDescent="0.35">
      <c r="A14" s="287" t="s">
        <v>13</v>
      </c>
      <c r="B14" s="287"/>
      <c r="C14" s="287"/>
      <c r="D14" s="287"/>
      <c r="E14" s="287"/>
      <c r="F14" s="287"/>
      <c r="G14" s="287"/>
      <c r="H14" s="287"/>
      <c r="I14" s="287"/>
      <c r="J14" s="287"/>
    </row>
    <row r="15" spans="1:10" x14ac:dyDescent="0.35">
      <c r="A15" s="308"/>
      <c r="B15" s="308"/>
      <c r="C15" s="308"/>
      <c r="D15" s="308"/>
      <c r="E15" s="308"/>
      <c r="F15" s="308"/>
      <c r="G15" s="308"/>
      <c r="H15" s="308"/>
      <c r="I15" s="308"/>
      <c r="J15" s="308"/>
    </row>
    <row r="16" spans="1:10" x14ac:dyDescent="0.35">
      <c r="A16" s="301" t="s">
        <v>14</v>
      </c>
      <c r="B16" s="301"/>
      <c r="C16" s="301"/>
      <c r="D16" s="311" t="s">
        <v>15</v>
      </c>
      <c r="E16" s="311"/>
      <c r="F16" s="311" t="s">
        <v>16</v>
      </c>
      <c r="G16" s="311"/>
      <c r="H16" s="311"/>
      <c r="I16" s="311"/>
      <c r="J16" s="311"/>
    </row>
    <row r="17" spans="1:10" x14ac:dyDescent="0.35">
      <c r="A17" s="304" t="s">
        <v>137</v>
      </c>
      <c r="B17" s="304"/>
      <c r="C17" s="304"/>
      <c r="D17" s="305" t="s">
        <v>18</v>
      </c>
      <c r="E17" s="306"/>
      <c r="F17" s="307">
        <v>16348.748</v>
      </c>
      <c r="G17" s="307"/>
      <c r="H17" s="307"/>
      <c r="I17" s="307"/>
      <c r="J17" s="307"/>
    </row>
    <row r="18" spans="1:10" x14ac:dyDescent="0.35">
      <c r="A18" s="308"/>
      <c r="B18" s="308"/>
      <c r="C18" s="308"/>
      <c r="D18" s="308"/>
      <c r="E18" s="308"/>
      <c r="F18" s="308"/>
      <c r="G18" s="308"/>
      <c r="H18" s="308"/>
      <c r="I18" s="308"/>
      <c r="J18" s="308"/>
    </row>
    <row r="19" spans="1:10" x14ac:dyDescent="0.35">
      <c r="A19" s="287" t="s">
        <v>19</v>
      </c>
      <c r="B19" s="287"/>
      <c r="C19" s="287"/>
      <c r="D19" s="287"/>
      <c r="E19" s="287"/>
      <c r="F19" s="287"/>
      <c r="G19" s="287"/>
      <c r="H19" s="287"/>
      <c r="I19" s="287"/>
      <c r="J19" s="287"/>
    </row>
    <row r="20" spans="1:10" x14ac:dyDescent="0.35">
      <c r="A20" s="12"/>
      <c r="B20" s="309"/>
      <c r="C20" s="309"/>
      <c r="D20" s="309"/>
      <c r="E20" s="309"/>
      <c r="F20" s="309"/>
      <c r="G20" s="309"/>
      <c r="H20" s="309"/>
      <c r="I20" s="309"/>
      <c r="J20" s="309"/>
    </row>
    <row r="21" spans="1:10" x14ac:dyDescent="0.35">
      <c r="A21" s="20" t="s">
        <v>20</v>
      </c>
      <c r="B21" s="300" t="s">
        <v>21</v>
      </c>
      <c r="C21" s="300"/>
      <c r="D21" s="300"/>
      <c r="E21" s="300"/>
      <c r="F21" s="300"/>
      <c r="G21" s="301" t="s">
        <v>29</v>
      </c>
      <c r="H21" s="301"/>
      <c r="I21" s="301"/>
      <c r="J21" s="301"/>
    </row>
    <row r="22" spans="1:10" x14ac:dyDescent="0.35">
      <c r="A22" s="20" t="s">
        <v>22</v>
      </c>
      <c r="B22" s="300" t="s">
        <v>23</v>
      </c>
      <c r="C22" s="300"/>
      <c r="D22" s="300"/>
      <c r="E22" s="300"/>
      <c r="F22" s="300"/>
      <c r="G22" s="301" t="s">
        <v>24</v>
      </c>
      <c r="H22" s="301"/>
      <c r="I22" s="301"/>
      <c r="J22" s="301"/>
    </row>
    <row r="23" spans="1:10" x14ac:dyDescent="0.35">
      <c r="A23" s="20" t="s">
        <v>25</v>
      </c>
      <c r="B23" s="300" t="s">
        <v>26</v>
      </c>
      <c r="C23" s="300"/>
      <c r="D23" s="300"/>
      <c r="E23" s="300"/>
      <c r="F23" s="300"/>
      <c r="G23" s="312">
        <v>2107.4899999999998</v>
      </c>
      <c r="H23" s="312"/>
      <c r="I23" s="312"/>
      <c r="J23" s="312"/>
    </row>
    <row r="24" spans="1:10" x14ac:dyDescent="0.35">
      <c r="A24" s="20" t="s">
        <v>27</v>
      </c>
      <c r="B24" s="300" t="s">
        <v>28</v>
      </c>
      <c r="C24" s="300"/>
      <c r="D24" s="300"/>
      <c r="E24" s="300"/>
      <c r="F24" s="300"/>
      <c r="G24" s="301" t="s">
        <v>17</v>
      </c>
      <c r="H24" s="301"/>
      <c r="I24" s="301"/>
      <c r="J24" s="301"/>
    </row>
    <row r="25" spans="1:10" x14ac:dyDescent="0.35">
      <c r="A25" s="20" t="s">
        <v>30</v>
      </c>
      <c r="B25" s="300" t="s">
        <v>31</v>
      </c>
      <c r="C25" s="300"/>
      <c r="D25" s="300"/>
      <c r="E25" s="300"/>
      <c r="F25" s="300"/>
      <c r="G25" s="302">
        <v>45292</v>
      </c>
      <c r="H25" s="302"/>
      <c r="I25" s="302"/>
      <c r="J25" s="302"/>
    </row>
    <row r="26" spans="1:10" x14ac:dyDescent="0.35">
      <c r="A26" s="319"/>
      <c r="B26" s="319"/>
      <c r="C26" s="319"/>
      <c r="D26" s="319"/>
      <c r="E26" s="319"/>
      <c r="F26" s="319"/>
      <c r="G26" s="319"/>
      <c r="H26" s="319"/>
      <c r="I26" s="319"/>
      <c r="J26" s="319"/>
    </row>
    <row r="27" spans="1:10" x14ac:dyDescent="0.35">
      <c r="A27" s="287" t="s">
        <v>32</v>
      </c>
      <c r="B27" s="287"/>
      <c r="C27" s="287"/>
      <c r="D27" s="287"/>
      <c r="E27" s="287"/>
      <c r="F27" s="287"/>
      <c r="G27" s="287"/>
      <c r="H27" s="287"/>
      <c r="I27" s="287"/>
      <c r="J27" s="287"/>
    </row>
    <row r="28" spans="1:10" x14ac:dyDescent="0.35">
      <c r="A28" s="12"/>
      <c r="B28" s="13"/>
      <c r="C28" s="13"/>
      <c r="D28" s="13"/>
      <c r="E28" s="13"/>
      <c r="F28" s="13"/>
      <c r="G28" s="13"/>
      <c r="H28" s="13"/>
      <c r="I28" s="13"/>
      <c r="J28" s="13"/>
    </row>
    <row r="29" spans="1:10" x14ac:dyDescent="0.35">
      <c r="A29" s="10">
        <v>1</v>
      </c>
      <c r="B29" s="322" t="s">
        <v>33</v>
      </c>
      <c r="C29" s="322"/>
      <c r="D29" s="322"/>
      <c r="E29" s="322"/>
      <c r="F29" s="322"/>
      <c r="G29" s="324" t="s">
        <v>34</v>
      </c>
      <c r="H29" s="324"/>
      <c r="I29" s="324"/>
      <c r="J29" s="324"/>
    </row>
    <row r="30" spans="1:10" x14ac:dyDescent="0.35">
      <c r="A30" s="14" t="s">
        <v>3</v>
      </c>
      <c r="B30" s="325" t="s">
        <v>35</v>
      </c>
      <c r="C30" s="325"/>
      <c r="D30" s="325"/>
      <c r="E30" s="325"/>
      <c r="F30" s="325"/>
      <c r="G30" s="321">
        <f>G23</f>
        <v>2107.4899999999998</v>
      </c>
      <c r="H30" s="321"/>
      <c r="I30" s="321"/>
      <c r="J30" s="321"/>
    </row>
    <row r="31" spans="1:10" x14ac:dyDescent="0.35">
      <c r="A31" s="14" t="s">
        <v>5</v>
      </c>
      <c r="B31" s="325" t="s">
        <v>36</v>
      </c>
      <c r="C31" s="325"/>
      <c r="D31" s="325"/>
      <c r="E31" s="325"/>
      <c r="F31" s="325"/>
      <c r="G31" s="321">
        <f>G30*30%</f>
        <v>632.24699999999996</v>
      </c>
      <c r="H31" s="321"/>
      <c r="I31" s="321"/>
      <c r="J31" s="321"/>
    </row>
    <row r="32" spans="1:10" x14ac:dyDescent="0.35">
      <c r="A32" s="14" t="s">
        <v>8</v>
      </c>
      <c r="B32" s="313" t="s">
        <v>37</v>
      </c>
      <c r="C32" s="314"/>
      <c r="D32" s="314"/>
      <c r="E32" s="314"/>
      <c r="F32" s="315"/>
      <c r="G32" s="316">
        <v>0</v>
      </c>
      <c r="H32" s="317"/>
      <c r="I32" s="317"/>
      <c r="J32" s="318"/>
    </row>
    <row r="33" spans="1:10" x14ac:dyDescent="0.35">
      <c r="A33" s="14" t="s">
        <v>10</v>
      </c>
      <c r="B33" s="320" t="s">
        <v>38</v>
      </c>
      <c r="C33" s="320"/>
      <c r="D33" s="320"/>
      <c r="E33" s="320"/>
      <c r="F33" s="320"/>
      <c r="G33" s="321">
        <v>0</v>
      </c>
      <c r="H33" s="321"/>
      <c r="I33" s="321"/>
      <c r="J33" s="321"/>
    </row>
    <row r="34" spans="1:10" x14ac:dyDescent="0.35">
      <c r="A34" s="322" t="s">
        <v>39</v>
      </c>
      <c r="B34" s="322"/>
      <c r="C34" s="322"/>
      <c r="D34" s="322"/>
      <c r="E34" s="322"/>
      <c r="F34" s="322"/>
      <c r="G34" s="323">
        <f>SUM(G30:J33)</f>
        <v>2739.7369999999996</v>
      </c>
      <c r="H34" s="323"/>
      <c r="I34" s="323"/>
      <c r="J34" s="323"/>
    </row>
    <row r="35" spans="1:10" x14ac:dyDescent="0.35">
      <c r="A35" s="12"/>
      <c r="B35" s="288"/>
      <c r="C35" s="288"/>
      <c r="D35" s="288"/>
      <c r="E35" s="288"/>
      <c r="F35" s="288"/>
      <c r="G35" s="288"/>
      <c r="H35" s="288"/>
      <c r="I35" s="288"/>
      <c r="J35" s="288"/>
    </row>
    <row r="36" spans="1:10" x14ac:dyDescent="0.35">
      <c r="A36" s="287" t="s">
        <v>40</v>
      </c>
      <c r="B36" s="287"/>
      <c r="C36" s="287"/>
      <c r="D36" s="287"/>
      <c r="E36" s="287"/>
      <c r="F36" s="287"/>
      <c r="G36" s="287"/>
      <c r="H36" s="287"/>
      <c r="I36" s="287"/>
      <c r="J36" s="287"/>
    </row>
    <row r="37" spans="1:10" x14ac:dyDescent="0.35">
      <c r="A37" s="12"/>
      <c r="B37" s="288"/>
      <c r="C37" s="288"/>
      <c r="D37" s="288"/>
      <c r="E37" s="288"/>
      <c r="F37" s="288"/>
      <c r="G37" s="288"/>
      <c r="H37" s="288"/>
      <c r="I37" s="288"/>
      <c r="J37" s="288"/>
    </row>
    <row r="38" spans="1:10" x14ac:dyDescent="0.35">
      <c r="A38" s="326" t="s">
        <v>41</v>
      </c>
      <c r="B38" s="326"/>
      <c r="C38" s="326"/>
      <c r="D38" s="326"/>
      <c r="E38" s="326"/>
      <c r="F38" s="326"/>
      <c r="G38" s="326"/>
      <c r="H38" s="326"/>
      <c r="I38" s="326"/>
      <c r="J38" s="326"/>
    </row>
    <row r="39" spans="1:10" x14ac:dyDescent="0.35">
      <c r="A39" s="327" t="s">
        <v>42</v>
      </c>
      <c r="B39" s="327"/>
      <c r="C39" s="327"/>
      <c r="D39" s="327"/>
      <c r="E39" s="327"/>
      <c r="F39" s="327"/>
      <c r="G39" s="328">
        <f>G34</f>
        <v>2739.7369999999996</v>
      </c>
      <c r="H39" s="328"/>
      <c r="I39" s="328"/>
      <c r="J39" s="328"/>
    </row>
    <row r="40" spans="1:10" x14ac:dyDescent="0.35">
      <c r="A40" s="12"/>
      <c r="B40" s="309"/>
      <c r="C40" s="309"/>
      <c r="D40" s="309"/>
      <c r="E40" s="309"/>
      <c r="F40" s="309"/>
      <c r="G40" s="309"/>
      <c r="H40" s="309"/>
      <c r="I40" s="309"/>
      <c r="J40" s="309"/>
    </row>
    <row r="41" spans="1:10" x14ac:dyDescent="0.35">
      <c r="A41" s="20" t="s">
        <v>43</v>
      </c>
      <c r="B41" s="311" t="s">
        <v>44</v>
      </c>
      <c r="C41" s="311"/>
      <c r="D41" s="311"/>
      <c r="E41" s="311"/>
      <c r="F41" s="311"/>
      <c r="G41" s="311" t="s">
        <v>45</v>
      </c>
      <c r="H41" s="311"/>
      <c r="I41" s="322" t="s">
        <v>34</v>
      </c>
      <c r="J41" s="322"/>
    </row>
    <row r="42" spans="1:10" x14ac:dyDescent="0.35">
      <c r="A42" s="23" t="s">
        <v>3</v>
      </c>
      <c r="B42" s="300" t="s">
        <v>46</v>
      </c>
      <c r="C42" s="300"/>
      <c r="D42" s="300"/>
      <c r="E42" s="300"/>
      <c r="F42" s="300"/>
      <c r="G42" s="331">
        <v>8.3299999999999999E-2</v>
      </c>
      <c r="H42" s="331"/>
      <c r="I42" s="330">
        <f>G39*G42</f>
        <v>228.22009209999996</v>
      </c>
      <c r="J42" s="330"/>
    </row>
    <row r="43" spans="1:10" x14ac:dyDescent="0.35">
      <c r="A43" s="23" t="s">
        <v>5</v>
      </c>
      <c r="B43" s="300" t="s">
        <v>47</v>
      </c>
      <c r="C43" s="300"/>
      <c r="D43" s="300"/>
      <c r="E43" s="300"/>
      <c r="F43" s="300"/>
      <c r="G43" s="329">
        <v>2.7799999999999998E-2</v>
      </c>
      <c r="H43" s="329"/>
      <c r="I43" s="330">
        <f>G39*G43</f>
        <v>76.164688599999991</v>
      </c>
      <c r="J43" s="330"/>
    </row>
    <row r="44" spans="1:10" x14ac:dyDescent="0.35">
      <c r="A44" s="311" t="s">
        <v>39</v>
      </c>
      <c r="B44" s="311"/>
      <c r="C44" s="311"/>
      <c r="D44" s="311"/>
      <c r="E44" s="311"/>
      <c r="F44" s="311"/>
      <c r="G44" s="331">
        <f>SUM(G42:H43)</f>
        <v>0.1111</v>
      </c>
      <c r="H44" s="304"/>
      <c r="I44" s="332">
        <f>SUM(I42:J43)</f>
        <v>304.38478069999996</v>
      </c>
      <c r="J44" s="332"/>
    </row>
    <row r="45" spans="1:10" x14ac:dyDescent="0.35">
      <c r="A45" s="288"/>
      <c r="B45" s="288"/>
      <c r="C45" s="288"/>
      <c r="D45" s="288"/>
      <c r="E45" s="288"/>
      <c r="F45" s="288"/>
      <c r="G45" s="288"/>
      <c r="H45" s="288"/>
      <c r="I45" s="288"/>
      <c r="J45" s="288"/>
    </row>
    <row r="46" spans="1:10" x14ac:dyDescent="0.35">
      <c r="A46" s="334" t="s">
        <v>48</v>
      </c>
      <c r="B46" s="334"/>
      <c r="C46" s="334"/>
      <c r="D46" s="334"/>
      <c r="E46" s="334"/>
      <c r="F46" s="334"/>
      <c r="G46" s="334"/>
      <c r="H46" s="334"/>
      <c r="I46" s="334"/>
      <c r="J46" s="334"/>
    </row>
    <row r="47" spans="1:10" x14ac:dyDescent="0.35">
      <c r="A47" s="335" t="s">
        <v>49</v>
      </c>
      <c r="B47" s="335"/>
      <c r="C47" s="335"/>
      <c r="D47" s="335"/>
      <c r="E47" s="335"/>
      <c r="F47" s="335"/>
      <c r="G47" s="336">
        <f>G34+I44</f>
        <v>3044.1217806999994</v>
      </c>
      <c r="H47" s="336"/>
      <c r="I47" s="336"/>
      <c r="J47" s="336"/>
    </row>
    <row r="48" spans="1:10" x14ac:dyDescent="0.35">
      <c r="A48" s="337"/>
      <c r="B48" s="337"/>
      <c r="C48" s="337"/>
      <c r="D48" s="337"/>
      <c r="E48" s="337"/>
      <c r="F48" s="337"/>
      <c r="G48" s="337"/>
      <c r="H48" s="337"/>
      <c r="I48" s="337"/>
      <c r="J48" s="337"/>
    </row>
    <row r="49" spans="1:10" x14ac:dyDescent="0.35">
      <c r="A49" s="28" t="s">
        <v>50</v>
      </c>
      <c r="B49" s="338" t="s">
        <v>51</v>
      </c>
      <c r="C49" s="338"/>
      <c r="D49" s="338"/>
      <c r="E49" s="338"/>
      <c r="F49" s="338"/>
      <c r="G49" s="339" t="s">
        <v>45</v>
      </c>
      <c r="H49" s="339"/>
      <c r="I49" s="340" t="s">
        <v>34</v>
      </c>
      <c r="J49" s="340"/>
    </row>
    <row r="50" spans="1:10" x14ac:dyDescent="0.35">
      <c r="A50" s="23" t="s">
        <v>3</v>
      </c>
      <c r="B50" s="300" t="s">
        <v>52</v>
      </c>
      <c r="C50" s="300"/>
      <c r="D50" s="300"/>
      <c r="E50" s="300"/>
      <c r="F50" s="300"/>
      <c r="G50" s="331">
        <v>0.2</v>
      </c>
      <c r="H50" s="331"/>
      <c r="I50" s="333">
        <f>G47*G50</f>
        <v>608.82435613999985</v>
      </c>
      <c r="J50" s="333"/>
    </row>
    <row r="51" spans="1:10" x14ac:dyDescent="0.35">
      <c r="A51" s="23" t="s">
        <v>5</v>
      </c>
      <c r="B51" s="300" t="s">
        <v>53</v>
      </c>
      <c r="C51" s="300"/>
      <c r="D51" s="300"/>
      <c r="E51" s="300"/>
      <c r="F51" s="300"/>
      <c r="G51" s="331">
        <v>2.5000000000000001E-2</v>
      </c>
      <c r="H51" s="331"/>
      <c r="I51" s="333">
        <f>G47*G51</f>
        <v>76.103044517499981</v>
      </c>
      <c r="J51" s="333"/>
    </row>
    <row r="52" spans="1:10" x14ac:dyDescent="0.35">
      <c r="A52" s="23" t="s">
        <v>8</v>
      </c>
      <c r="B52" s="341" t="s">
        <v>54</v>
      </c>
      <c r="C52" s="341"/>
      <c r="D52" s="341"/>
      <c r="E52" s="341"/>
      <c r="F52" s="341"/>
      <c r="G52" s="342">
        <v>0.03</v>
      </c>
      <c r="H52" s="343"/>
      <c r="I52" s="333">
        <f>G47*G52</f>
        <v>91.323653420999975</v>
      </c>
      <c r="J52" s="333"/>
    </row>
    <row r="53" spans="1:10" x14ac:dyDescent="0.35">
      <c r="A53" s="23" t="s">
        <v>10</v>
      </c>
      <c r="B53" s="300" t="s">
        <v>55</v>
      </c>
      <c r="C53" s="300"/>
      <c r="D53" s="300"/>
      <c r="E53" s="300"/>
      <c r="F53" s="300"/>
      <c r="G53" s="331">
        <v>1.4999999999999999E-2</v>
      </c>
      <c r="H53" s="331"/>
      <c r="I53" s="333">
        <f>G47*G53</f>
        <v>45.661826710499987</v>
      </c>
      <c r="J53" s="333"/>
    </row>
    <row r="54" spans="1:10" x14ac:dyDescent="0.35">
      <c r="A54" s="23" t="s">
        <v>56</v>
      </c>
      <c r="B54" s="300" t="s">
        <v>57</v>
      </c>
      <c r="C54" s="300"/>
      <c r="D54" s="300"/>
      <c r="E54" s="300"/>
      <c r="F54" s="300"/>
      <c r="G54" s="331">
        <v>0.01</v>
      </c>
      <c r="H54" s="331"/>
      <c r="I54" s="333">
        <f>G47*G54</f>
        <v>30.441217806999994</v>
      </c>
      <c r="J54" s="333"/>
    </row>
    <row r="55" spans="1:10" x14ac:dyDescent="0.35">
      <c r="A55" s="23" t="s">
        <v>58</v>
      </c>
      <c r="B55" s="300" t="s">
        <v>59</v>
      </c>
      <c r="C55" s="300"/>
      <c r="D55" s="300"/>
      <c r="E55" s="300"/>
      <c r="F55" s="300"/>
      <c r="G55" s="331">
        <v>6.0000000000000001E-3</v>
      </c>
      <c r="H55" s="331"/>
      <c r="I55" s="333">
        <f>G47*G55</f>
        <v>18.264730684199996</v>
      </c>
      <c r="J55" s="333"/>
    </row>
    <row r="56" spans="1:10" x14ac:dyDescent="0.35">
      <c r="A56" s="23" t="s">
        <v>60</v>
      </c>
      <c r="B56" s="300" t="s">
        <v>61</v>
      </c>
      <c r="C56" s="300"/>
      <c r="D56" s="300"/>
      <c r="E56" s="300"/>
      <c r="F56" s="300"/>
      <c r="G56" s="331">
        <v>2E-3</v>
      </c>
      <c r="H56" s="331"/>
      <c r="I56" s="333">
        <f>G47*G56</f>
        <v>6.0882435613999988</v>
      </c>
      <c r="J56" s="333"/>
    </row>
    <row r="57" spans="1:10" x14ac:dyDescent="0.35">
      <c r="A57" s="23" t="s">
        <v>62</v>
      </c>
      <c r="B57" s="300" t="s">
        <v>63</v>
      </c>
      <c r="C57" s="300"/>
      <c r="D57" s="300"/>
      <c r="E57" s="300"/>
      <c r="F57" s="300"/>
      <c r="G57" s="331">
        <v>0.08</v>
      </c>
      <c r="H57" s="331"/>
      <c r="I57" s="333">
        <f>G47*G57</f>
        <v>243.52974245599995</v>
      </c>
      <c r="J57" s="333"/>
    </row>
    <row r="58" spans="1:10" x14ac:dyDescent="0.35">
      <c r="A58" s="311" t="s">
        <v>64</v>
      </c>
      <c r="B58" s="311"/>
      <c r="C58" s="311"/>
      <c r="D58" s="311"/>
      <c r="E58" s="311"/>
      <c r="F58" s="311"/>
      <c r="G58" s="344">
        <f>SUM(G50:H57)</f>
        <v>0.36800000000000005</v>
      </c>
      <c r="H58" s="311"/>
      <c r="I58" s="345">
        <f>SUM(I50:J57)</f>
        <v>1120.2368152975998</v>
      </c>
      <c r="J58" s="345"/>
    </row>
    <row r="59" spans="1:10" x14ac:dyDescent="0.35">
      <c r="A59" s="319"/>
      <c r="B59" s="319"/>
      <c r="C59" s="319"/>
      <c r="D59" s="319"/>
      <c r="E59" s="319"/>
      <c r="F59" s="319"/>
      <c r="G59" s="319"/>
      <c r="H59" s="319"/>
      <c r="I59" s="319"/>
      <c r="J59" s="319"/>
    </row>
    <row r="60" spans="1:10" x14ac:dyDescent="0.35">
      <c r="A60" s="326" t="s">
        <v>65</v>
      </c>
      <c r="B60" s="326"/>
      <c r="C60" s="326"/>
      <c r="D60" s="326"/>
      <c r="E60" s="326"/>
      <c r="F60" s="326"/>
      <c r="G60" s="326"/>
      <c r="H60" s="326"/>
      <c r="I60" s="326"/>
      <c r="J60" s="326"/>
    </row>
    <row r="61" spans="1:10" x14ac:dyDescent="0.35">
      <c r="A61" s="12"/>
      <c r="B61" s="309"/>
      <c r="C61" s="309"/>
      <c r="D61" s="309"/>
      <c r="E61" s="309"/>
      <c r="F61" s="309"/>
      <c r="G61" s="309"/>
      <c r="H61" s="309"/>
      <c r="I61" s="309"/>
      <c r="J61" s="309"/>
    </row>
    <row r="62" spans="1:10" ht="14.5" customHeight="1" x14ac:dyDescent="0.35">
      <c r="A62" s="21" t="s">
        <v>66</v>
      </c>
      <c r="B62" s="347" t="s">
        <v>67</v>
      </c>
      <c r="C62" s="347"/>
      <c r="D62" s="347"/>
      <c r="E62" s="347"/>
      <c r="F62" s="347"/>
      <c r="G62" s="295" t="s">
        <v>138</v>
      </c>
      <c r="H62" s="296"/>
      <c r="I62" s="353" t="s">
        <v>34</v>
      </c>
      <c r="J62" s="354"/>
    </row>
    <row r="63" spans="1:10" x14ac:dyDescent="0.35">
      <c r="A63" s="22" t="s">
        <v>3</v>
      </c>
      <c r="B63" s="346" t="s">
        <v>68</v>
      </c>
      <c r="C63" s="346"/>
      <c r="D63" s="346"/>
      <c r="E63" s="346"/>
      <c r="F63" s="346"/>
      <c r="G63" s="291">
        <v>0.06</v>
      </c>
      <c r="H63" s="292"/>
      <c r="I63" s="281">
        <f>(2*4.7*21.25)-(G63*G30)</f>
        <v>73.300600000000017</v>
      </c>
      <c r="J63" s="283"/>
    </row>
    <row r="64" spans="1:10" x14ac:dyDescent="0.35">
      <c r="A64" s="22" t="s">
        <v>5</v>
      </c>
      <c r="B64" s="346" t="s">
        <v>69</v>
      </c>
      <c r="C64" s="346"/>
      <c r="D64" s="346"/>
      <c r="E64" s="346"/>
      <c r="F64" s="346"/>
      <c r="G64" s="291">
        <v>3.5000000000000003E-2</v>
      </c>
      <c r="H64" s="292"/>
      <c r="I64" s="352">
        <f>(20*22)-(20*22*G64)</f>
        <v>424.6</v>
      </c>
      <c r="J64" s="352"/>
    </row>
    <row r="65" spans="1:10" x14ac:dyDescent="0.35">
      <c r="A65" s="22" t="s">
        <v>8</v>
      </c>
      <c r="B65" s="346" t="s">
        <v>70</v>
      </c>
      <c r="C65" s="346"/>
      <c r="D65" s="346"/>
      <c r="E65" s="346"/>
      <c r="F65" s="346"/>
      <c r="G65" s="289" t="s">
        <v>139</v>
      </c>
      <c r="H65" s="290"/>
      <c r="I65" s="352">
        <v>99.84</v>
      </c>
      <c r="J65" s="352"/>
    </row>
    <row r="66" spans="1:10" x14ac:dyDescent="0.35">
      <c r="A66" s="22" t="s">
        <v>10</v>
      </c>
      <c r="B66" s="346" t="s">
        <v>71</v>
      </c>
      <c r="C66" s="346"/>
      <c r="D66" s="346"/>
      <c r="E66" s="346"/>
      <c r="F66" s="346"/>
      <c r="G66" s="289" t="s">
        <v>139</v>
      </c>
      <c r="H66" s="290"/>
      <c r="I66" s="352">
        <v>5</v>
      </c>
      <c r="J66" s="352"/>
    </row>
    <row r="67" spans="1:10" x14ac:dyDescent="0.35">
      <c r="A67" s="22" t="s">
        <v>56</v>
      </c>
      <c r="B67" s="346" t="s">
        <v>72</v>
      </c>
      <c r="C67" s="346"/>
      <c r="D67" s="346"/>
      <c r="E67" s="346"/>
      <c r="F67" s="346"/>
      <c r="G67" s="289" t="s">
        <v>139</v>
      </c>
      <c r="H67" s="290"/>
      <c r="I67" s="352">
        <v>10</v>
      </c>
      <c r="J67" s="352"/>
    </row>
    <row r="68" spans="1:10" x14ac:dyDescent="0.35">
      <c r="A68" s="22" t="s">
        <v>58</v>
      </c>
      <c r="B68" s="346" t="s">
        <v>73</v>
      </c>
      <c r="C68" s="346"/>
      <c r="D68" s="346"/>
      <c r="E68" s="346"/>
      <c r="F68" s="346"/>
      <c r="G68" s="289" t="s">
        <v>139</v>
      </c>
      <c r="H68" s="290"/>
      <c r="I68" s="352">
        <v>8</v>
      </c>
      <c r="J68" s="352"/>
    </row>
    <row r="69" spans="1:10" x14ac:dyDescent="0.35">
      <c r="A69" s="22" t="s">
        <v>60</v>
      </c>
      <c r="B69" s="349" t="s">
        <v>74</v>
      </c>
      <c r="C69" s="350"/>
      <c r="D69" s="350"/>
      <c r="E69" s="350"/>
      <c r="F69" s="351"/>
      <c r="G69" s="293">
        <v>2.6069999999999999E-2</v>
      </c>
      <c r="H69" s="294"/>
      <c r="I69" s="352">
        <f xml:space="preserve"> (282.5*4*G69)/24</f>
        <v>1.2274624999999999</v>
      </c>
      <c r="J69" s="352"/>
    </row>
    <row r="70" spans="1:10" x14ac:dyDescent="0.35">
      <c r="A70" s="22" t="s">
        <v>62</v>
      </c>
      <c r="B70" s="349" t="s">
        <v>75</v>
      </c>
      <c r="C70" s="350"/>
      <c r="D70" s="350"/>
      <c r="E70" s="350"/>
      <c r="F70" s="351"/>
      <c r="G70" s="291">
        <v>1.0416E-2</v>
      </c>
      <c r="H70" s="292"/>
      <c r="I70" s="352">
        <f>((1412.62)*G70)/24</f>
        <v>0.61307707999999994</v>
      </c>
      <c r="J70" s="352"/>
    </row>
    <row r="71" spans="1:10" x14ac:dyDescent="0.35">
      <c r="A71" s="22" t="s">
        <v>20</v>
      </c>
      <c r="B71" s="300" t="s">
        <v>38</v>
      </c>
      <c r="C71" s="300"/>
      <c r="D71" s="300"/>
      <c r="E71" s="300"/>
      <c r="F71" s="300"/>
      <c r="G71" s="289" t="s">
        <v>139</v>
      </c>
      <c r="H71" s="290"/>
      <c r="I71" s="321">
        <v>0</v>
      </c>
      <c r="J71" s="321"/>
    </row>
    <row r="72" spans="1:10" x14ac:dyDescent="0.35">
      <c r="A72" s="355" t="s">
        <v>39</v>
      </c>
      <c r="B72" s="356"/>
      <c r="C72" s="356"/>
      <c r="D72" s="356"/>
      <c r="E72" s="356"/>
      <c r="F72" s="356"/>
      <c r="G72" s="356"/>
      <c r="H72" s="357"/>
      <c r="I72" s="323">
        <f>SUM(I63:J71)</f>
        <v>622.58113958000013</v>
      </c>
      <c r="J72" s="323"/>
    </row>
    <row r="73" spans="1:10" x14ac:dyDescent="0.35">
      <c r="A73" s="348"/>
      <c r="B73" s="348"/>
      <c r="C73" s="348"/>
      <c r="D73" s="348"/>
      <c r="E73" s="348"/>
      <c r="F73" s="348"/>
      <c r="G73" s="348"/>
      <c r="H73" s="348"/>
      <c r="I73" s="348"/>
      <c r="J73" s="348"/>
    </row>
    <row r="74" spans="1:10" x14ac:dyDescent="0.35">
      <c r="A74" s="326" t="s">
        <v>76</v>
      </c>
      <c r="B74" s="326"/>
      <c r="C74" s="326"/>
      <c r="D74" s="326"/>
      <c r="E74" s="326"/>
      <c r="F74" s="326"/>
      <c r="G74" s="326"/>
      <c r="H74" s="326"/>
      <c r="I74" s="326"/>
      <c r="J74" s="326"/>
    </row>
    <row r="75" spans="1:10" x14ac:dyDescent="0.35">
      <c r="A75" s="358"/>
      <c r="B75" s="358"/>
      <c r="C75" s="358"/>
      <c r="D75" s="358"/>
      <c r="E75" s="358"/>
      <c r="F75" s="358"/>
      <c r="G75" s="358"/>
      <c r="H75" s="358"/>
      <c r="I75" s="358"/>
      <c r="J75" s="358"/>
    </row>
    <row r="76" spans="1:10" x14ac:dyDescent="0.35">
      <c r="A76" s="20">
        <v>2</v>
      </c>
      <c r="B76" s="311" t="s">
        <v>77</v>
      </c>
      <c r="C76" s="311"/>
      <c r="D76" s="311"/>
      <c r="E76" s="311"/>
      <c r="F76" s="311"/>
      <c r="G76" s="311" t="s">
        <v>34</v>
      </c>
      <c r="H76" s="311"/>
      <c r="I76" s="311"/>
      <c r="J76" s="311"/>
    </row>
    <row r="77" spans="1:10" x14ac:dyDescent="0.35">
      <c r="A77" s="23" t="s">
        <v>43</v>
      </c>
      <c r="B77" s="300" t="s">
        <v>44</v>
      </c>
      <c r="C77" s="300"/>
      <c r="D77" s="300"/>
      <c r="E77" s="300"/>
      <c r="F77" s="300"/>
      <c r="G77" s="321">
        <f>I44</f>
        <v>304.38478069999996</v>
      </c>
      <c r="H77" s="321"/>
      <c r="I77" s="321"/>
      <c r="J77" s="321"/>
    </row>
    <row r="78" spans="1:10" x14ac:dyDescent="0.35">
      <c r="A78" s="23" t="s">
        <v>50</v>
      </c>
      <c r="B78" s="300" t="s">
        <v>51</v>
      </c>
      <c r="C78" s="300"/>
      <c r="D78" s="300"/>
      <c r="E78" s="300"/>
      <c r="F78" s="300"/>
      <c r="G78" s="321">
        <f>I58</f>
        <v>1120.2368152975998</v>
      </c>
      <c r="H78" s="321"/>
      <c r="I78" s="321"/>
      <c r="J78" s="321"/>
    </row>
    <row r="79" spans="1:10" x14ac:dyDescent="0.35">
      <c r="A79" s="23" t="s">
        <v>66</v>
      </c>
      <c r="B79" s="300" t="s">
        <v>67</v>
      </c>
      <c r="C79" s="300"/>
      <c r="D79" s="300"/>
      <c r="E79" s="300"/>
      <c r="F79" s="300"/>
      <c r="G79" s="321">
        <f>I72</f>
        <v>622.58113958000013</v>
      </c>
      <c r="H79" s="321"/>
      <c r="I79" s="321"/>
      <c r="J79" s="321"/>
    </row>
    <row r="80" spans="1:10" x14ac:dyDescent="0.35">
      <c r="A80" s="311" t="s">
        <v>39</v>
      </c>
      <c r="B80" s="311"/>
      <c r="C80" s="311"/>
      <c r="D80" s="311"/>
      <c r="E80" s="311"/>
      <c r="F80" s="311"/>
      <c r="G80" s="323">
        <f>SUM(G77:J79)</f>
        <v>2047.2027355775999</v>
      </c>
      <c r="H80" s="323"/>
      <c r="I80" s="323"/>
      <c r="J80" s="323"/>
    </row>
    <row r="81" spans="1:12" x14ac:dyDescent="0.35">
      <c r="A81" s="319"/>
      <c r="B81" s="319"/>
      <c r="C81" s="319"/>
      <c r="D81" s="319"/>
      <c r="E81" s="319"/>
      <c r="F81" s="319"/>
      <c r="G81" s="319"/>
      <c r="H81" s="319"/>
      <c r="I81" s="319"/>
      <c r="J81" s="319"/>
    </row>
    <row r="82" spans="1:12" x14ac:dyDescent="0.35">
      <c r="A82" s="303"/>
      <c r="B82" s="303"/>
      <c r="C82" s="303"/>
      <c r="D82" s="303"/>
      <c r="E82" s="303"/>
      <c r="F82" s="303"/>
      <c r="G82" s="303"/>
      <c r="H82" s="303"/>
      <c r="I82" s="303"/>
      <c r="J82" s="303"/>
    </row>
    <row r="83" spans="1:12" x14ac:dyDescent="0.35">
      <c r="A83" s="287" t="s">
        <v>78</v>
      </c>
      <c r="B83" s="287"/>
      <c r="C83" s="287"/>
      <c r="D83" s="287"/>
      <c r="E83" s="287"/>
      <c r="F83" s="287"/>
      <c r="G83" s="287"/>
      <c r="H83" s="287"/>
      <c r="I83" s="287"/>
      <c r="J83" s="287"/>
    </row>
    <row r="84" spans="1:12" x14ac:dyDescent="0.35">
      <c r="A84" s="361" t="s">
        <v>79</v>
      </c>
      <c r="B84" s="361"/>
      <c r="C84" s="361"/>
      <c r="D84" s="361"/>
      <c r="E84" s="361"/>
      <c r="F84" s="361"/>
      <c r="G84" s="362">
        <f>G34</f>
        <v>2739.7369999999996</v>
      </c>
      <c r="H84" s="362"/>
      <c r="I84" s="362"/>
      <c r="J84" s="362"/>
    </row>
    <row r="85" spans="1:12" x14ac:dyDescent="0.35">
      <c r="A85" s="363"/>
      <c r="B85" s="363"/>
      <c r="C85" s="363"/>
      <c r="D85" s="363"/>
      <c r="E85" s="363"/>
      <c r="F85" s="363"/>
      <c r="G85" s="309"/>
      <c r="H85" s="309"/>
      <c r="I85" s="309"/>
      <c r="J85" s="309"/>
    </row>
    <row r="86" spans="1:12" x14ac:dyDescent="0.35">
      <c r="A86" s="10">
        <v>3</v>
      </c>
      <c r="B86" s="322" t="s">
        <v>80</v>
      </c>
      <c r="C86" s="322"/>
      <c r="D86" s="322"/>
      <c r="E86" s="322"/>
      <c r="F86" s="322"/>
      <c r="G86" s="364" t="s">
        <v>45</v>
      </c>
      <c r="H86" s="364"/>
      <c r="I86" s="322" t="s">
        <v>34</v>
      </c>
      <c r="J86" s="322"/>
    </row>
    <row r="87" spans="1:12" x14ac:dyDescent="0.35">
      <c r="A87" s="14" t="s">
        <v>3</v>
      </c>
      <c r="B87" s="359" t="s">
        <v>81</v>
      </c>
      <c r="C87" s="359"/>
      <c r="D87" s="359"/>
      <c r="E87" s="359"/>
      <c r="F87" s="359"/>
      <c r="G87" s="30">
        <v>0.05</v>
      </c>
      <c r="H87" s="24">
        <f>(1/12)*G87</f>
        <v>4.1666666666666666E-3</v>
      </c>
      <c r="I87" s="333">
        <f>G84*H87</f>
        <v>11.415570833333332</v>
      </c>
      <c r="J87" s="333"/>
    </row>
    <row r="88" spans="1:12" x14ac:dyDescent="0.35">
      <c r="A88" s="14" t="s">
        <v>5</v>
      </c>
      <c r="B88" s="359" t="s">
        <v>82</v>
      </c>
      <c r="C88" s="359"/>
      <c r="D88" s="359"/>
      <c r="E88" s="359"/>
      <c r="F88" s="359"/>
      <c r="G88" s="329">
        <f>H87*0.08</f>
        <v>3.3333333333333332E-4</v>
      </c>
      <c r="H88" s="329"/>
      <c r="I88" s="360">
        <f>G84*G88</f>
        <v>0.91324566666666651</v>
      </c>
      <c r="J88" s="360"/>
    </row>
    <row r="89" spans="1:12" x14ac:dyDescent="0.35">
      <c r="A89" s="14" t="s">
        <v>8</v>
      </c>
      <c r="B89" s="359" t="s">
        <v>203</v>
      </c>
      <c r="C89" s="359"/>
      <c r="D89" s="359"/>
      <c r="E89" s="359"/>
      <c r="F89" s="359"/>
      <c r="G89" s="30">
        <v>0.9</v>
      </c>
      <c r="H89" s="24">
        <f>(1+2/12+(1/3*1/12))*0.08*0.4*G89</f>
        <v>3.4400000000000007E-2</v>
      </c>
      <c r="I89" s="365">
        <f>G84*H89</f>
        <v>94.246952800000003</v>
      </c>
      <c r="J89" s="366"/>
    </row>
    <row r="90" spans="1:12" x14ac:dyDescent="0.35">
      <c r="A90" s="14" t="s">
        <v>10</v>
      </c>
      <c r="B90" s="359" t="s">
        <v>83</v>
      </c>
      <c r="C90" s="359"/>
      <c r="D90" s="359"/>
      <c r="E90" s="359"/>
      <c r="F90" s="359"/>
      <c r="G90" s="329">
        <f>((7/30) + (7/30*0.1))/ 24</f>
        <v>1.0694444444444444E-2</v>
      </c>
      <c r="H90" s="329"/>
      <c r="I90" s="365">
        <f>G84*G90</f>
        <v>29.299965138888883</v>
      </c>
      <c r="J90" s="366"/>
      <c r="L90" s="25"/>
    </row>
    <row r="91" spans="1:12" x14ac:dyDescent="0.35">
      <c r="A91" s="14" t="s">
        <v>56</v>
      </c>
      <c r="B91" s="359" t="s">
        <v>84</v>
      </c>
      <c r="C91" s="359"/>
      <c r="D91" s="359"/>
      <c r="E91" s="359"/>
      <c r="F91" s="359"/>
      <c r="G91" s="329">
        <f>G90*G58</f>
        <v>3.9355555555555559E-3</v>
      </c>
      <c r="H91" s="329"/>
      <c r="I91" s="365">
        <f>G84*G91</f>
        <v>10.782387171111111</v>
      </c>
      <c r="J91" s="366"/>
    </row>
    <row r="92" spans="1:12" x14ac:dyDescent="0.35">
      <c r="A92" s="14" t="s">
        <v>58</v>
      </c>
      <c r="B92" s="359" t="s">
        <v>204</v>
      </c>
      <c r="C92" s="359"/>
      <c r="D92" s="359"/>
      <c r="E92" s="359"/>
      <c r="F92" s="359"/>
      <c r="G92" s="367">
        <f>G90*0.08*0.4</f>
        <v>3.4222222222222228E-4</v>
      </c>
      <c r="H92" s="367"/>
      <c r="I92" s="368">
        <f>G84*G92</f>
        <v>0.9375988844444445</v>
      </c>
      <c r="J92" s="369"/>
    </row>
    <row r="93" spans="1:12" x14ac:dyDescent="0.35">
      <c r="A93" s="322" t="s">
        <v>39</v>
      </c>
      <c r="B93" s="322"/>
      <c r="C93" s="322"/>
      <c r="D93" s="322"/>
      <c r="E93" s="322"/>
      <c r="F93" s="322"/>
      <c r="G93" s="372">
        <f>SUM(H87,G88,H89,G90,G91,G92)</f>
        <v>5.3872222222222224E-2</v>
      </c>
      <c r="H93" s="372"/>
      <c r="I93" s="345">
        <f>SUM(I87:J92)</f>
        <v>147.59572049444444</v>
      </c>
      <c r="J93" s="345"/>
    </row>
    <row r="94" spans="1:12" x14ac:dyDescent="0.35">
      <c r="A94" s="373"/>
      <c r="B94" s="373"/>
      <c r="C94" s="373"/>
      <c r="D94" s="373"/>
      <c r="E94" s="373"/>
      <c r="F94" s="373"/>
      <c r="G94" s="373"/>
      <c r="H94" s="373"/>
      <c r="I94" s="373"/>
      <c r="J94" s="373"/>
    </row>
    <row r="95" spans="1:12" x14ac:dyDescent="0.35">
      <c r="A95" s="287" t="s">
        <v>85</v>
      </c>
      <c r="B95" s="287"/>
      <c r="C95" s="287"/>
      <c r="D95" s="287"/>
      <c r="E95" s="287"/>
      <c r="F95" s="287"/>
      <c r="G95" s="287"/>
      <c r="H95" s="287"/>
      <c r="I95" s="287"/>
      <c r="J95" s="287"/>
    </row>
    <row r="96" spans="1:12" x14ac:dyDescent="0.35">
      <c r="A96" s="12"/>
      <c r="B96" s="288"/>
      <c r="C96" s="288"/>
      <c r="D96" s="288"/>
      <c r="E96" s="288"/>
      <c r="F96" s="288"/>
      <c r="G96" s="288"/>
      <c r="H96" s="288"/>
      <c r="I96" s="288"/>
      <c r="J96" s="288"/>
    </row>
    <row r="97" spans="1:10" x14ac:dyDescent="0.35">
      <c r="A97" s="326" t="s">
        <v>86</v>
      </c>
      <c r="B97" s="326"/>
      <c r="C97" s="326"/>
      <c r="D97" s="326"/>
      <c r="E97" s="326"/>
      <c r="F97" s="326"/>
      <c r="G97" s="326"/>
      <c r="H97" s="326"/>
      <c r="I97" s="326"/>
      <c r="J97" s="326"/>
    </row>
    <row r="98" spans="1:10" x14ac:dyDescent="0.35">
      <c r="A98" s="361" t="s">
        <v>87</v>
      </c>
      <c r="B98" s="361"/>
      <c r="C98" s="361"/>
      <c r="D98" s="361"/>
      <c r="E98" s="361"/>
      <c r="F98" s="361"/>
      <c r="G98" s="370">
        <f>G34</f>
        <v>2739.7369999999996</v>
      </c>
      <c r="H98" s="371"/>
      <c r="I98" s="371"/>
      <c r="J98" s="371"/>
    </row>
    <row r="99" spans="1:10" x14ac:dyDescent="0.35">
      <c r="A99" s="16"/>
      <c r="B99" s="16"/>
      <c r="C99" s="16"/>
      <c r="D99" s="16"/>
      <c r="E99" s="16"/>
      <c r="F99" s="16"/>
      <c r="G99" s="17"/>
      <c r="H99" s="17"/>
      <c r="I99" s="17"/>
      <c r="J99" s="17"/>
    </row>
    <row r="100" spans="1:10" x14ac:dyDescent="0.35">
      <c r="A100" s="15" t="s">
        <v>88</v>
      </c>
      <c r="B100" s="339" t="s">
        <v>89</v>
      </c>
      <c r="C100" s="339"/>
      <c r="D100" s="339"/>
      <c r="E100" s="339"/>
      <c r="F100" s="339"/>
      <c r="G100" s="322" t="s">
        <v>90</v>
      </c>
      <c r="H100" s="322"/>
      <c r="I100" s="311" t="s">
        <v>34</v>
      </c>
      <c r="J100" s="311"/>
    </row>
    <row r="101" spans="1:10" x14ac:dyDescent="0.35">
      <c r="A101" s="23" t="s">
        <v>3</v>
      </c>
      <c r="B101" s="300" t="s">
        <v>91</v>
      </c>
      <c r="C101" s="300"/>
      <c r="D101" s="300"/>
      <c r="E101" s="300"/>
      <c r="F101" s="300"/>
      <c r="G101" s="329">
        <f>1/12</f>
        <v>8.3333333333333329E-2</v>
      </c>
      <c r="H101" s="329"/>
      <c r="I101" s="321">
        <f>G101*G98</f>
        <v>228.31141666666662</v>
      </c>
      <c r="J101" s="321"/>
    </row>
    <row r="102" spans="1:10" x14ac:dyDescent="0.35">
      <c r="A102" s="14" t="s">
        <v>5</v>
      </c>
      <c r="B102" s="325" t="s">
        <v>92</v>
      </c>
      <c r="C102" s="325"/>
      <c r="D102" s="325"/>
      <c r="E102" s="325"/>
      <c r="F102" s="325"/>
      <c r="G102" s="374">
        <f>(1/30)/12</f>
        <v>2.7777777777777779E-3</v>
      </c>
      <c r="H102" s="374"/>
      <c r="I102" s="321">
        <f>G98*G102</f>
        <v>7.6103805555555546</v>
      </c>
      <c r="J102" s="321"/>
    </row>
    <row r="103" spans="1:10" x14ac:dyDescent="0.35">
      <c r="A103" s="14" t="s">
        <v>8</v>
      </c>
      <c r="B103" s="325" t="s">
        <v>93</v>
      </c>
      <c r="C103" s="325"/>
      <c r="D103" s="325"/>
      <c r="E103" s="325"/>
      <c r="F103" s="325"/>
      <c r="G103" s="374">
        <f>(5/30)/12*0.015</f>
        <v>2.0833333333333332E-4</v>
      </c>
      <c r="H103" s="374"/>
      <c r="I103" s="321">
        <f>G98*G103</f>
        <v>0.57077854166666653</v>
      </c>
      <c r="J103" s="321"/>
    </row>
    <row r="104" spans="1:10" x14ac:dyDescent="0.35">
      <c r="A104" s="14" t="s">
        <v>10</v>
      </c>
      <c r="B104" s="325" t="s">
        <v>94</v>
      </c>
      <c r="C104" s="325"/>
      <c r="D104" s="325"/>
      <c r="E104" s="325"/>
      <c r="F104" s="325"/>
      <c r="G104" s="374">
        <f>1/12*0.0078</f>
        <v>6.4999999999999997E-4</v>
      </c>
      <c r="H104" s="374"/>
      <c r="I104" s="321">
        <f>G98*G104</f>
        <v>1.7808290499999997</v>
      </c>
      <c r="J104" s="321"/>
    </row>
    <row r="105" spans="1:10" x14ac:dyDescent="0.35">
      <c r="A105" s="14" t="s">
        <v>56</v>
      </c>
      <c r="B105" s="325" t="s">
        <v>95</v>
      </c>
      <c r="C105" s="325"/>
      <c r="D105" s="325"/>
      <c r="E105" s="325"/>
      <c r="F105" s="325"/>
      <c r="G105" s="374">
        <f>((1/12)+(1/3*1/12))*0.02607*6/12</f>
        <v>1.4483333333333334E-3</v>
      </c>
      <c r="H105" s="374"/>
      <c r="I105" s="321">
        <f>G98*G105</f>
        <v>3.9680524216666662</v>
      </c>
      <c r="J105" s="321"/>
    </row>
    <row r="106" spans="1:10" x14ac:dyDescent="0.35">
      <c r="A106" s="14" t="s">
        <v>58</v>
      </c>
      <c r="B106" s="325" t="s">
        <v>96</v>
      </c>
      <c r="C106" s="325"/>
      <c r="D106" s="325"/>
      <c r="E106" s="325"/>
      <c r="F106" s="325"/>
      <c r="G106" s="374">
        <f>(5/30/12)</f>
        <v>1.3888888888888888E-2</v>
      </c>
      <c r="H106" s="374"/>
      <c r="I106" s="321">
        <f>G98*G106</f>
        <v>38.051902777777769</v>
      </c>
      <c r="J106" s="321"/>
    </row>
    <row r="107" spans="1:10" x14ac:dyDescent="0.35">
      <c r="A107" s="375" t="s">
        <v>97</v>
      </c>
      <c r="B107" s="375"/>
      <c r="C107" s="375"/>
      <c r="D107" s="375"/>
      <c r="E107" s="375"/>
      <c r="F107" s="375"/>
      <c r="G107" s="376">
        <f>SUM(G101:H106)</f>
        <v>0.10230666666666666</v>
      </c>
      <c r="H107" s="376"/>
      <c r="I107" s="377">
        <f>SUM(I101:J106)</f>
        <v>280.29336001333331</v>
      </c>
      <c r="J107" s="377"/>
    </row>
    <row r="108" spans="1:10" x14ac:dyDescent="0.35">
      <c r="A108" s="26" t="s">
        <v>60</v>
      </c>
      <c r="B108" s="378" t="s">
        <v>98</v>
      </c>
      <c r="C108" s="378"/>
      <c r="D108" s="378"/>
      <c r="E108" s="378"/>
      <c r="F108" s="379"/>
      <c r="G108" s="380">
        <f>(G107-G105)*(2/12+(1/3*1/12))</f>
        <v>1.961134259259259E-2</v>
      </c>
      <c r="H108" s="379"/>
      <c r="I108" s="381">
        <f>G98*G108</f>
        <v>53.729920920601835</v>
      </c>
      <c r="J108" s="382"/>
    </row>
    <row r="109" spans="1:10" x14ac:dyDescent="0.35">
      <c r="A109" s="388" t="s">
        <v>99</v>
      </c>
      <c r="B109" s="389"/>
      <c r="C109" s="389"/>
      <c r="D109" s="389"/>
      <c r="E109" s="389"/>
      <c r="F109" s="390"/>
      <c r="G109" s="391">
        <f>SUM(G107:H108)</f>
        <v>0.12191800925925925</v>
      </c>
      <c r="H109" s="392"/>
      <c r="I109" s="393">
        <f>SUM(I107:J108)</f>
        <v>334.02328093393515</v>
      </c>
      <c r="J109" s="394"/>
    </row>
    <row r="110" spans="1:10" x14ac:dyDescent="0.35">
      <c r="A110" s="26" t="s">
        <v>62</v>
      </c>
      <c r="B110" s="395" t="s">
        <v>100</v>
      </c>
      <c r="C110" s="395"/>
      <c r="D110" s="395"/>
      <c r="E110" s="395"/>
      <c r="F110" s="396"/>
      <c r="G110" s="380">
        <f>G109*G58</f>
        <v>4.486582740740741E-2</v>
      </c>
      <c r="H110" s="397"/>
      <c r="I110" s="381">
        <f>G98*G110</f>
        <v>122.92056738368814</v>
      </c>
      <c r="J110" s="382"/>
    </row>
    <row r="111" spans="1:10" x14ac:dyDescent="0.35">
      <c r="A111" s="383" t="s">
        <v>39</v>
      </c>
      <c r="B111" s="378"/>
      <c r="C111" s="378"/>
      <c r="D111" s="378"/>
      <c r="E111" s="378"/>
      <c r="F111" s="379"/>
      <c r="G111" s="384">
        <f>SUM(G109:H110)</f>
        <v>0.16678383666666666</v>
      </c>
      <c r="H111" s="385"/>
      <c r="I111" s="386">
        <f>G98*G111</f>
        <v>456.94384831762324</v>
      </c>
      <c r="J111" s="387"/>
    </row>
    <row r="112" spans="1:10" x14ac:dyDescent="0.35">
      <c r="A112" s="12"/>
      <c r="B112" s="309"/>
      <c r="C112" s="309"/>
      <c r="D112" s="309"/>
      <c r="E112" s="309"/>
      <c r="F112" s="309"/>
      <c r="G112" s="309"/>
      <c r="H112" s="309"/>
      <c r="I112" s="309"/>
      <c r="J112" s="309"/>
    </row>
    <row r="113" spans="1:10" x14ac:dyDescent="0.35">
      <c r="A113" s="400" t="s">
        <v>101</v>
      </c>
      <c r="B113" s="400"/>
      <c r="C113" s="400"/>
      <c r="D113" s="400"/>
      <c r="E113" s="400"/>
      <c r="F113" s="400"/>
      <c r="G113" s="400"/>
      <c r="H113" s="400"/>
      <c r="I113" s="400"/>
      <c r="J113" s="400"/>
    </row>
    <row r="114" spans="1:10" x14ac:dyDescent="0.35">
      <c r="A114" s="401"/>
      <c r="B114" s="401"/>
      <c r="C114" s="401"/>
      <c r="D114" s="401"/>
      <c r="E114" s="401"/>
      <c r="F114" s="401"/>
      <c r="G114" s="402"/>
      <c r="H114" s="402"/>
      <c r="I114" s="402"/>
      <c r="J114" s="402"/>
    </row>
    <row r="115" spans="1:10" x14ac:dyDescent="0.35">
      <c r="A115" s="67" t="s">
        <v>102</v>
      </c>
      <c r="B115" s="311" t="s">
        <v>103</v>
      </c>
      <c r="C115" s="311"/>
      <c r="D115" s="311"/>
      <c r="E115" s="311"/>
      <c r="F115" s="311"/>
      <c r="G115" s="311" t="s">
        <v>34</v>
      </c>
      <c r="H115" s="311"/>
      <c r="I115" s="311"/>
      <c r="J115" s="311"/>
    </row>
    <row r="116" spans="1:10" x14ac:dyDescent="0.35">
      <c r="A116" s="66" t="s">
        <v>3</v>
      </c>
      <c r="B116" s="300" t="s">
        <v>104</v>
      </c>
      <c r="C116" s="300"/>
      <c r="D116" s="300"/>
      <c r="E116" s="300"/>
      <c r="F116" s="300"/>
      <c r="G116" s="333">
        <v>0</v>
      </c>
      <c r="H116" s="333"/>
      <c r="I116" s="333"/>
      <c r="J116" s="333"/>
    </row>
    <row r="117" spans="1:10" x14ac:dyDescent="0.35">
      <c r="A117" s="311" t="s">
        <v>39</v>
      </c>
      <c r="B117" s="311"/>
      <c r="C117" s="311"/>
      <c r="D117" s="311"/>
      <c r="E117" s="311"/>
      <c r="F117" s="311"/>
      <c r="G117" s="345">
        <f>SUM(G116)</f>
        <v>0</v>
      </c>
      <c r="H117" s="345"/>
      <c r="I117" s="345"/>
      <c r="J117" s="345"/>
    </row>
    <row r="118" spans="1:10" x14ac:dyDescent="0.35">
      <c r="A118" s="88"/>
      <c r="B118" s="398"/>
      <c r="C118" s="398"/>
      <c r="D118" s="398"/>
      <c r="E118" s="398"/>
      <c r="F118" s="398"/>
      <c r="G118" s="398"/>
      <c r="H118" s="398"/>
      <c r="I118" s="398"/>
      <c r="J118" s="398"/>
    </row>
    <row r="119" spans="1:10" x14ac:dyDescent="0.35">
      <c r="A119" s="399" t="s">
        <v>105</v>
      </c>
      <c r="B119" s="399"/>
      <c r="C119" s="399"/>
      <c r="D119" s="399"/>
      <c r="E119" s="399"/>
      <c r="F119" s="399"/>
      <c r="G119" s="399"/>
      <c r="H119" s="399"/>
      <c r="I119" s="399"/>
      <c r="J119" s="399"/>
    </row>
    <row r="120" spans="1:10" x14ac:dyDescent="0.35">
      <c r="A120" s="88"/>
      <c r="B120" s="404"/>
      <c r="C120" s="404"/>
      <c r="D120" s="404"/>
      <c r="E120" s="404"/>
      <c r="F120" s="404"/>
      <c r="G120" s="405"/>
      <c r="H120" s="405"/>
      <c r="I120" s="405"/>
      <c r="J120" s="405"/>
    </row>
    <row r="121" spans="1:10" x14ac:dyDescent="0.35">
      <c r="A121" s="67">
        <v>4</v>
      </c>
      <c r="B121" s="311" t="s">
        <v>106</v>
      </c>
      <c r="C121" s="311"/>
      <c r="D121" s="311"/>
      <c r="E121" s="311"/>
      <c r="F121" s="311"/>
      <c r="G121" s="311" t="s">
        <v>34</v>
      </c>
      <c r="H121" s="311"/>
      <c r="I121" s="311"/>
      <c r="J121" s="311"/>
    </row>
    <row r="122" spans="1:10" x14ac:dyDescent="0.35">
      <c r="A122" s="66" t="s">
        <v>88</v>
      </c>
      <c r="B122" s="300" t="s">
        <v>107</v>
      </c>
      <c r="C122" s="300"/>
      <c r="D122" s="300"/>
      <c r="E122" s="300"/>
      <c r="F122" s="300"/>
      <c r="G122" s="321">
        <f>I111</f>
        <v>456.94384831762324</v>
      </c>
      <c r="H122" s="321"/>
      <c r="I122" s="321"/>
      <c r="J122" s="321"/>
    </row>
    <row r="123" spans="1:10" x14ac:dyDescent="0.35">
      <c r="A123" s="66" t="s">
        <v>102</v>
      </c>
      <c r="B123" s="403" t="s">
        <v>108</v>
      </c>
      <c r="C123" s="403"/>
      <c r="D123" s="403"/>
      <c r="E123" s="403"/>
      <c r="F123" s="403"/>
      <c r="G123" s="321">
        <f>G117</f>
        <v>0</v>
      </c>
      <c r="H123" s="321"/>
      <c r="I123" s="321"/>
      <c r="J123" s="321"/>
    </row>
    <row r="124" spans="1:10" x14ac:dyDescent="0.35">
      <c r="A124" s="311" t="s">
        <v>39</v>
      </c>
      <c r="B124" s="311"/>
      <c r="C124" s="311"/>
      <c r="D124" s="311"/>
      <c r="E124" s="311"/>
      <c r="F124" s="311"/>
      <c r="G124" s="323">
        <f>SUM(G122:J123)</f>
        <v>456.94384831762324</v>
      </c>
      <c r="H124" s="323"/>
      <c r="I124" s="323"/>
      <c r="J124" s="323"/>
    </row>
    <row r="125" spans="1:10" x14ac:dyDescent="0.35">
      <c r="A125" s="88"/>
      <c r="B125" s="404"/>
      <c r="C125" s="404"/>
      <c r="D125" s="404"/>
      <c r="E125" s="404"/>
      <c r="F125" s="404"/>
      <c r="G125" s="404"/>
      <c r="H125" s="404"/>
      <c r="I125" s="404"/>
      <c r="J125" s="404"/>
    </row>
    <row r="126" spans="1:10" x14ac:dyDescent="0.35">
      <c r="A126" s="88"/>
      <c r="B126" s="398"/>
      <c r="C126" s="398"/>
      <c r="D126" s="398"/>
      <c r="E126" s="398"/>
      <c r="F126" s="398"/>
      <c r="G126" s="398"/>
      <c r="H126" s="398"/>
      <c r="I126" s="398"/>
      <c r="J126" s="398"/>
    </row>
    <row r="127" spans="1:10" x14ac:dyDescent="0.35">
      <c r="A127" s="407" t="s">
        <v>109</v>
      </c>
      <c r="B127" s="407"/>
      <c r="C127" s="407"/>
      <c r="D127" s="407"/>
      <c r="E127" s="407"/>
      <c r="F127" s="407"/>
      <c r="G127" s="407"/>
      <c r="H127" s="407"/>
      <c r="I127" s="407"/>
      <c r="J127" s="407"/>
    </row>
    <row r="128" spans="1:10" x14ac:dyDescent="0.35">
      <c r="A128" s="89"/>
      <c r="B128" s="408"/>
      <c r="C128" s="408"/>
      <c r="D128" s="408"/>
      <c r="E128" s="408"/>
      <c r="F128" s="408"/>
      <c r="G128" s="408"/>
      <c r="H128" s="408"/>
      <c r="I128" s="408"/>
      <c r="J128" s="408"/>
    </row>
    <row r="129" spans="1:10" x14ac:dyDescent="0.35">
      <c r="A129" s="68">
        <v>5</v>
      </c>
      <c r="B129" s="406" t="s">
        <v>110</v>
      </c>
      <c r="C129" s="406"/>
      <c r="D129" s="406"/>
      <c r="E129" s="406"/>
      <c r="F129" s="406"/>
      <c r="G129" s="347" t="s">
        <v>34</v>
      </c>
      <c r="H129" s="347"/>
      <c r="I129" s="347"/>
      <c r="J129" s="347"/>
    </row>
    <row r="130" spans="1:10" x14ac:dyDescent="0.35">
      <c r="A130" s="22" t="s">
        <v>3</v>
      </c>
      <c r="B130" s="346" t="s">
        <v>111</v>
      </c>
      <c r="C130" s="346"/>
      <c r="D130" s="346"/>
      <c r="E130" s="346"/>
      <c r="F130" s="346"/>
      <c r="G130" s="352">
        <f>Uniformes!F10</f>
        <v>62.902499999999996</v>
      </c>
      <c r="H130" s="352"/>
      <c r="I130" s="352"/>
      <c r="J130" s="352"/>
    </row>
    <row r="131" spans="1:10" x14ac:dyDescent="0.35">
      <c r="A131" s="22" t="s">
        <v>5</v>
      </c>
      <c r="B131" s="284" t="s">
        <v>418</v>
      </c>
      <c r="C131" s="285"/>
      <c r="D131" s="285"/>
      <c r="E131" s="285"/>
      <c r="F131" s="286"/>
      <c r="G131" s="281">
        <v>0</v>
      </c>
      <c r="H131" s="282"/>
      <c r="I131" s="282"/>
      <c r="J131" s="283"/>
    </row>
    <row r="132" spans="1:10" x14ac:dyDescent="0.35">
      <c r="A132" s="347" t="s">
        <v>64</v>
      </c>
      <c r="B132" s="347"/>
      <c r="C132" s="347"/>
      <c r="D132" s="347"/>
      <c r="E132" s="347"/>
      <c r="F132" s="347"/>
      <c r="G132" s="413">
        <f>SUM(G130:J131)</f>
        <v>62.902499999999996</v>
      </c>
      <c r="H132" s="413"/>
      <c r="I132" s="413"/>
      <c r="J132" s="413"/>
    </row>
    <row r="133" spans="1:10" x14ac:dyDescent="0.35">
      <c r="A133" s="90"/>
      <c r="B133" s="414"/>
      <c r="C133" s="414"/>
      <c r="D133" s="414"/>
      <c r="E133" s="414"/>
      <c r="F133" s="414"/>
      <c r="G133" s="414"/>
      <c r="H133" s="414"/>
      <c r="I133" s="414"/>
      <c r="J133" s="414"/>
    </row>
    <row r="134" spans="1:10" x14ac:dyDescent="0.35">
      <c r="A134" s="407" t="s">
        <v>112</v>
      </c>
      <c r="B134" s="407"/>
      <c r="C134" s="407"/>
      <c r="D134" s="407"/>
      <c r="E134" s="407"/>
      <c r="F134" s="407"/>
      <c r="G134" s="407"/>
      <c r="H134" s="407"/>
      <c r="I134" s="407"/>
      <c r="J134" s="407"/>
    </row>
    <row r="135" spans="1:10" x14ac:dyDescent="0.35">
      <c r="A135" s="409" t="s">
        <v>113</v>
      </c>
      <c r="B135" s="409"/>
      <c r="C135" s="409"/>
      <c r="D135" s="409"/>
      <c r="E135" s="409"/>
      <c r="F135" s="409"/>
      <c r="G135" s="410">
        <f>G34+G80+I93+G124+G132</f>
        <v>5454.3818043896681</v>
      </c>
      <c r="H135" s="411"/>
      <c r="I135" s="411"/>
      <c r="J135" s="411"/>
    </row>
    <row r="136" spans="1:10" x14ac:dyDescent="0.35">
      <c r="A136" s="409" t="s">
        <v>114</v>
      </c>
      <c r="B136" s="409"/>
      <c r="C136" s="409"/>
      <c r="D136" s="409"/>
      <c r="E136" s="409"/>
      <c r="F136" s="409"/>
      <c r="G136" s="410">
        <f>G135+I139</f>
        <v>5592.9231022211661</v>
      </c>
      <c r="H136" s="411"/>
      <c r="I136" s="411"/>
      <c r="J136" s="411"/>
    </row>
    <row r="137" spans="1:10" x14ac:dyDescent="0.35">
      <c r="A137" s="409" t="s">
        <v>115</v>
      </c>
      <c r="B137" s="409"/>
      <c r="C137" s="409"/>
      <c r="D137" s="409"/>
      <c r="E137" s="409"/>
      <c r="F137" s="409"/>
      <c r="G137" s="412">
        <f>(G136+I140)/(1-G141)</f>
        <v>6718.0300819682816</v>
      </c>
      <c r="H137" s="412"/>
      <c r="I137" s="412"/>
      <c r="J137" s="412"/>
    </row>
    <row r="138" spans="1:10" x14ac:dyDescent="0.35">
      <c r="A138" s="21">
        <v>6</v>
      </c>
      <c r="B138" s="406" t="s">
        <v>116</v>
      </c>
      <c r="C138" s="406"/>
      <c r="D138" s="406"/>
      <c r="E138" s="406"/>
      <c r="F138" s="406"/>
      <c r="G138" s="420" t="s">
        <v>45</v>
      </c>
      <c r="H138" s="420"/>
      <c r="I138" s="420" t="s">
        <v>34</v>
      </c>
      <c r="J138" s="420"/>
    </row>
    <row r="139" spans="1:10" x14ac:dyDescent="0.35">
      <c r="A139" s="22" t="s">
        <v>3</v>
      </c>
      <c r="B139" s="346" t="s">
        <v>117</v>
      </c>
      <c r="C139" s="346"/>
      <c r="D139" s="346"/>
      <c r="E139" s="346"/>
      <c r="F139" s="346"/>
      <c r="G139" s="415">
        <v>2.5399999999999999E-2</v>
      </c>
      <c r="H139" s="415"/>
      <c r="I139" s="416">
        <f>G135*G139</f>
        <v>138.54129783149756</v>
      </c>
      <c r="J139" s="346"/>
    </row>
    <row r="140" spans="1:10" x14ac:dyDescent="0.35">
      <c r="A140" s="22" t="s">
        <v>5</v>
      </c>
      <c r="B140" s="346" t="s">
        <v>118</v>
      </c>
      <c r="C140" s="346"/>
      <c r="D140" s="346"/>
      <c r="E140" s="346"/>
      <c r="F140" s="346"/>
      <c r="G140" s="415">
        <v>0.03</v>
      </c>
      <c r="H140" s="415"/>
      <c r="I140" s="416">
        <f>G136*G140</f>
        <v>167.78769306663497</v>
      </c>
      <c r="J140" s="346"/>
    </row>
    <row r="141" spans="1:10" x14ac:dyDescent="0.35">
      <c r="A141" s="22" t="s">
        <v>8</v>
      </c>
      <c r="B141" s="346" t="s">
        <v>119</v>
      </c>
      <c r="C141" s="346"/>
      <c r="D141" s="346"/>
      <c r="E141" s="346"/>
      <c r="F141" s="346"/>
      <c r="G141" s="417">
        <f>SUM(G142:H144)</f>
        <v>0.14250000000000002</v>
      </c>
      <c r="H141" s="417"/>
      <c r="I141" s="418">
        <f>G137*G141</f>
        <v>957.31928668048022</v>
      </c>
      <c r="J141" s="419"/>
    </row>
    <row r="142" spans="1:10" x14ac:dyDescent="0.35">
      <c r="A142" s="27" t="s">
        <v>120</v>
      </c>
      <c r="B142" s="421" t="s">
        <v>121</v>
      </c>
      <c r="C142" s="421"/>
      <c r="D142" s="421"/>
      <c r="E142" s="421"/>
      <c r="F142" s="421"/>
      <c r="G142" s="425">
        <v>7.5999999999999998E-2</v>
      </c>
      <c r="H142" s="425"/>
      <c r="I142" s="423">
        <f>G137*G142</f>
        <v>510.57028622958939</v>
      </c>
      <c r="J142" s="421"/>
    </row>
    <row r="143" spans="1:10" x14ac:dyDescent="0.35">
      <c r="A143" s="27" t="s">
        <v>122</v>
      </c>
      <c r="B143" s="421" t="s">
        <v>123</v>
      </c>
      <c r="C143" s="421"/>
      <c r="D143" s="421"/>
      <c r="E143" s="421"/>
      <c r="F143" s="421"/>
      <c r="G143" s="425">
        <v>1.6500000000000001E-2</v>
      </c>
      <c r="H143" s="425"/>
      <c r="I143" s="423">
        <f>G137*G143</f>
        <v>110.84749635247665</v>
      </c>
      <c r="J143" s="421"/>
    </row>
    <row r="144" spans="1:10" x14ac:dyDescent="0.35">
      <c r="A144" s="27" t="s">
        <v>124</v>
      </c>
      <c r="B144" s="421" t="s">
        <v>125</v>
      </c>
      <c r="C144" s="421"/>
      <c r="D144" s="421"/>
      <c r="E144" s="421"/>
      <c r="F144" s="421"/>
      <c r="G144" s="422">
        <v>0.05</v>
      </c>
      <c r="H144" s="422"/>
      <c r="I144" s="423">
        <f>G137*G144</f>
        <v>335.90150409841408</v>
      </c>
      <c r="J144" s="421"/>
    </row>
    <row r="145" spans="1:12" x14ac:dyDescent="0.35">
      <c r="A145" s="347" t="s">
        <v>64</v>
      </c>
      <c r="B145" s="347"/>
      <c r="C145" s="347"/>
      <c r="D145" s="347"/>
      <c r="E145" s="347"/>
      <c r="F145" s="347"/>
      <c r="G145" s="424"/>
      <c r="H145" s="424"/>
      <c r="I145" s="416">
        <f>SUM(I139:J141)</f>
        <v>1263.6482775786128</v>
      </c>
      <c r="J145" s="346"/>
    </row>
    <row r="146" spans="1:12" x14ac:dyDescent="0.35">
      <c r="A146" s="19"/>
      <c r="B146" s="426"/>
      <c r="C146" s="426"/>
      <c r="D146" s="426"/>
      <c r="E146" s="426"/>
      <c r="F146" s="426"/>
      <c r="G146" s="426"/>
      <c r="H146" s="426"/>
      <c r="I146" s="426"/>
      <c r="J146" s="426"/>
    </row>
    <row r="147" spans="1:12" x14ac:dyDescent="0.35">
      <c r="A147" s="427" t="s">
        <v>126</v>
      </c>
      <c r="B147" s="427"/>
      <c r="C147" s="427"/>
      <c r="D147" s="427"/>
      <c r="E147" s="427"/>
      <c r="F147" s="427"/>
      <c r="G147" s="427"/>
      <c r="H147" s="427"/>
      <c r="I147" s="427"/>
      <c r="J147" s="427"/>
    </row>
    <row r="148" spans="1:12" x14ac:dyDescent="0.35">
      <c r="A148" s="18"/>
      <c r="B148" s="428"/>
      <c r="C148" s="428"/>
      <c r="D148" s="428"/>
      <c r="E148" s="428"/>
      <c r="F148" s="428"/>
      <c r="G148" s="428"/>
      <c r="H148" s="428"/>
      <c r="I148" s="428"/>
      <c r="J148" s="428"/>
    </row>
    <row r="149" spans="1:12" x14ac:dyDescent="0.35">
      <c r="A149" s="21"/>
      <c r="B149" s="347" t="s">
        <v>127</v>
      </c>
      <c r="C149" s="347"/>
      <c r="D149" s="347"/>
      <c r="E149" s="347"/>
      <c r="F149" s="347"/>
      <c r="G149" s="347" t="s">
        <v>34</v>
      </c>
      <c r="H149" s="347"/>
      <c r="I149" s="347"/>
      <c r="J149" s="347"/>
    </row>
    <row r="150" spans="1:12" x14ac:dyDescent="0.35">
      <c r="A150" s="21" t="s">
        <v>3</v>
      </c>
      <c r="B150" s="346" t="s">
        <v>32</v>
      </c>
      <c r="C150" s="346"/>
      <c r="D150" s="346"/>
      <c r="E150" s="346"/>
      <c r="F150" s="346"/>
      <c r="G150" s="352">
        <f>G34</f>
        <v>2739.7369999999996</v>
      </c>
      <c r="H150" s="352"/>
      <c r="I150" s="352"/>
      <c r="J150" s="352"/>
    </row>
    <row r="151" spans="1:12" x14ac:dyDescent="0.35">
      <c r="A151" s="21" t="s">
        <v>5</v>
      </c>
      <c r="B151" s="346" t="s">
        <v>40</v>
      </c>
      <c r="C151" s="346"/>
      <c r="D151" s="346"/>
      <c r="E151" s="346"/>
      <c r="F151" s="346"/>
      <c r="G151" s="352">
        <f>G80</f>
        <v>2047.2027355775999</v>
      </c>
      <c r="H151" s="352"/>
      <c r="I151" s="352"/>
      <c r="J151" s="352"/>
    </row>
    <row r="152" spans="1:12" x14ac:dyDescent="0.35">
      <c r="A152" s="21" t="s">
        <v>8</v>
      </c>
      <c r="B152" s="346" t="s">
        <v>78</v>
      </c>
      <c r="C152" s="346"/>
      <c r="D152" s="346"/>
      <c r="E152" s="346"/>
      <c r="F152" s="346"/>
      <c r="G152" s="352">
        <f>I93</f>
        <v>147.59572049444444</v>
      </c>
      <c r="H152" s="352"/>
      <c r="I152" s="352"/>
      <c r="J152" s="352"/>
    </row>
    <row r="153" spans="1:12" x14ac:dyDescent="0.35">
      <c r="A153" s="21" t="s">
        <v>10</v>
      </c>
      <c r="B153" s="346" t="s">
        <v>85</v>
      </c>
      <c r="C153" s="346"/>
      <c r="D153" s="346"/>
      <c r="E153" s="346"/>
      <c r="F153" s="346"/>
      <c r="G153" s="352">
        <f>G124</f>
        <v>456.94384831762324</v>
      </c>
      <c r="H153" s="352"/>
      <c r="I153" s="352"/>
      <c r="J153" s="352"/>
    </row>
    <row r="154" spans="1:12" x14ac:dyDescent="0.35">
      <c r="A154" s="21" t="s">
        <v>56</v>
      </c>
      <c r="B154" s="346" t="s">
        <v>109</v>
      </c>
      <c r="C154" s="346"/>
      <c r="D154" s="346"/>
      <c r="E154" s="346"/>
      <c r="F154" s="346"/>
      <c r="G154" s="352">
        <f>G132</f>
        <v>62.902499999999996</v>
      </c>
      <c r="H154" s="352"/>
      <c r="I154" s="352"/>
      <c r="J154" s="352"/>
    </row>
    <row r="155" spans="1:12" x14ac:dyDescent="0.35">
      <c r="A155" s="347" t="s">
        <v>128</v>
      </c>
      <c r="B155" s="347"/>
      <c r="C155" s="347"/>
      <c r="D155" s="347"/>
      <c r="E155" s="347"/>
      <c r="F155" s="347"/>
      <c r="G155" s="413">
        <f>SUM(G150:J154)</f>
        <v>5454.3818043896681</v>
      </c>
      <c r="H155" s="413"/>
      <c r="I155" s="413"/>
      <c r="J155" s="413"/>
    </row>
    <row r="156" spans="1:12" x14ac:dyDescent="0.35">
      <c r="A156" s="21" t="s">
        <v>58</v>
      </c>
      <c r="B156" s="346" t="s">
        <v>129</v>
      </c>
      <c r="C156" s="346"/>
      <c r="D156" s="346"/>
      <c r="E156" s="346"/>
      <c r="F156" s="346"/>
      <c r="G156" s="352">
        <f>I145</f>
        <v>1263.6482775786128</v>
      </c>
      <c r="H156" s="352"/>
      <c r="I156" s="352"/>
      <c r="J156" s="352"/>
    </row>
    <row r="157" spans="1:12" x14ac:dyDescent="0.35">
      <c r="A157" s="347" t="s">
        <v>130</v>
      </c>
      <c r="B157" s="347"/>
      <c r="C157" s="347"/>
      <c r="D157" s="347"/>
      <c r="E157" s="347"/>
      <c r="F157" s="347"/>
      <c r="G157" s="413">
        <f>SUM(G155:J156)</f>
        <v>6718.0300819682807</v>
      </c>
      <c r="H157" s="413"/>
      <c r="I157" s="413"/>
      <c r="J157" s="413"/>
      <c r="L157" s="180"/>
    </row>
    <row r="158" spans="1:12" x14ac:dyDescent="0.35">
      <c r="A158" s="347" t="s">
        <v>131</v>
      </c>
      <c r="B158" s="347"/>
      <c r="C158" s="347"/>
      <c r="D158" s="347"/>
      <c r="E158" s="347"/>
      <c r="F158" s="347"/>
      <c r="G158" s="433">
        <v>1</v>
      </c>
      <c r="H158" s="433"/>
      <c r="I158" s="433"/>
      <c r="J158" s="433"/>
    </row>
    <row r="160" spans="1:12" x14ac:dyDescent="0.35">
      <c r="A160" s="434" t="s">
        <v>132</v>
      </c>
      <c r="B160" s="434"/>
      <c r="C160" s="434"/>
      <c r="D160" s="434"/>
      <c r="E160" s="434"/>
      <c r="F160" s="434"/>
      <c r="G160" s="434"/>
      <c r="H160" s="434"/>
      <c r="I160" s="434"/>
      <c r="J160" s="434"/>
    </row>
    <row r="161" spans="1:10" x14ac:dyDescent="0.35">
      <c r="A161" s="429" t="s">
        <v>133</v>
      </c>
      <c r="B161" s="429"/>
      <c r="C161" s="429" t="s">
        <v>208</v>
      </c>
      <c r="D161" s="429"/>
      <c r="E161" s="429"/>
      <c r="F161" s="429"/>
      <c r="G161" s="429" t="s">
        <v>134</v>
      </c>
      <c r="H161" s="429"/>
      <c r="I161" s="429" t="s">
        <v>135</v>
      </c>
      <c r="J161" s="429"/>
    </row>
    <row r="162" spans="1:10" x14ac:dyDescent="0.35">
      <c r="A162" s="429">
        <v>1</v>
      </c>
      <c r="B162" s="429"/>
      <c r="C162" s="430">
        <f>1/F17</f>
        <v>6.1166763350930606E-5</v>
      </c>
      <c r="D162" s="430"/>
      <c r="E162" s="430"/>
      <c r="F162" s="430"/>
      <c r="G162" s="431">
        <f>G157</f>
        <v>6718.0300819682807</v>
      </c>
      <c r="H162" s="429"/>
      <c r="I162" s="432">
        <f>G162*C162</f>
        <v>0.41092015620818678</v>
      </c>
      <c r="J162" s="432"/>
    </row>
    <row r="167" spans="1:10" x14ac:dyDescent="0.35">
      <c r="J167" s="77"/>
    </row>
  </sheetData>
  <sheetProtection algorithmName="SHA-512" hashValue="Tv1txRW5O2aDAtAtdRCeFKAsNC4EBgBXt4YiyENM6mu5TFJYxNLMGxeOsVPtByybQLTxMLGgTYktITjQC3wG3Q==" saltValue="KP69dwuPd5deOmfQ04IZ3g==" spinCount="100000" sheet="1" objects="1" scenarios="1"/>
  <mergeCells count="353">
    <mergeCell ref="A162:B162"/>
    <mergeCell ref="C162:F162"/>
    <mergeCell ref="G162:H162"/>
    <mergeCell ref="I162:J162"/>
    <mergeCell ref="A158:F158"/>
    <mergeCell ref="G158:J158"/>
    <mergeCell ref="A160:J160"/>
    <mergeCell ref="A161:B161"/>
    <mergeCell ref="C161:F161"/>
    <mergeCell ref="G161:H161"/>
    <mergeCell ref="I161:J161"/>
    <mergeCell ref="A155:F155"/>
    <mergeCell ref="G155:J155"/>
    <mergeCell ref="B156:F156"/>
    <mergeCell ref="G156:J156"/>
    <mergeCell ref="A157:F157"/>
    <mergeCell ref="G157:J157"/>
    <mergeCell ref="B152:F152"/>
    <mergeCell ref="G152:J152"/>
    <mergeCell ref="B153:F153"/>
    <mergeCell ref="G153:J153"/>
    <mergeCell ref="B154:F154"/>
    <mergeCell ref="G154:J154"/>
    <mergeCell ref="B149:F149"/>
    <mergeCell ref="G149:J149"/>
    <mergeCell ref="B150:F150"/>
    <mergeCell ref="G150:J150"/>
    <mergeCell ref="B151:F151"/>
    <mergeCell ref="G151:J151"/>
    <mergeCell ref="B146:F146"/>
    <mergeCell ref="G146:H146"/>
    <mergeCell ref="I146:J146"/>
    <mergeCell ref="A147:J147"/>
    <mergeCell ref="B148:F148"/>
    <mergeCell ref="G148:H148"/>
    <mergeCell ref="I148:J148"/>
    <mergeCell ref="B144:F144"/>
    <mergeCell ref="G144:H144"/>
    <mergeCell ref="I144:J144"/>
    <mergeCell ref="A145:F145"/>
    <mergeCell ref="G145:H145"/>
    <mergeCell ref="I145:J145"/>
    <mergeCell ref="B142:F142"/>
    <mergeCell ref="G142:H142"/>
    <mergeCell ref="I142:J142"/>
    <mergeCell ref="B143:F143"/>
    <mergeCell ref="G143:H143"/>
    <mergeCell ref="I143:J143"/>
    <mergeCell ref="B140:F140"/>
    <mergeCell ref="G140:H140"/>
    <mergeCell ref="I140:J140"/>
    <mergeCell ref="B141:F141"/>
    <mergeCell ref="G141:H141"/>
    <mergeCell ref="I141:J141"/>
    <mergeCell ref="B138:F138"/>
    <mergeCell ref="G138:H138"/>
    <mergeCell ref="I138:J138"/>
    <mergeCell ref="B139:F139"/>
    <mergeCell ref="G139:H139"/>
    <mergeCell ref="I139:J139"/>
    <mergeCell ref="A134:J134"/>
    <mergeCell ref="A135:F135"/>
    <mergeCell ref="G135:J135"/>
    <mergeCell ref="A136:F136"/>
    <mergeCell ref="G136:J136"/>
    <mergeCell ref="A137:F137"/>
    <mergeCell ref="G137:J137"/>
    <mergeCell ref="A132:F132"/>
    <mergeCell ref="G132:J132"/>
    <mergeCell ref="B133:F133"/>
    <mergeCell ref="G133:H133"/>
    <mergeCell ref="I133:J133"/>
    <mergeCell ref="B129:F129"/>
    <mergeCell ref="G129:J129"/>
    <mergeCell ref="B130:F130"/>
    <mergeCell ref="G130:J130"/>
    <mergeCell ref="B126:F126"/>
    <mergeCell ref="G126:H126"/>
    <mergeCell ref="I126:J126"/>
    <mergeCell ref="A127:J127"/>
    <mergeCell ref="B128:F128"/>
    <mergeCell ref="G128:H128"/>
    <mergeCell ref="I128:J128"/>
    <mergeCell ref="B123:F123"/>
    <mergeCell ref="G123:J123"/>
    <mergeCell ref="A124:F124"/>
    <mergeCell ref="G124:J124"/>
    <mergeCell ref="B125:F125"/>
    <mergeCell ref="G125:H125"/>
    <mergeCell ref="I125:J125"/>
    <mergeCell ref="B120:F120"/>
    <mergeCell ref="G120:J120"/>
    <mergeCell ref="B121:F121"/>
    <mergeCell ref="G121:J121"/>
    <mergeCell ref="B122:F122"/>
    <mergeCell ref="G122:J122"/>
    <mergeCell ref="A117:F117"/>
    <mergeCell ref="G117:J117"/>
    <mergeCell ref="B118:F118"/>
    <mergeCell ref="G118:H118"/>
    <mergeCell ref="I118:J118"/>
    <mergeCell ref="A119:J119"/>
    <mergeCell ref="A113:J113"/>
    <mergeCell ref="A114:F114"/>
    <mergeCell ref="G114:J114"/>
    <mergeCell ref="B115:F115"/>
    <mergeCell ref="G115:J115"/>
    <mergeCell ref="B116:F116"/>
    <mergeCell ref="G116:J116"/>
    <mergeCell ref="A111:F111"/>
    <mergeCell ref="G111:H111"/>
    <mergeCell ref="I111:J111"/>
    <mergeCell ref="B112:F112"/>
    <mergeCell ref="G112:H112"/>
    <mergeCell ref="I112:J112"/>
    <mergeCell ref="A109:F109"/>
    <mergeCell ref="G109:H109"/>
    <mergeCell ref="I109:J109"/>
    <mergeCell ref="B110:F110"/>
    <mergeCell ref="G110:H110"/>
    <mergeCell ref="I110:J110"/>
    <mergeCell ref="A107:F107"/>
    <mergeCell ref="G107:H107"/>
    <mergeCell ref="I107:J107"/>
    <mergeCell ref="B108:F108"/>
    <mergeCell ref="G108:H108"/>
    <mergeCell ref="I108:J108"/>
    <mergeCell ref="B105:F105"/>
    <mergeCell ref="G105:H105"/>
    <mergeCell ref="I105:J105"/>
    <mergeCell ref="B106:F106"/>
    <mergeCell ref="G106:H106"/>
    <mergeCell ref="I106:J106"/>
    <mergeCell ref="B103:F103"/>
    <mergeCell ref="G103:H103"/>
    <mergeCell ref="I103:J103"/>
    <mergeCell ref="B104:F104"/>
    <mergeCell ref="G104:H104"/>
    <mergeCell ref="I104:J104"/>
    <mergeCell ref="B101:F101"/>
    <mergeCell ref="G101:H101"/>
    <mergeCell ref="I101:J101"/>
    <mergeCell ref="B102:F102"/>
    <mergeCell ref="G102:H102"/>
    <mergeCell ref="I102:J102"/>
    <mergeCell ref="A97:J97"/>
    <mergeCell ref="A98:F98"/>
    <mergeCell ref="G98:J98"/>
    <mergeCell ref="B100:F100"/>
    <mergeCell ref="G100:H100"/>
    <mergeCell ref="I100:J100"/>
    <mergeCell ref="A93:F93"/>
    <mergeCell ref="G93:H93"/>
    <mergeCell ref="I93:J93"/>
    <mergeCell ref="A94:J94"/>
    <mergeCell ref="A95:J95"/>
    <mergeCell ref="B96:F96"/>
    <mergeCell ref="G96:H96"/>
    <mergeCell ref="I96:J96"/>
    <mergeCell ref="B91:F91"/>
    <mergeCell ref="G91:H91"/>
    <mergeCell ref="I91:J91"/>
    <mergeCell ref="B92:F92"/>
    <mergeCell ref="G92:H92"/>
    <mergeCell ref="I92:J92"/>
    <mergeCell ref="B89:F89"/>
    <mergeCell ref="I89:J89"/>
    <mergeCell ref="B90:F90"/>
    <mergeCell ref="G90:H90"/>
    <mergeCell ref="I90:J90"/>
    <mergeCell ref="B87:F87"/>
    <mergeCell ref="I87:J87"/>
    <mergeCell ref="B88:F88"/>
    <mergeCell ref="G88:H88"/>
    <mergeCell ref="I88:J88"/>
    <mergeCell ref="A83:J83"/>
    <mergeCell ref="A84:F84"/>
    <mergeCell ref="G84:J84"/>
    <mergeCell ref="A85:F85"/>
    <mergeCell ref="G85:J85"/>
    <mergeCell ref="B86:F86"/>
    <mergeCell ref="G86:H86"/>
    <mergeCell ref="I86:J86"/>
    <mergeCell ref="B79:F79"/>
    <mergeCell ref="G79:J79"/>
    <mergeCell ref="A80:F80"/>
    <mergeCell ref="G80:J80"/>
    <mergeCell ref="A81:J81"/>
    <mergeCell ref="A82:J82"/>
    <mergeCell ref="A75:J75"/>
    <mergeCell ref="B76:F76"/>
    <mergeCell ref="G76:J76"/>
    <mergeCell ref="B77:F77"/>
    <mergeCell ref="G77:J77"/>
    <mergeCell ref="B78:F78"/>
    <mergeCell ref="G78:J78"/>
    <mergeCell ref="B65:F65"/>
    <mergeCell ref="B66:F66"/>
    <mergeCell ref="B67:F67"/>
    <mergeCell ref="B62:F62"/>
    <mergeCell ref="B63:F63"/>
    <mergeCell ref="B64:F64"/>
    <mergeCell ref="B71:F71"/>
    <mergeCell ref="A73:J73"/>
    <mergeCell ref="A74:J74"/>
    <mergeCell ref="B68:F68"/>
    <mergeCell ref="B69:F69"/>
    <mergeCell ref="B70:F70"/>
    <mergeCell ref="I72:J72"/>
    <mergeCell ref="I71:J71"/>
    <mergeCell ref="I70:J70"/>
    <mergeCell ref="I69:J69"/>
    <mergeCell ref="I68:J68"/>
    <mergeCell ref="I67:J67"/>
    <mergeCell ref="I66:J66"/>
    <mergeCell ref="I65:J65"/>
    <mergeCell ref="I64:J64"/>
    <mergeCell ref="I63:J63"/>
    <mergeCell ref="I62:J62"/>
    <mergeCell ref="A72:H72"/>
    <mergeCell ref="A58:F58"/>
    <mergeCell ref="G58:H58"/>
    <mergeCell ref="I58:J58"/>
    <mergeCell ref="A59:J59"/>
    <mergeCell ref="A60:J60"/>
    <mergeCell ref="B61:F61"/>
    <mergeCell ref="G61:H61"/>
    <mergeCell ref="I61:J61"/>
    <mergeCell ref="B56:F56"/>
    <mergeCell ref="G56:H56"/>
    <mergeCell ref="I56:J56"/>
    <mergeCell ref="B57:F57"/>
    <mergeCell ref="G57:H57"/>
    <mergeCell ref="I57:J57"/>
    <mergeCell ref="B54:F54"/>
    <mergeCell ref="G54:H54"/>
    <mergeCell ref="I54:J54"/>
    <mergeCell ref="B55:F55"/>
    <mergeCell ref="G55:H55"/>
    <mergeCell ref="I55:J55"/>
    <mergeCell ref="B52:F52"/>
    <mergeCell ref="G52:H52"/>
    <mergeCell ref="I52:J52"/>
    <mergeCell ref="B53:F53"/>
    <mergeCell ref="G53:H53"/>
    <mergeCell ref="I53:J53"/>
    <mergeCell ref="B50:F50"/>
    <mergeCell ref="G50:H50"/>
    <mergeCell ref="I50:J50"/>
    <mergeCell ref="B51:F51"/>
    <mergeCell ref="G51:H51"/>
    <mergeCell ref="I51:J51"/>
    <mergeCell ref="A45:J45"/>
    <mergeCell ref="A46:J46"/>
    <mergeCell ref="A47:F47"/>
    <mergeCell ref="G47:J47"/>
    <mergeCell ref="A48:J48"/>
    <mergeCell ref="B49:F49"/>
    <mergeCell ref="G49:H49"/>
    <mergeCell ref="I49:J49"/>
    <mergeCell ref="B43:F43"/>
    <mergeCell ref="G43:H43"/>
    <mergeCell ref="I43:J43"/>
    <mergeCell ref="A44:F44"/>
    <mergeCell ref="G44:H44"/>
    <mergeCell ref="I44:J44"/>
    <mergeCell ref="B41:F41"/>
    <mergeCell ref="G41:H41"/>
    <mergeCell ref="I41:J41"/>
    <mergeCell ref="B42:F42"/>
    <mergeCell ref="G42:H42"/>
    <mergeCell ref="I42:J42"/>
    <mergeCell ref="A38:J38"/>
    <mergeCell ref="A39:F39"/>
    <mergeCell ref="G39:J39"/>
    <mergeCell ref="B40:F40"/>
    <mergeCell ref="G40:H40"/>
    <mergeCell ref="I40:J40"/>
    <mergeCell ref="B35:F35"/>
    <mergeCell ref="G35:H35"/>
    <mergeCell ref="I35:J35"/>
    <mergeCell ref="A36:J36"/>
    <mergeCell ref="B37:F37"/>
    <mergeCell ref="G37:H37"/>
    <mergeCell ref="I37:J37"/>
    <mergeCell ref="B33:F33"/>
    <mergeCell ref="G33:J33"/>
    <mergeCell ref="A34:F34"/>
    <mergeCell ref="G34:J34"/>
    <mergeCell ref="B29:F29"/>
    <mergeCell ref="G29:J29"/>
    <mergeCell ref="B30:F30"/>
    <mergeCell ref="G30:J30"/>
    <mergeCell ref="B31:F31"/>
    <mergeCell ref="G31:J31"/>
    <mergeCell ref="B23:F23"/>
    <mergeCell ref="G23:J23"/>
    <mergeCell ref="B32:F32"/>
    <mergeCell ref="G32:J32"/>
    <mergeCell ref="A26:J26"/>
    <mergeCell ref="A27:J27"/>
    <mergeCell ref="B21:F21"/>
    <mergeCell ref="G21:J21"/>
    <mergeCell ref="B22:F22"/>
    <mergeCell ref="G22:J22"/>
    <mergeCell ref="A6:J6"/>
    <mergeCell ref="A7:J7"/>
    <mergeCell ref="A17:C17"/>
    <mergeCell ref="D17:E17"/>
    <mergeCell ref="F17:J17"/>
    <mergeCell ref="A18:J18"/>
    <mergeCell ref="A19:J19"/>
    <mergeCell ref="B20:F20"/>
    <mergeCell ref="G20:H20"/>
    <mergeCell ref="I20:J20"/>
    <mergeCell ref="B12:F12"/>
    <mergeCell ref="G12:J12"/>
    <mergeCell ref="A13:J13"/>
    <mergeCell ref="A14:J14"/>
    <mergeCell ref="A15:J15"/>
    <mergeCell ref="A16:C16"/>
    <mergeCell ref="D16:E16"/>
    <mergeCell ref="F16:J16"/>
    <mergeCell ref="A8:J8"/>
    <mergeCell ref="B9:F9"/>
    <mergeCell ref="G9:J9"/>
    <mergeCell ref="B10:F10"/>
    <mergeCell ref="G10:J10"/>
    <mergeCell ref="B11:F11"/>
    <mergeCell ref="A5:J5"/>
    <mergeCell ref="G131:J131"/>
    <mergeCell ref="B131:F131"/>
    <mergeCell ref="A1:J1"/>
    <mergeCell ref="A2:J2"/>
    <mergeCell ref="B3:F3"/>
    <mergeCell ref="G3:H3"/>
    <mergeCell ref="I3:J3"/>
    <mergeCell ref="A4:J4"/>
    <mergeCell ref="G71:H71"/>
    <mergeCell ref="G70:H70"/>
    <mergeCell ref="G69:H69"/>
    <mergeCell ref="G68:H68"/>
    <mergeCell ref="G67:H67"/>
    <mergeCell ref="G66:H66"/>
    <mergeCell ref="G65:H65"/>
    <mergeCell ref="G64:H64"/>
    <mergeCell ref="G63:H63"/>
    <mergeCell ref="G62:H62"/>
    <mergeCell ref="G11:J11"/>
    <mergeCell ref="B24:F24"/>
    <mergeCell ref="G24:J24"/>
    <mergeCell ref="B25:F25"/>
    <mergeCell ref="G25:J25"/>
  </mergeCells>
  <conditionalFormatting sqref="G157:J157">
    <cfRule type="cellIs" dxfId="10" priority="1" operator="greaterThan">
      <formula>6718.03008196828</formula>
    </cfRule>
  </conditionalFormatting>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54D312-A7F2-4DBF-BF17-6874E746D023}">
  <sheetPr>
    <tabColor theme="9" tint="0.59999389629810485"/>
  </sheetPr>
  <dimension ref="A1:M167"/>
  <sheetViews>
    <sheetView topLeftCell="A133" workbookViewId="0">
      <selection activeCell="H169" sqref="H169"/>
    </sheetView>
  </sheetViews>
  <sheetFormatPr defaultRowHeight="14.5" x14ac:dyDescent="0.35"/>
  <cols>
    <col min="2" max="2" width="13.26953125" customWidth="1"/>
    <col min="3" max="3" width="13.36328125" customWidth="1"/>
    <col min="4" max="4" width="12.6328125" customWidth="1"/>
    <col min="5" max="5" width="13.36328125" customWidth="1"/>
    <col min="6" max="6" width="12.90625" customWidth="1"/>
    <col min="8" max="8" width="11.54296875" bestFit="1" customWidth="1"/>
    <col min="9" max="9" width="13" bestFit="1" customWidth="1"/>
    <col min="10" max="10" width="13.453125" bestFit="1" customWidth="1"/>
    <col min="13" max="13" width="11.1796875" customWidth="1"/>
  </cols>
  <sheetData>
    <row r="1" spans="1:10" x14ac:dyDescent="0.35">
      <c r="A1" s="287" t="s">
        <v>0</v>
      </c>
      <c r="B1" s="287"/>
      <c r="C1" s="287"/>
      <c r="D1" s="287"/>
      <c r="E1" s="287"/>
      <c r="F1" s="287"/>
      <c r="G1" s="287"/>
      <c r="H1" s="287"/>
      <c r="I1" s="287"/>
      <c r="J1" s="287"/>
    </row>
    <row r="2" spans="1:10" x14ac:dyDescent="0.35">
      <c r="A2" s="287" t="s">
        <v>1</v>
      </c>
      <c r="B2" s="287"/>
      <c r="C2" s="287"/>
      <c r="D2" s="287"/>
      <c r="E2" s="287"/>
      <c r="F2" s="287"/>
      <c r="G2" s="287"/>
      <c r="H2" s="287"/>
      <c r="I2" s="287"/>
      <c r="J2" s="287"/>
    </row>
    <row r="3" spans="1:10" x14ac:dyDescent="0.35">
      <c r="A3" s="12"/>
      <c r="B3" s="288"/>
      <c r="C3" s="288"/>
      <c r="D3" s="288"/>
      <c r="E3" s="288"/>
      <c r="F3" s="288"/>
      <c r="G3" s="288"/>
      <c r="H3" s="288"/>
      <c r="I3" s="288"/>
      <c r="J3" s="288"/>
    </row>
    <row r="4" spans="1:10" x14ac:dyDescent="0.35">
      <c r="A4" s="280" t="s">
        <v>209</v>
      </c>
      <c r="B4" s="280"/>
      <c r="C4" s="280"/>
      <c r="D4" s="280"/>
      <c r="E4" s="280"/>
      <c r="F4" s="280"/>
      <c r="G4" s="280"/>
      <c r="H4" s="280"/>
      <c r="I4" s="280"/>
      <c r="J4" s="280"/>
    </row>
    <row r="5" spans="1:10" x14ac:dyDescent="0.35">
      <c r="A5" s="280" t="s">
        <v>140</v>
      </c>
      <c r="B5" s="280"/>
      <c r="C5" s="280"/>
      <c r="D5" s="280"/>
      <c r="E5" s="280"/>
      <c r="F5" s="280"/>
      <c r="G5" s="280"/>
      <c r="H5" s="280"/>
      <c r="I5" s="280"/>
      <c r="J5" s="280"/>
    </row>
    <row r="6" spans="1:10" x14ac:dyDescent="0.35">
      <c r="A6" s="303"/>
      <c r="B6" s="303"/>
      <c r="C6" s="303"/>
      <c r="D6" s="303"/>
      <c r="E6" s="303"/>
      <c r="F6" s="303"/>
      <c r="G6" s="303"/>
      <c r="H6" s="303"/>
      <c r="I6" s="303"/>
      <c r="J6" s="303"/>
    </row>
    <row r="7" spans="1:10" x14ac:dyDescent="0.35">
      <c r="A7" s="287" t="s">
        <v>2</v>
      </c>
      <c r="B7" s="287"/>
      <c r="C7" s="287"/>
      <c r="D7" s="287"/>
      <c r="E7" s="287"/>
      <c r="F7" s="287"/>
      <c r="G7" s="287"/>
      <c r="H7" s="287"/>
      <c r="I7" s="287"/>
      <c r="J7" s="287"/>
    </row>
    <row r="8" spans="1:10" x14ac:dyDescent="0.35">
      <c r="A8" s="308"/>
      <c r="B8" s="308"/>
      <c r="C8" s="308"/>
      <c r="D8" s="308"/>
      <c r="E8" s="308"/>
      <c r="F8" s="308"/>
      <c r="G8" s="308"/>
      <c r="H8" s="308"/>
      <c r="I8" s="308"/>
      <c r="J8" s="308"/>
    </row>
    <row r="9" spans="1:10" x14ac:dyDescent="0.35">
      <c r="A9" s="57" t="s">
        <v>3</v>
      </c>
      <c r="B9" s="310" t="s">
        <v>4</v>
      </c>
      <c r="C9" s="310"/>
      <c r="D9" s="310"/>
      <c r="E9" s="310"/>
      <c r="F9" s="310"/>
      <c r="G9" s="311"/>
      <c r="H9" s="311"/>
      <c r="I9" s="311"/>
      <c r="J9" s="311"/>
    </row>
    <row r="10" spans="1:10" x14ac:dyDescent="0.35">
      <c r="A10" s="57" t="s">
        <v>5</v>
      </c>
      <c r="B10" s="310" t="s">
        <v>6</v>
      </c>
      <c r="C10" s="310"/>
      <c r="D10" s="310"/>
      <c r="E10" s="310"/>
      <c r="F10" s="310"/>
      <c r="G10" s="311" t="s">
        <v>7</v>
      </c>
      <c r="H10" s="311"/>
      <c r="I10" s="311"/>
      <c r="J10" s="311"/>
    </row>
    <row r="11" spans="1:10" x14ac:dyDescent="0.35">
      <c r="A11" s="57" t="s">
        <v>8</v>
      </c>
      <c r="B11" s="310" t="s">
        <v>9</v>
      </c>
      <c r="C11" s="310"/>
      <c r="D11" s="310"/>
      <c r="E11" s="310"/>
      <c r="F11" s="310"/>
      <c r="G11" s="297" t="s">
        <v>136</v>
      </c>
      <c r="H11" s="298"/>
      <c r="I11" s="298"/>
      <c r="J11" s="299"/>
    </row>
    <row r="12" spans="1:10" x14ac:dyDescent="0.35">
      <c r="A12" s="57" t="s">
        <v>10</v>
      </c>
      <c r="B12" s="310" t="s">
        <v>11</v>
      </c>
      <c r="C12" s="310"/>
      <c r="D12" s="310"/>
      <c r="E12" s="310"/>
      <c r="F12" s="310"/>
      <c r="G12" s="311" t="s">
        <v>12</v>
      </c>
      <c r="H12" s="311"/>
      <c r="I12" s="311"/>
      <c r="J12" s="311"/>
    </row>
    <row r="13" spans="1:10" x14ac:dyDescent="0.35">
      <c r="A13" s="308"/>
      <c r="B13" s="308"/>
      <c r="C13" s="308"/>
      <c r="D13" s="308"/>
      <c r="E13" s="308"/>
      <c r="F13" s="308"/>
      <c r="G13" s="308"/>
      <c r="H13" s="308"/>
      <c r="I13" s="308"/>
      <c r="J13" s="308"/>
    </row>
    <row r="14" spans="1:10" x14ac:dyDescent="0.35">
      <c r="A14" s="287" t="s">
        <v>13</v>
      </c>
      <c r="B14" s="287"/>
      <c r="C14" s="287"/>
      <c r="D14" s="287"/>
      <c r="E14" s="287"/>
      <c r="F14" s="287"/>
      <c r="G14" s="287"/>
      <c r="H14" s="287"/>
      <c r="I14" s="287"/>
      <c r="J14" s="287"/>
    </row>
    <row r="15" spans="1:10" x14ac:dyDescent="0.35">
      <c r="A15" s="308"/>
      <c r="B15" s="308"/>
      <c r="C15" s="308"/>
      <c r="D15" s="308"/>
      <c r="E15" s="308"/>
      <c r="F15" s="308"/>
      <c r="G15" s="308"/>
      <c r="H15" s="308"/>
      <c r="I15" s="308"/>
      <c r="J15" s="308"/>
    </row>
    <row r="16" spans="1:10" x14ac:dyDescent="0.35">
      <c r="A16" s="301" t="s">
        <v>14</v>
      </c>
      <c r="B16" s="301"/>
      <c r="C16" s="301"/>
      <c r="D16" s="311" t="s">
        <v>15</v>
      </c>
      <c r="E16" s="311"/>
      <c r="F16" s="311" t="s">
        <v>16</v>
      </c>
      <c r="G16" s="311"/>
      <c r="H16" s="311"/>
      <c r="I16" s="311"/>
      <c r="J16" s="311"/>
    </row>
    <row r="17" spans="1:10" x14ac:dyDescent="0.35">
      <c r="A17" s="304" t="s">
        <v>205</v>
      </c>
      <c r="B17" s="304"/>
      <c r="C17" s="304"/>
      <c r="D17" s="305" t="s">
        <v>18</v>
      </c>
      <c r="E17" s="306"/>
      <c r="F17" s="307">
        <v>15848.75</v>
      </c>
      <c r="G17" s="307"/>
      <c r="H17" s="307"/>
      <c r="I17" s="307"/>
      <c r="J17" s="307"/>
    </row>
    <row r="18" spans="1:10" x14ac:dyDescent="0.35">
      <c r="A18" s="308"/>
      <c r="B18" s="308"/>
      <c r="C18" s="308"/>
      <c r="D18" s="308"/>
      <c r="E18" s="308"/>
      <c r="F18" s="308"/>
      <c r="G18" s="308"/>
      <c r="H18" s="308"/>
      <c r="I18" s="308"/>
      <c r="J18" s="308"/>
    </row>
    <row r="19" spans="1:10" x14ac:dyDescent="0.35">
      <c r="A19" s="287" t="s">
        <v>19</v>
      </c>
      <c r="B19" s="287"/>
      <c r="C19" s="287"/>
      <c r="D19" s="287"/>
      <c r="E19" s="287"/>
      <c r="F19" s="287"/>
      <c r="G19" s="287"/>
      <c r="H19" s="287"/>
      <c r="I19" s="287"/>
      <c r="J19" s="287"/>
    </row>
    <row r="20" spans="1:10" x14ac:dyDescent="0.35">
      <c r="A20" s="12"/>
      <c r="B20" s="309"/>
      <c r="C20" s="309"/>
      <c r="D20" s="309"/>
      <c r="E20" s="309"/>
      <c r="F20" s="309"/>
      <c r="G20" s="309"/>
      <c r="H20" s="309"/>
      <c r="I20" s="309"/>
      <c r="J20" s="309"/>
    </row>
    <row r="21" spans="1:10" x14ac:dyDescent="0.35">
      <c r="A21" s="20" t="s">
        <v>20</v>
      </c>
      <c r="B21" s="300" t="s">
        <v>21</v>
      </c>
      <c r="C21" s="300"/>
      <c r="D21" s="300"/>
      <c r="E21" s="300"/>
      <c r="F21" s="300"/>
      <c r="G21" s="301" t="s">
        <v>29</v>
      </c>
      <c r="H21" s="301"/>
      <c r="I21" s="301"/>
      <c r="J21" s="301"/>
    </row>
    <row r="22" spans="1:10" x14ac:dyDescent="0.35">
      <c r="A22" s="20" t="s">
        <v>22</v>
      </c>
      <c r="B22" s="300" t="s">
        <v>23</v>
      </c>
      <c r="C22" s="300"/>
      <c r="D22" s="300"/>
      <c r="E22" s="300"/>
      <c r="F22" s="300"/>
      <c r="G22" s="301" t="s">
        <v>206</v>
      </c>
      <c r="H22" s="301"/>
      <c r="I22" s="301"/>
      <c r="J22" s="301"/>
    </row>
    <row r="23" spans="1:10" x14ac:dyDescent="0.35">
      <c r="A23" s="20" t="s">
        <v>25</v>
      </c>
      <c r="B23" s="300" t="s">
        <v>26</v>
      </c>
      <c r="C23" s="300"/>
      <c r="D23" s="300"/>
      <c r="E23" s="300"/>
      <c r="F23" s="300"/>
      <c r="G23" s="312">
        <v>1412.62</v>
      </c>
      <c r="H23" s="312"/>
      <c r="I23" s="312"/>
      <c r="J23" s="312"/>
    </row>
    <row r="24" spans="1:10" x14ac:dyDescent="0.35">
      <c r="A24" s="20" t="s">
        <v>27</v>
      </c>
      <c r="B24" s="300" t="s">
        <v>28</v>
      </c>
      <c r="C24" s="300"/>
      <c r="D24" s="300"/>
      <c r="E24" s="300"/>
      <c r="F24" s="300"/>
      <c r="G24" s="301" t="s">
        <v>207</v>
      </c>
      <c r="H24" s="301"/>
      <c r="I24" s="301"/>
      <c r="J24" s="301"/>
    </row>
    <row r="25" spans="1:10" x14ac:dyDescent="0.35">
      <c r="A25" s="20" t="s">
        <v>30</v>
      </c>
      <c r="B25" s="300" t="s">
        <v>31</v>
      </c>
      <c r="C25" s="300"/>
      <c r="D25" s="300"/>
      <c r="E25" s="300"/>
      <c r="F25" s="300"/>
      <c r="G25" s="302">
        <v>45292</v>
      </c>
      <c r="H25" s="302"/>
      <c r="I25" s="302"/>
      <c r="J25" s="302"/>
    </row>
    <row r="26" spans="1:10" x14ac:dyDescent="0.35">
      <c r="A26" s="319"/>
      <c r="B26" s="319"/>
      <c r="C26" s="319"/>
      <c r="D26" s="319"/>
      <c r="E26" s="319"/>
      <c r="F26" s="319"/>
      <c r="G26" s="319"/>
      <c r="H26" s="319"/>
      <c r="I26" s="319"/>
      <c r="J26" s="319"/>
    </row>
    <row r="27" spans="1:10" x14ac:dyDescent="0.35">
      <c r="A27" s="287" t="s">
        <v>32</v>
      </c>
      <c r="B27" s="287"/>
      <c r="C27" s="287"/>
      <c r="D27" s="287"/>
      <c r="E27" s="287"/>
      <c r="F27" s="287"/>
      <c r="G27" s="287"/>
      <c r="H27" s="287"/>
      <c r="I27" s="287"/>
      <c r="J27" s="287"/>
    </row>
    <row r="28" spans="1:10" x14ac:dyDescent="0.35">
      <c r="A28" s="12"/>
      <c r="B28" s="13"/>
      <c r="C28" s="13"/>
      <c r="D28" s="13"/>
      <c r="E28" s="13"/>
      <c r="F28" s="13"/>
      <c r="G28" s="13"/>
      <c r="H28" s="13"/>
      <c r="I28" s="13"/>
      <c r="J28" s="13"/>
    </row>
    <row r="29" spans="1:10" x14ac:dyDescent="0.35">
      <c r="A29" s="10">
        <v>1</v>
      </c>
      <c r="B29" s="322" t="s">
        <v>33</v>
      </c>
      <c r="C29" s="322"/>
      <c r="D29" s="322"/>
      <c r="E29" s="322"/>
      <c r="F29" s="322"/>
      <c r="G29" s="324" t="s">
        <v>34</v>
      </c>
      <c r="H29" s="324"/>
      <c r="I29" s="324"/>
      <c r="J29" s="324"/>
    </row>
    <row r="30" spans="1:10" x14ac:dyDescent="0.35">
      <c r="A30" s="14" t="s">
        <v>3</v>
      </c>
      <c r="B30" s="325" t="s">
        <v>35</v>
      </c>
      <c r="C30" s="325"/>
      <c r="D30" s="325"/>
      <c r="E30" s="325"/>
      <c r="F30" s="325"/>
      <c r="G30" s="321">
        <f>G23</f>
        <v>1412.62</v>
      </c>
      <c r="H30" s="321"/>
      <c r="I30" s="321"/>
      <c r="J30" s="321"/>
    </row>
    <row r="31" spans="1:10" x14ac:dyDescent="0.35">
      <c r="A31" s="14" t="s">
        <v>5</v>
      </c>
      <c r="B31" s="325" t="s">
        <v>36</v>
      </c>
      <c r="C31" s="325"/>
      <c r="D31" s="325"/>
      <c r="E31" s="325"/>
      <c r="F31" s="325"/>
      <c r="G31" s="321">
        <f>G30*30%</f>
        <v>423.78599999999994</v>
      </c>
      <c r="H31" s="321"/>
      <c r="I31" s="321"/>
      <c r="J31" s="321"/>
    </row>
    <row r="32" spans="1:10" x14ac:dyDescent="0.35">
      <c r="A32" s="14" t="s">
        <v>8</v>
      </c>
      <c r="B32" s="313" t="s">
        <v>37</v>
      </c>
      <c r="C32" s="314"/>
      <c r="D32" s="314"/>
      <c r="E32" s="314"/>
      <c r="F32" s="315"/>
      <c r="G32" s="316">
        <v>0</v>
      </c>
      <c r="H32" s="317"/>
      <c r="I32" s="317"/>
      <c r="J32" s="318"/>
    </row>
    <row r="33" spans="1:10" x14ac:dyDescent="0.35">
      <c r="A33" s="14" t="s">
        <v>10</v>
      </c>
      <c r="B33" s="313" t="s">
        <v>375</v>
      </c>
      <c r="C33" s="314"/>
      <c r="D33" s="314"/>
      <c r="E33" s="314"/>
      <c r="F33" s="315"/>
      <c r="G33" s="316">
        <f>(((G31+G30)/220)*(16*2))/G159</f>
        <v>19.079542857142858</v>
      </c>
      <c r="H33" s="317"/>
      <c r="I33" s="317"/>
      <c r="J33" s="318"/>
    </row>
    <row r="34" spans="1:10" x14ac:dyDescent="0.35">
      <c r="A34" s="14" t="s">
        <v>56</v>
      </c>
      <c r="B34" s="320" t="s">
        <v>38</v>
      </c>
      <c r="C34" s="320"/>
      <c r="D34" s="320"/>
      <c r="E34" s="320"/>
      <c r="F34" s="320"/>
      <c r="G34" s="321">
        <v>0</v>
      </c>
      <c r="H34" s="321"/>
      <c r="I34" s="321"/>
      <c r="J34" s="321"/>
    </row>
    <row r="35" spans="1:10" x14ac:dyDescent="0.35">
      <c r="A35" s="322" t="s">
        <v>39</v>
      </c>
      <c r="B35" s="322"/>
      <c r="C35" s="322"/>
      <c r="D35" s="322"/>
      <c r="E35" s="322"/>
      <c r="F35" s="322"/>
      <c r="G35" s="323">
        <f>SUM(G30:J34)</f>
        <v>1855.4855428571427</v>
      </c>
      <c r="H35" s="323"/>
      <c r="I35" s="323"/>
      <c r="J35" s="323"/>
    </row>
    <row r="36" spans="1:10" x14ac:dyDescent="0.35">
      <c r="A36" s="12"/>
      <c r="B36" s="288"/>
      <c r="C36" s="288"/>
      <c r="D36" s="288"/>
      <c r="E36" s="288"/>
      <c r="F36" s="288"/>
      <c r="G36" s="288"/>
      <c r="H36" s="288"/>
      <c r="I36" s="288"/>
      <c r="J36" s="288"/>
    </row>
    <row r="37" spans="1:10" x14ac:dyDescent="0.35">
      <c r="A37" s="287" t="s">
        <v>40</v>
      </c>
      <c r="B37" s="287"/>
      <c r="C37" s="287"/>
      <c r="D37" s="287"/>
      <c r="E37" s="287"/>
      <c r="F37" s="287"/>
      <c r="G37" s="287"/>
      <c r="H37" s="287"/>
      <c r="I37" s="287"/>
      <c r="J37" s="287"/>
    </row>
    <row r="38" spans="1:10" x14ac:dyDescent="0.35">
      <c r="A38" s="12"/>
      <c r="B38" s="288"/>
      <c r="C38" s="288"/>
      <c r="D38" s="288"/>
      <c r="E38" s="288"/>
      <c r="F38" s="288"/>
      <c r="G38" s="288"/>
      <c r="H38" s="288"/>
      <c r="I38" s="288"/>
      <c r="J38" s="288"/>
    </row>
    <row r="39" spans="1:10" x14ac:dyDescent="0.35">
      <c r="A39" s="326" t="s">
        <v>41</v>
      </c>
      <c r="B39" s="326"/>
      <c r="C39" s="326"/>
      <c r="D39" s="326"/>
      <c r="E39" s="326"/>
      <c r="F39" s="326"/>
      <c r="G39" s="326"/>
      <c r="H39" s="326"/>
      <c r="I39" s="326"/>
      <c r="J39" s="326"/>
    </row>
    <row r="40" spans="1:10" x14ac:dyDescent="0.35">
      <c r="A40" s="327" t="s">
        <v>42</v>
      </c>
      <c r="B40" s="327"/>
      <c r="C40" s="327"/>
      <c r="D40" s="327"/>
      <c r="E40" s="327"/>
      <c r="F40" s="327"/>
      <c r="G40" s="328">
        <f>G35</f>
        <v>1855.4855428571427</v>
      </c>
      <c r="H40" s="328"/>
      <c r="I40" s="328"/>
      <c r="J40" s="328"/>
    </row>
    <row r="41" spans="1:10" x14ac:dyDescent="0.35">
      <c r="A41" s="12"/>
      <c r="B41" s="309"/>
      <c r="C41" s="309"/>
      <c r="D41" s="309"/>
      <c r="E41" s="309"/>
      <c r="F41" s="309"/>
      <c r="G41" s="309"/>
      <c r="H41" s="309"/>
      <c r="I41" s="309"/>
      <c r="J41" s="309"/>
    </row>
    <row r="42" spans="1:10" x14ac:dyDescent="0.35">
      <c r="A42" s="20" t="s">
        <v>43</v>
      </c>
      <c r="B42" s="311" t="s">
        <v>44</v>
      </c>
      <c r="C42" s="311"/>
      <c r="D42" s="311"/>
      <c r="E42" s="311"/>
      <c r="F42" s="311"/>
      <c r="G42" s="311" t="s">
        <v>45</v>
      </c>
      <c r="H42" s="311"/>
      <c r="I42" s="322" t="s">
        <v>34</v>
      </c>
      <c r="J42" s="322"/>
    </row>
    <row r="43" spans="1:10" x14ac:dyDescent="0.35">
      <c r="A43" s="23" t="s">
        <v>3</v>
      </c>
      <c r="B43" s="300" t="s">
        <v>46</v>
      </c>
      <c r="C43" s="300"/>
      <c r="D43" s="300"/>
      <c r="E43" s="300"/>
      <c r="F43" s="300"/>
      <c r="G43" s="331">
        <v>8.3299999999999999E-2</v>
      </c>
      <c r="H43" s="331"/>
      <c r="I43" s="330">
        <f>G40*G43</f>
        <v>154.56194571999998</v>
      </c>
      <c r="J43" s="330"/>
    </row>
    <row r="44" spans="1:10" x14ac:dyDescent="0.35">
      <c r="A44" s="23" t="s">
        <v>5</v>
      </c>
      <c r="B44" s="300" t="s">
        <v>47</v>
      </c>
      <c r="C44" s="300"/>
      <c r="D44" s="300"/>
      <c r="E44" s="300"/>
      <c r="F44" s="300"/>
      <c r="G44" s="329">
        <v>2.7799999999999998E-2</v>
      </c>
      <c r="H44" s="329"/>
      <c r="I44" s="330">
        <f>G40*G44</f>
        <v>51.582498091428562</v>
      </c>
      <c r="J44" s="330"/>
    </row>
    <row r="45" spans="1:10" x14ac:dyDescent="0.35">
      <c r="A45" s="311" t="s">
        <v>39</v>
      </c>
      <c r="B45" s="311"/>
      <c r="C45" s="311"/>
      <c r="D45" s="311"/>
      <c r="E45" s="311"/>
      <c r="F45" s="311"/>
      <c r="G45" s="331">
        <f>SUM(G43:H44)</f>
        <v>0.1111</v>
      </c>
      <c r="H45" s="304"/>
      <c r="I45" s="332">
        <f>SUM(I43:J44)</f>
        <v>206.14444381142854</v>
      </c>
      <c r="J45" s="332"/>
    </row>
    <row r="46" spans="1:10" x14ac:dyDescent="0.35">
      <c r="A46" s="288"/>
      <c r="B46" s="288"/>
      <c r="C46" s="288"/>
      <c r="D46" s="288"/>
      <c r="E46" s="288"/>
      <c r="F46" s="288"/>
      <c r="G46" s="288"/>
      <c r="H46" s="288"/>
      <c r="I46" s="288"/>
      <c r="J46" s="288"/>
    </row>
    <row r="47" spans="1:10" x14ac:dyDescent="0.35">
      <c r="A47" s="334" t="s">
        <v>48</v>
      </c>
      <c r="B47" s="334"/>
      <c r="C47" s="334"/>
      <c r="D47" s="334"/>
      <c r="E47" s="334"/>
      <c r="F47" s="334"/>
      <c r="G47" s="334"/>
      <c r="H47" s="334"/>
      <c r="I47" s="334"/>
      <c r="J47" s="334"/>
    </row>
    <row r="48" spans="1:10" x14ac:dyDescent="0.35">
      <c r="A48" s="335" t="s">
        <v>49</v>
      </c>
      <c r="B48" s="335"/>
      <c r="C48" s="335"/>
      <c r="D48" s="335"/>
      <c r="E48" s="335"/>
      <c r="F48" s="335"/>
      <c r="G48" s="336">
        <f>G35+I45</f>
        <v>2061.6299866685713</v>
      </c>
      <c r="H48" s="336"/>
      <c r="I48" s="336"/>
      <c r="J48" s="336"/>
    </row>
    <row r="49" spans="1:12" x14ac:dyDescent="0.35">
      <c r="A49" s="337"/>
      <c r="B49" s="337"/>
      <c r="C49" s="337"/>
      <c r="D49" s="337"/>
      <c r="E49" s="337"/>
      <c r="F49" s="337"/>
      <c r="G49" s="337"/>
      <c r="H49" s="337"/>
      <c r="I49" s="337"/>
      <c r="J49" s="337"/>
    </row>
    <row r="50" spans="1:12" x14ac:dyDescent="0.35">
      <c r="A50" s="28" t="s">
        <v>50</v>
      </c>
      <c r="B50" s="338" t="s">
        <v>51</v>
      </c>
      <c r="C50" s="338"/>
      <c r="D50" s="338"/>
      <c r="E50" s="338"/>
      <c r="F50" s="338"/>
      <c r="G50" s="339" t="s">
        <v>45</v>
      </c>
      <c r="H50" s="339"/>
      <c r="I50" s="340" t="s">
        <v>34</v>
      </c>
      <c r="J50" s="340"/>
    </row>
    <row r="51" spans="1:12" x14ac:dyDescent="0.35">
      <c r="A51" s="23" t="s">
        <v>3</v>
      </c>
      <c r="B51" s="300" t="s">
        <v>52</v>
      </c>
      <c r="C51" s="300"/>
      <c r="D51" s="300"/>
      <c r="E51" s="300"/>
      <c r="F51" s="300"/>
      <c r="G51" s="331">
        <v>0.2</v>
      </c>
      <c r="H51" s="331"/>
      <c r="I51" s="333">
        <f>G48*G51</f>
        <v>412.32599733371427</v>
      </c>
      <c r="J51" s="333"/>
    </row>
    <row r="52" spans="1:12" x14ac:dyDescent="0.35">
      <c r="A52" s="23" t="s">
        <v>5</v>
      </c>
      <c r="B52" s="300" t="s">
        <v>53</v>
      </c>
      <c r="C52" s="300"/>
      <c r="D52" s="300"/>
      <c r="E52" s="300"/>
      <c r="F52" s="300"/>
      <c r="G52" s="331">
        <v>2.5000000000000001E-2</v>
      </c>
      <c r="H52" s="331"/>
      <c r="I52" s="333">
        <f>G48*G52</f>
        <v>51.540749666714284</v>
      </c>
      <c r="J52" s="333"/>
    </row>
    <row r="53" spans="1:12" x14ac:dyDescent="0.35">
      <c r="A53" s="23" t="s">
        <v>8</v>
      </c>
      <c r="B53" s="341" t="s">
        <v>54</v>
      </c>
      <c r="C53" s="341"/>
      <c r="D53" s="341"/>
      <c r="E53" s="341"/>
      <c r="F53" s="341"/>
      <c r="G53" s="342">
        <v>0.03</v>
      </c>
      <c r="H53" s="343"/>
      <c r="I53" s="333">
        <f>G48*G53</f>
        <v>61.848899600057138</v>
      </c>
      <c r="J53" s="333"/>
    </row>
    <row r="54" spans="1:12" x14ac:dyDescent="0.35">
      <c r="A54" s="23" t="s">
        <v>10</v>
      </c>
      <c r="B54" s="300" t="s">
        <v>55</v>
      </c>
      <c r="C54" s="300"/>
      <c r="D54" s="300"/>
      <c r="E54" s="300"/>
      <c r="F54" s="300"/>
      <c r="G54" s="331">
        <v>1.4999999999999999E-2</v>
      </c>
      <c r="H54" s="331"/>
      <c r="I54" s="333">
        <f>G48*G54</f>
        <v>30.924449800028569</v>
      </c>
      <c r="J54" s="333"/>
    </row>
    <row r="55" spans="1:12" x14ac:dyDescent="0.35">
      <c r="A55" s="23" t="s">
        <v>56</v>
      </c>
      <c r="B55" s="300" t="s">
        <v>57</v>
      </c>
      <c r="C55" s="300"/>
      <c r="D55" s="300"/>
      <c r="E55" s="300"/>
      <c r="F55" s="300"/>
      <c r="G55" s="331">
        <v>0.01</v>
      </c>
      <c r="H55" s="331"/>
      <c r="I55" s="333">
        <f>G48*G55</f>
        <v>20.616299866685715</v>
      </c>
      <c r="J55" s="333"/>
    </row>
    <row r="56" spans="1:12" x14ac:dyDescent="0.35">
      <c r="A56" s="23" t="s">
        <v>58</v>
      </c>
      <c r="B56" s="300" t="s">
        <v>59</v>
      </c>
      <c r="C56" s="300"/>
      <c r="D56" s="300"/>
      <c r="E56" s="300"/>
      <c r="F56" s="300"/>
      <c r="G56" s="331">
        <v>6.0000000000000001E-3</v>
      </c>
      <c r="H56" s="331"/>
      <c r="I56" s="333">
        <f>G48*G56</f>
        <v>12.369779920011428</v>
      </c>
      <c r="J56" s="333"/>
    </row>
    <row r="57" spans="1:12" x14ac:dyDescent="0.35">
      <c r="A57" s="23" t="s">
        <v>60</v>
      </c>
      <c r="B57" s="300" t="s">
        <v>61</v>
      </c>
      <c r="C57" s="300"/>
      <c r="D57" s="300"/>
      <c r="E57" s="300"/>
      <c r="F57" s="300"/>
      <c r="G57" s="331">
        <v>2E-3</v>
      </c>
      <c r="H57" s="331"/>
      <c r="I57" s="333">
        <f>G48*G57</f>
        <v>4.1232599733371424</v>
      </c>
      <c r="J57" s="333"/>
    </row>
    <row r="58" spans="1:12" x14ac:dyDescent="0.35">
      <c r="A58" s="23" t="s">
        <v>62</v>
      </c>
      <c r="B58" s="300" t="s">
        <v>63</v>
      </c>
      <c r="C58" s="300"/>
      <c r="D58" s="300"/>
      <c r="E58" s="300"/>
      <c r="F58" s="300"/>
      <c r="G58" s="331">
        <v>0.08</v>
      </c>
      <c r="H58" s="331"/>
      <c r="I58" s="333">
        <f>G48*G58</f>
        <v>164.93039893348572</v>
      </c>
      <c r="J58" s="333"/>
    </row>
    <row r="59" spans="1:12" x14ac:dyDescent="0.35">
      <c r="A59" s="311" t="s">
        <v>64</v>
      </c>
      <c r="B59" s="311"/>
      <c r="C59" s="311"/>
      <c r="D59" s="311"/>
      <c r="E59" s="311"/>
      <c r="F59" s="311"/>
      <c r="G59" s="344">
        <f>SUM(G51:H58)</f>
        <v>0.36800000000000005</v>
      </c>
      <c r="H59" s="311"/>
      <c r="I59" s="345">
        <f>SUM(I51:J58)</f>
        <v>758.67983509403416</v>
      </c>
      <c r="J59" s="345"/>
    </row>
    <row r="60" spans="1:12" x14ac:dyDescent="0.35">
      <c r="A60" s="319"/>
      <c r="B60" s="319"/>
      <c r="C60" s="319"/>
      <c r="D60" s="319"/>
      <c r="E60" s="319"/>
      <c r="F60" s="319"/>
      <c r="G60" s="319"/>
      <c r="H60" s="319"/>
      <c r="I60" s="319"/>
      <c r="J60" s="319"/>
    </row>
    <row r="61" spans="1:12" x14ac:dyDescent="0.35">
      <c r="A61" s="326" t="s">
        <v>65</v>
      </c>
      <c r="B61" s="326"/>
      <c r="C61" s="326"/>
      <c r="D61" s="326"/>
      <c r="E61" s="326"/>
      <c r="F61" s="326"/>
      <c r="G61" s="326"/>
      <c r="H61" s="326"/>
      <c r="I61" s="326"/>
      <c r="J61" s="326"/>
    </row>
    <row r="62" spans="1:12" x14ac:dyDescent="0.35">
      <c r="A62" s="12"/>
      <c r="B62" s="309"/>
      <c r="C62" s="309"/>
      <c r="D62" s="309"/>
      <c r="E62" s="309"/>
      <c r="F62" s="309"/>
      <c r="G62" s="309"/>
      <c r="H62" s="309"/>
      <c r="I62" s="309"/>
      <c r="J62" s="309"/>
    </row>
    <row r="63" spans="1:12" x14ac:dyDescent="0.35">
      <c r="A63" s="21" t="s">
        <v>66</v>
      </c>
      <c r="B63" s="347" t="s">
        <v>67</v>
      </c>
      <c r="C63" s="347"/>
      <c r="D63" s="347"/>
      <c r="E63" s="347"/>
      <c r="F63" s="347"/>
      <c r="G63" s="295" t="s">
        <v>138</v>
      </c>
      <c r="H63" s="296"/>
      <c r="I63" s="353" t="s">
        <v>34</v>
      </c>
      <c r="J63" s="354"/>
    </row>
    <row r="64" spans="1:12" x14ac:dyDescent="0.35">
      <c r="A64" s="22" t="s">
        <v>3</v>
      </c>
      <c r="B64" s="346" t="s">
        <v>68</v>
      </c>
      <c r="C64" s="346"/>
      <c r="D64" s="346"/>
      <c r="E64" s="346"/>
      <c r="F64" s="346"/>
      <c r="G64" s="291">
        <v>0.06</v>
      </c>
      <c r="H64" s="292"/>
      <c r="I64" s="281">
        <f>(2*4.7*(((255*G159)+110)/(12*G159))-(G64*G30))</f>
        <v>121.14756190476194</v>
      </c>
      <c r="J64" s="283"/>
      <c r="L64" s="29"/>
    </row>
    <row r="65" spans="1:10" x14ac:dyDescent="0.35">
      <c r="A65" s="22" t="s">
        <v>5</v>
      </c>
      <c r="B65" s="346" t="s">
        <v>69</v>
      </c>
      <c r="C65" s="346"/>
      <c r="D65" s="346"/>
      <c r="E65" s="346"/>
      <c r="F65" s="346"/>
      <c r="G65" s="291">
        <v>3.5000000000000003E-2</v>
      </c>
      <c r="H65" s="292"/>
      <c r="I65" s="352">
        <f>(20*22)-(20*22*G65)</f>
        <v>424.6</v>
      </c>
      <c r="J65" s="352"/>
    </row>
    <row r="66" spans="1:10" x14ac:dyDescent="0.35">
      <c r="A66" s="22" t="s">
        <v>8</v>
      </c>
      <c r="B66" s="346" t="s">
        <v>70</v>
      </c>
      <c r="C66" s="346"/>
      <c r="D66" s="346"/>
      <c r="E66" s="346"/>
      <c r="F66" s="346"/>
      <c r="G66" s="289" t="s">
        <v>139</v>
      </c>
      <c r="H66" s="290"/>
      <c r="I66" s="352">
        <v>99.84</v>
      </c>
      <c r="J66" s="352"/>
    </row>
    <row r="67" spans="1:10" x14ac:dyDescent="0.35">
      <c r="A67" s="22" t="s">
        <v>10</v>
      </c>
      <c r="B67" s="346" t="s">
        <v>71</v>
      </c>
      <c r="C67" s="346"/>
      <c r="D67" s="346"/>
      <c r="E67" s="346"/>
      <c r="F67" s="346"/>
      <c r="G67" s="289" t="s">
        <v>139</v>
      </c>
      <c r="H67" s="290"/>
      <c r="I67" s="352">
        <v>5</v>
      </c>
      <c r="J67" s="352"/>
    </row>
    <row r="68" spans="1:10" x14ac:dyDescent="0.35">
      <c r="A68" s="22" t="s">
        <v>56</v>
      </c>
      <c r="B68" s="346" t="s">
        <v>72</v>
      </c>
      <c r="C68" s="346"/>
      <c r="D68" s="346"/>
      <c r="E68" s="346"/>
      <c r="F68" s="346"/>
      <c r="G68" s="289" t="s">
        <v>139</v>
      </c>
      <c r="H68" s="290"/>
      <c r="I68" s="352">
        <v>10</v>
      </c>
      <c r="J68" s="352"/>
    </row>
    <row r="69" spans="1:10" x14ac:dyDescent="0.35">
      <c r="A69" s="22" t="s">
        <v>58</v>
      </c>
      <c r="B69" s="346" t="s">
        <v>73</v>
      </c>
      <c r="C69" s="346"/>
      <c r="D69" s="346"/>
      <c r="E69" s="346"/>
      <c r="F69" s="346"/>
      <c r="G69" s="289" t="s">
        <v>139</v>
      </c>
      <c r="H69" s="290"/>
      <c r="I69" s="352">
        <v>8</v>
      </c>
      <c r="J69" s="352"/>
    </row>
    <row r="70" spans="1:10" x14ac:dyDescent="0.35">
      <c r="A70" s="22" t="s">
        <v>60</v>
      </c>
      <c r="B70" s="349" t="s">
        <v>74</v>
      </c>
      <c r="C70" s="350"/>
      <c r="D70" s="350"/>
      <c r="E70" s="350"/>
      <c r="F70" s="351"/>
      <c r="G70" s="293">
        <v>2.6069999999999999E-2</v>
      </c>
      <c r="H70" s="294"/>
      <c r="I70" s="352">
        <f xml:space="preserve"> (282.5*4*G70)/24</f>
        <v>1.2274624999999999</v>
      </c>
      <c r="J70" s="352"/>
    </row>
    <row r="71" spans="1:10" x14ac:dyDescent="0.35">
      <c r="A71" s="22" t="s">
        <v>62</v>
      </c>
      <c r="B71" s="349" t="s">
        <v>75</v>
      </c>
      <c r="C71" s="350"/>
      <c r="D71" s="350"/>
      <c r="E71" s="350"/>
      <c r="F71" s="351"/>
      <c r="G71" s="291">
        <v>1.0416E-2</v>
      </c>
      <c r="H71" s="292"/>
      <c r="I71" s="352">
        <f>((1412.62)*G71)/24</f>
        <v>0.61307707999999994</v>
      </c>
      <c r="J71" s="352"/>
    </row>
    <row r="72" spans="1:10" x14ac:dyDescent="0.35">
      <c r="A72" s="22" t="s">
        <v>20</v>
      </c>
      <c r="B72" s="300" t="s">
        <v>38</v>
      </c>
      <c r="C72" s="300"/>
      <c r="D72" s="300"/>
      <c r="E72" s="300"/>
      <c r="F72" s="300"/>
      <c r="G72" s="289" t="s">
        <v>139</v>
      </c>
      <c r="H72" s="290"/>
      <c r="I72" s="321">
        <v>0</v>
      </c>
      <c r="J72" s="321"/>
    </row>
    <row r="73" spans="1:10" x14ac:dyDescent="0.35">
      <c r="A73" s="355" t="s">
        <v>39</v>
      </c>
      <c r="B73" s="356"/>
      <c r="C73" s="356"/>
      <c r="D73" s="356"/>
      <c r="E73" s="356"/>
      <c r="F73" s="356"/>
      <c r="G73" s="356"/>
      <c r="H73" s="357"/>
      <c r="I73" s="323">
        <f>SUM(I64:J72)</f>
        <v>670.42810148476201</v>
      </c>
      <c r="J73" s="323"/>
    </row>
    <row r="74" spans="1:10" x14ac:dyDescent="0.35">
      <c r="A74" s="348"/>
      <c r="B74" s="348"/>
      <c r="C74" s="348"/>
      <c r="D74" s="348"/>
      <c r="E74" s="348"/>
      <c r="F74" s="348"/>
      <c r="G74" s="348"/>
      <c r="H74" s="348"/>
      <c r="I74" s="348"/>
      <c r="J74" s="348"/>
    </row>
    <row r="75" spans="1:10" x14ac:dyDescent="0.35">
      <c r="A75" s="326" t="s">
        <v>76</v>
      </c>
      <c r="B75" s="326"/>
      <c r="C75" s="326"/>
      <c r="D75" s="326"/>
      <c r="E75" s="326"/>
      <c r="F75" s="326"/>
      <c r="G75" s="326"/>
      <c r="H75" s="326"/>
      <c r="I75" s="326"/>
      <c r="J75" s="326"/>
    </row>
    <row r="76" spans="1:10" x14ac:dyDescent="0.35">
      <c r="A76" s="358"/>
      <c r="B76" s="358"/>
      <c r="C76" s="358"/>
      <c r="D76" s="358"/>
      <c r="E76" s="358"/>
      <c r="F76" s="358"/>
      <c r="G76" s="358"/>
      <c r="H76" s="358"/>
      <c r="I76" s="358"/>
      <c r="J76" s="358"/>
    </row>
    <row r="77" spans="1:10" x14ac:dyDescent="0.35">
      <c r="A77" s="20">
        <v>2</v>
      </c>
      <c r="B77" s="311" t="s">
        <v>77</v>
      </c>
      <c r="C77" s="311"/>
      <c r="D77" s="311"/>
      <c r="E77" s="311"/>
      <c r="F77" s="311"/>
      <c r="G77" s="311" t="s">
        <v>34</v>
      </c>
      <c r="H77" s="311"/>
      <c r="I77" s="311"/>
      <c r="J77" s="311"/>
    </row>
    <row r="78" spans="1:10" x14ac:dyDescent="0.35">
      <c r="A78" s="23" t="s">
        <v>43</v>
      </c>
      <c r="B78" s="300" t="s">
        <v>44</v>
      </c>
      <c r="C78" s="300"/>
      <c r="D78" s="300"/>
      <c r="E78" s="300"/>
      <c r="F78" s="300"/>
      <c r="G78" s="321">
        <f>I45</f>
        <v>206.14444381142854</v>
      </c>
      <c r="H78" s="321"/>
      <c r="I78" s="321"/>
      <c r="J78" s="321"/>
    </row>
    <row r="79" spans="1:10" x14ac:dyDescent="0.35">
      <c r="A79" s="23" t="s">
        <v>50</v>
      </c>
      <c r="B79" s="300" t="s">
        <v>51</v>
      </c>
      <c r="C79" s="300"/>
      <c r="D79" s="300"/>
      <c r="E79" s="300"/>
      <c r="F79" s="300"/>
      <c r="G79" s="321">
        <f>I59</f>
        <v>758.67983509403416</v>
      </c>
      <c r="H79" s="321"/>
      <c r="I79" s="321"/>
      <c r="J79" s="321"/>
    </row>
    <row r="80" spans="1:10" x14ac:dyDescent="0.35">
      <c r="A80" s="23" t="s">
        <v>66</v>
      </c>
      <c r="B80" s="300" t="s">
        <v>67</v>
      </c>
      <c r="C80" s="300"/>
      <c r="D80" s="300"/>
      <c r="E80" s="300"/>
      <c r="F80" s="300"/>
      <c r="G80" s="321">
        <f>I73</f>
        <v>670.42810148476201</v>
      </c>
      <c r="H80" s="321"/>
      <c r="I80" s="321"/>
      <c r="J80" s="321"/>
    </row>
    <row r="81" spans="1:10" x14ac:dyDescent="0.35">
      <c r="A81" s="311" t="s">
        <v>39</v>
      </c>
      <c r="B81" s="311"/>
      <c r="C81" s="311"/>
      <c r="D81" s="311"/>
      <c r="E81" s="311"/>
      <c r="F81" s="311"/>
      <c r="G81" s="323">
        <f>SUM(G78:J80)</f>
        <v>1635.2523803902247</v>
      </c>
      <c r="H81" s="323"/>
      <c r="I81" s="323"/>
      <c r="J81" s="323"/>
    </row>
    <row r="82" spans="1:10" x14ac:dyDescent="0.35">
      <c r="A82" s="319"/>
      <c r="B82" s="319"/>
      <c r="C82" s="319"/>
      <c r="D82" s="319"/>
      <c r="E82" s="319"/>
      <c r="F82" s="319"/>
      <c r="G82" s="319"/>
      <c r="H82" s="319"/>
      <c r="I82" s="319"/>
      <c r="J82" s="319"/>
    </row>
    <row r="83" spans="1:10" x14ac:dyDescent="0.35">
      <c r="A83" s="303"/>
      <c r="B83" s="303"/>
      <c r="C83" s="303"/>
      <c r="D83" s="303"/>
      <c r="E83" s="303"/>
      <c r="F83" s="303"/>
      <c r="G83" s="303"/>
      <c r="H83" s="303"/>
      <c r="I83" s="303"/>
      <c r="J83" s="303"/>
    </row>
    <row r="84" spans="1:10" x14ac:dyDescent="0.35">
      <c r="A84" s="287" t="s">
        <v>78</v>
      </c>
      <c r="B84" s="287"/>
      <c r="C84" s="287"/>
      <c r="D84" s="287"/>
      <c r="E84" s="287"/>
      <c r="F84" s="287"/>
      <c r="G84" s="287"/>
      <c r="H84" s="287"/>
      <c r="I84" s="287"/>
      <c r="J84" s="287"/>
    </row>
    <row r="85" spans="1:10" x14ac:dyDescent="0.35">
      <c r="A85" s="361" t="s">
        <v>79</v>
      </c>
      <c r="B85" s="361"/>
      <c r="C85" s="361"/>
      <c r="D85" s="361"/>
      <c r="E85" s="361"/>
      <c r="F85" s="361"/>
      <c r="G85" s="362">
        <f>G35</f>
        <v>1855.4855428571427</v>
      </c>
      <c r="H85" s="362"/>
      <c r="I85" s="362"/>
      <c r="J85" s="362"/>
    </row>
    <row r="86" spans="1:10" x14ac:dyDescent="0.35">
      <c r="A86" s="363"/>
      <c r="B86" s="363"/>
      <c r="C86" s="363"/>
      <c r="D86" s="363"/>
      <c r="E86" s="363"/>
      <c r="F86" s="363"/>
      <c r="G86" s="309"/>
      <c r="H86" s="309"/>
      <c r="I86" s="309"/>
      <c r="J86" s="309"/>
    </row>
    <row r="87" spans="1:10" x14ac:dyDescent="0.35">
      <c r="A87" s="10">
        <v>3</v>
      </c>
      <c r="B87" s="322" t="s">
        <v>80</v>
      </c>
      <c r="C87" s="322"/>
      <c r="D87" s="322"/>
      <c r="E87" s="322"/>
      <c r="F87" s="322"/>
      <c r="G87" s="364" t="s">
        <v>45</v>
      </c>
      <c r="H87" s="364"/>
      <c r="I87" s="322" t="s">
        <v>34</v>
      </c>
      <c r="J87" s="322"/>
    </row>
    <row r="88" spans="1:10" x14ac:dyDescent="0.35">
      <c r="A88" s="14" t="s">
        <v>3</v>
      </c>
      <c r="B88" s="359" t="s">
        <v>81</v>
      </c>
      <c r="C88" s="359"/>
      <c r="D88" s="359"/>
      <c r="E88" s="359"/>
      <c r="F88" s="359"/>
      <c r="G88" s="30">
        <v>0.05</v>
      </c>
      <c r="H88" s="24">
        <f>(1/12)*G88</f>
        <v>4.1666666666666666E-3</v>
      </c>
      <c r="I88" s="333">
        <f>G85*H88</f>
        <v>7.7311897619047611</v>
      </c>
      <c r="J88" s="333"/>
    </row>
    <row r="89" spans="1:10" x14ac:dyDescent="0.35">
      <c r="A89" s="14" t="s">
        <v>5</v>
      </c>
      <c r="B89" s="359" t="s">
        <v>82</v>
      </c>
      <c r="C89" s="359"/>
      <c r="D89" s="359"/>
      <c r="E89" s="359"/>
      <c r="F89" s="359"/>
      <c r="G89" s="329">
        <f>H88*0.08</f>
        <v>3.3333333333333332E-4</v>
      </c>
      <c r="H89" s="329"/>
      <c r="I89" s="360">
        <f>G85*G89</f>
        <v>0.61849518095238087</v>
      </c>
      <c r="J89" s="360"/>
    </row>
    <row r="90" spans="1:10" x14ac:dyDescent="0.35">
      <c r="A90" s="14" t="s">
        <v>8</v>
      </c>
      <c r="B90" s="359" t="s">
        <v>203</v>
      </c>
      <c r="C90" s="359"/>
      <c r="D90" s="359"/>
      <c r="E90" s="359"/>
      <c r="F90" s="359"/>
      <c r="G90" s="30">
        <v>0.9</v>
      </c>
      <c r="H90" s="24">
        <f>(1+2/12+(1/3*1/12))*0.08*0.4*G90</f>
        <v>3.4400000000000007E-2</v>
      </c>
      <c r="I90" s="365">
        <f>G85*H90</f>
        <v>63.828702674285722</v>
      </c>
      <c r="J90" s="366"/>
    </row>
    <row r="91" spans="1:10" x14ac:dyDescent="0.35">
      <c r="A91" s="14" t="s">
        <v>10</v>
      </c>
      <c r="B91" s="359" t="s">
        <v>83</v>
      </c>
      <c r="C91" s="359"/>
      <c r="D91" s="359"/>
      <c r="E91" s="359"/>
      <c r="F91" s="359"/>
      <c r="G91" s="329">
        <f>((7/30) + (7/30*0.1))/ 24</f>
        <v>1.0694444444444444E-2</v>
      </c>
      <c r="H91" s="329"/>
      <c r="I91" s="365">
        <f>G85*G91</f>
        <v>19.843387055555553</v>
      </c>
      <c r="J91" s="366"/>
    </row>
    <row r="92" spans="1:10" x14ac:dyDescent="0.35">
      <c r="A92" s="14" t="s">
        <v>56</v>
      </c>
      <c r="B92" s="359" t="s">
        <v>84</v>
      </c>
      <c r="C92" s="359"/>
      <c r="D92" s="359"/>
      <c r="E92" s="359"/>
      <c r="F92" s="359"/>
      <c r="G92" s="329">
        <f>G91*G59</f>
        <v>3.9355555555555559E-3</v>
      </c>
      <c r="H92" s="329"/>
      <c r="I92" s="365">
        <f>G85*G92</f>
        <v>7.3023664364444443</v>
      </c>
      <c r="J92" s="366"/>
    </row>
    <row r="93" spans="1:10" x14ac:dyDescent="0.35">
      <c r="A93" s="14" t="s">
        <v>58</v>
      </c>
      <c r="B93" s="359" t="s">
        <v>204</v>
      </c>
      <c r="C93" s="359"/>
      <c r="D93" s="359"/>
      <c r="E93" s="359"/>
      <c r="F93" s="359"/>
      <c r="G93" s="367">
        <f>G91*0.08*0.4</f>
        <v>3.4222222222222228E-4</v>
      </c>
      <c r="H93" s="367"/>
      <c r="I93" s="368">
        <f>G85*G93</f>
        <v>0.63498838577777783</v>
      </c>
      <c r="J93" s="369"/>
    </row>
    <row r="94" spans="1:10" x14ac:dyDescent="0.35">
      <c r="A94" s="322" t="s">
        <v>39</v>
      </c>
      <c r="B94" s="322"/>
      <c r="C94" s="322"/>
      <c r="D94" s="322"/>
      <c r="E94" s="322"/>
      <c r="F94" s="322"/>
      <c r="G94" s="372">
        <f>SUM(H88,G89,H90,G91,G92,G93)</f>
        <v>5.3872222222222224E-2</v>
      </c>
      <c r="H94" s="372"/>
      <c r="I94" s="345">
        <f>SUM(I88:J93)</f>
        <v>99.959129494920631</v>
      </c>
      <c r="J94" s="345"/>
    </row>
    <row r="95" spans="1:10" x14ac:dyDescent="0.35">
      <c r="A95" s="373"/>
      <c r="B95" s="373"/>
      <c r="C95" s="373"/>
      <c r="D95" s="373"/>
      <c r="E95" s="373"/>
      <c r="F95" s="373"/>
      <c r="G95" s="373"/>
      <c r="H95" s="373"/>
      <c r="I95" s="373"/>
      <c r="J95" s="373"/>
    </row>
    <row r="96" spans="1:10" x14ac:dyDescent="0.35">
      <c r="A96" s="287" t="s">
        <v>85</v>
      </c>
      <c r="B96" s="287"/>
      <c r="C96" s="287"/>
      <c r="D96" s="287"/>
      <c r="E96" s="287"/>
      <c r="F96" s="287"/>
      <c r="G96" s="287"/>
      <c r="H96" s="287"/>
      <c r="I96" s="287"/>
      <c r="J96" s="287"/>
    </row>
    <row r="97" spans="1:10" x14ac:dyDescent="0.35">
      <c r="A97" s="12"/>
      <c r="B97" s="288"/>
      <c r="C97" s="288"/>
      <c r="D97" s="288"/>
      <c r="E97" s="288"/>
      <c r="F97" s="288"/>
      <c r="G97" s="288"/>
      <c r="H97" s="288"/>
      <c r="I97" s="288"/>
      <c r="J97" s="288"/>
    </row>
    <row r="98" spans="1:10" x14ac:dyDescent="0.35">
      <c r="A98" s="326" t="s">
        <v>86</v>
      </c>
      <c r="B98" s="326"/>
      <c r="C98" s="326"/>
      <c r="D98" s="326"/>
      <c r="E98" s="326"/>
      <c r="F98" s="326"/>
      <c r="G98" s="326"/>
      <c r="H98" s="326"/>
      <c r="I98" s="326"/>
      <c r="J98" s="326"/>
    </row>
    <row r="99" spans="1:10" x14ac:dyDescent="0.35">
      <c r="A99" s="361" t="s">
        <v>87</v>
      </c>
      <c r="B99" s="361"/>
      <c r="C99" s="361"/>
      <c r="D99" s="361"/>
      <c r="E99" s="361"/>
      <c r="F99" s="361"/>
      <c r="G99" s="370">
        <f>G35</f>
        <v>1855.4855428571427</v>
      </c>
      <c r="H99" s="371"/>
      <c r="I99" s="371"/>
      <c r="J99" s="371"/>
    </row>
    <row r="100" spans="1:10" x14ac:dyDescent="0.35">
      <c r="A100" s="16"/>
      <c r="B100" s="16"/>
      <c r="C100" s="16"/>
      <c r="D100" s="16"/>
      <c r="E100" s="16"/>
      <c r="F100" s="16"/>
      <c r="G100" s="17"/>
      <c r="H100" s="17"/>
      <c r="I100" s="17"/>
      <c r="J100" s="17"/>
    </row>
    <row r="101" spans="1:10" x14ac:dyDescent="0.35">
      <c r="A101" s="15" t="s">
        <v>88</v>
      </c>
      <c r="B101" s="339" t="s">
        <v>89</v>
      </c>
      <c r="C101" s="339"/>
      <c r="D101" s="339"/>
      <c r="E101" s="339"/>
      <c r="F101" s="339"/>
      <c r="G101" s="322" t="s">
        <v>90</v>
      </c>
      <c r="H101" s="322"/>
      <c r="I101" s="311" t="s">
        <v>34</v>
      </c>
      <c r="J101" s="311"/>
    </row>
    <row r="102" spans="1:10" x14ac:dyDescent="0.35">
      <c r="A102" s="23" t="s">
        <v>3</v>
      </c>
      <c r="B102" s="300" t="s">
        <v>91</v>
      </c>
      <c r="C102" s="300"/>
      <c r="D102" s="300"/>
      <c r="E102" s="300"/>
      <c r="F102" s="300"/>
      <c r="G102" s="329">
        <f>1/12</f>
        <v>8.3333333333333329E-2</v>
      </c>
      <c r="H102" s="329"/>
      <c r="I102" s="321">
        <f>G102*G99</f>
        <v>154.62379523809523</v>
      </c>
      <c r="J102" s="321"/>
    </row>
    <row r="103" spans="1:10" x14ac:dyDescent="0.35">
      <c r="A103" s="14" t="s">
        <v>5</v>
      </c>
      <c r="B103" s="325" t="s">
        <v>92</v>
      </c>
      <c r="C103" s="325"/>
      <c r="D103" s="325"/>
      <c r="E103" s="325"/>
      <c r="F103" s="325"/>
      <c r="G103" s="374">
        <f>(1/30)/12</f>
        <v>2.7777777777777779E-3</v>
      </c>
      <c r="H103" s="374"/>
      <c r="I103" s="321">
        <f>G99*G103</f>
        <v>5.1541265079365077</v>
      </c>
      <c r="J103" s="321"/>
    </row>
    <row r="104" spans="1:10" x14ac:dyDescent="0.35">
      <c r="A104" s="14" t="s">
        <v>8</v>
      </c>
      <c r="B104" s="325" t="s">
        <v>93</v>
      </c>
      <c r="C104" s="325"/>
      <c r="D104" s="325"/>
      <c r="E104" s="325"/>
      <c r="F104" s="325"/>
      <c r="G104" s="374">
        <f>(5/30)/12*0.015</f>
        <v>2.0833333333333332E-4</v>
      </c>
      <c r="H104" s="374"/>
      <c r="I104" s="321">
        <f>G99*G104</f>
        <v>0.38655948809523805</v>
      </c>
      <c r="J104" s="321"/>
    </row>
    <row r="105" spans="1:10" x14ac:dyDescent="0.35">
      <c r="A105" s="14" t="s">
        <v>10</v>
      </c>
      <c r="B105" s="325" t="s">
        <v>94</v>
      </c>
      <c r="C105" s="325"/>
      <c r="D105" s="325"/>
      <c r="E105" s="325"/>
      <c r="F105" s="325"/>
      <c r="G105" s="374">
        <f>1/12*0.0078</f>
        <v>6.4999999999999997E-4</v>
      </c>
      <c r="H105" s="374"/>
      <c r="I105" s="321">
        <f>G99*G105</f>
        <v>1.2060656028571428</v>
      </c>
      <c r="J105" s="321"/>
    </row>
    <row r="106" spans="1:10" x14ac:dyDescent="0.35">
      <c r="A106" s="14" t="s">
        <v>56</v>
      </c>
      <c r="B106" s="325" t="s">
        <v>95</v>
      </c>
      <c r="C106" s="325"/>
      <c r="D106" s="325"/>
      <c r="E106" s="325"/>
      <c r="F106" s="325"/>
      <c r="G106" s="374">
        <f>((1/12)+(1/3*1/12))*0.02607*6/12</f>
        <v>1.4483333333333334E-3</v>
      </c>
      <c r="H106" s="374"/>
      <c r="I106" s="321">
        <f>G99*G106</f>
        <v>2.6873615612380952</v>
      </c>
      <c r="J106" s="321"/>
    </row>
    <row r="107" spans="1:10" x14ac:dyDescent="0.35">
      <c r="A107" s="14" t="s">
        <v>58</v>
      </c>
      <c r="B107" s="325" t="s">
        <v>96</v>
      </c>
      <c r="C107" s="325"/>
      <c r="D107" s="325"/>
      <c r="E107" s="325"/>
      <c r="F107" s="325"/>
      <c r="G107" s="374">
        <f>(5/30/12)</f>
        <v>1.3888888888888888E-2</v>
      </c>
      <c r="H107" s="374"/>
      <c r="I107" s="321">
        <f>G99*G107</f>
        <v>25.770632539682538</v>
      </c>
      <c r="J107" s="321"/>
    </row>
    <row r="108" spans="1:10" x14ac:dyDescent="0.35">
      <c r="A108" s="375" t="s">
        <v>97</v>
      </c>
      <c r="B108" s="375"/>
      <c r="C108" s="375"/>
      <c r="D108" s="375"/>
      <c r="E108" s="375"/>
      <c r="F108" s="375"/>
      <c r="G108" s="376">
        <f>SUM(G102:H107)</f>
        <v>0.10230666666666666</v>
      </c>
      <c r="H108" s="376"/>
      <c r="I108" s="377">
        <f>SUM(I102:J107)</f>
        <v>189.82854093790473</v>
      </c>
      <c r="J108" s="377"/>
    </row>
    <row r="109" spans="1:10" x14ac:dyDescent="0.35">
      <c r="A109" s="26" t="s">
        <v>60</v>
      </c>
      <c r="B109" s="378" t="s">
        <v>98</v>
      </c>
      <c r="C109" s="378"/>
      <c r="D109" s="378"/>
      <c r="E109" s="378"/>
      <c r="F109" s="379"/>
      <c r="G109" s="380">
        <f>(G108-G106)*(2/12+(1/3*1/12))</f>
        <v>1.961134259259259E-2</v>
      </c>
      <c r="H109" s="379"/>
      <c r="I109" s="381">
        <f>G99*G109</f>
        <v>36.388562656574067</v>
      </c>
      <c r="J109" s="382"/>
    </row>
    <row r="110" spans="1:10" x14ac:dyDescent="0.35">
      <c r="A110" s="388" t="s">
        <v>99</v>
      </c>
      <c r="B110" s="389"/>
      <c r="C110" s="389"/>
      <c r="D110" s="389"/>
      <c r="E110" s="389"/>
      <c r="F110" s="390"/>
      <c r="G110" s="391">
        <f>SUM(G108:H109)</f>
        <v>0.12191800925925925</v>
      </c>
      <c r="H110" s="392"/>
      <c r="I110" s="393">
        <f>SUM(I108:J109)</f>
        <v>226.2171035944788</v>
      </c>
      <c r="J110" s="394"/>
    </row>
    <row r="111" spans="1:10" x14ac:dyDescent="0.35">
      <c r="A111" s="26" t="s">
        <v>62</v>
      </c>
      <c r="B111" s="395" t="s">
        <v>100</v>
      </c>
      <c r="C111" s="395"/>
      <c r="D111" s="395"/>
      <c r="E111" s="395"/>
      <c r="F111" s="396"/>
      <c r="G111" s="380">
        <f>G110*G59</f>
        <v>4.486582740740741E-2</v>
      </c>
      <c r="H111" s="397"/>
      <c r="I111" s="381">
        <f>G99*G111</f>
        <v>83.247894122768216</v>
      </c>
      <c r="J111" s="382"/>
    </row>
    <row r="112" spans="1:10" x14ac:dyDescent="0.35">
      <c r="A112" s="383" t="s">
        <v>39</v>
      </c>
      <c r="B112" s="378"/>
      <c r="C112" s="378"/>
      <c r="D112" s="378"/>
      <c r="E112" s="378"/>
      <c r="F112" s="379"/>
      <c r="G112" s="384">
        <f>SUM(G110:H111)</f>
        <v>0.16678383666666666</v>
      </c>
      <c r="H112" s="385"/>
      <c r="I112" s="386">
        <f>G99*G112</f>
        <v>309.464997717247</v>
      </c>
      <c r="J112" s="387"/>
    </row>
    <row r="113" spans="1:10" x14ac:dyDescent="0.35">
      <c r="A113" s="12"/>
      <c r="B113" s="309"/>
      <c r="C113" s="309"/>
      <c r="D113" s="309"/>
      <c r="E113" s="309"/>
      <c r="F113" s="309"/>
      <c r="G113" s="309"/>
      <c r="H113" s="309"/>
      <c r="I113" s="309"/>
      <c r="J113" s="309"/>
    </row>
    <row r="114" spans="1:10" x14ac:dyDescent="0.35">
      <c r="A114" s="400" t="s">
        <v>101</v>
      </c>
      <c r="B114" s="400"/>
      <c r="C114" s="400"/>
      <c r="D114" s="400"/>
      <c r="E114" s="400"/>
      <c r="F114" s="400"/>
      <c r="G114" s="400"/>
      <c r="H114" s="400"/>
      <c r="I114" s="400"/>
      <c r="J114" s="400"/>
    </row>
    <row r="115" spans="1:10" x14ac:dyDescent="0.35">
      <c r="A115" s="401"/>
      <c r="B115" s="401"/>
      <c r="C115" s="401"/>
      <c r="D115" s="401"/>
      <c r="E115" s="401"/>
      <c r="F115" s="401"/>
      <c r="G115" s="402"/>
      <c r="H115" s="402"/>
      <c r="I115" s="402"/>
      <c r="J115" s="402"/>
    </row>
    <row r="116" spans="1:10" x14ac:dyDescent="0.35">
      <c r="A116" s="67" t="s">
        <v>102</v>
      </c>
      <c r="B116" s="311" t="s">
        <v>103</v>
      </c>
      <c r="C116" s="311"/>
      <c r="D116" s="311"/>
      <c r="E116" s="311"/>
      <c r="F116" s="311"/>
      <c r="G116" s="311" t="s">
        <v>34</v>
      </c>
      <c r="H116" s="311"/>
      <c r="I116" s="311"/>
      <c r="J116" s="311"/>
    </row>
    <row r="117" spans="1:10" x14ac:dyDescent="0.35">
      <c r="A117" s="66" t="s">
        <v>3</v>
      </c>
      <c r="B117" s="300" t="s">
        <v>104</v>
      </c>
      <c r="C117" s="300"/>
      <c r="D117" s="300"/>
      <c r="E117" s="300"/>
      <c r="F117" s="300"/>
      <c r="G117" s="333">
        <v>0</v>
      </c>
      <c r="H117" s="333"/>
      <c r="I117" s="333"/>
      <c r="J117" s="333"/>
    </row>
    <row r="118" spans="1:10" x14ac:dyDescent="0.35">
      <c r="A118" s="311" t="s">
        <v>39</v>
      </c>
      <c r="B118" s="311"/>
      <c r="C118" s="311"/>
      <c r="D118" s="311"/>
      <c r="E118" s="311"/>
      <c r="F118" s="311"/>
      <c r="G118" s="345">
        <f>SUM(G117)</f>
        <v>0</v>
      </c>
      <c r="H118" s="345"/>
      <c r="I118" s="345"/>
      <c r="J118" s="345"/>
    </row>
    <row r="119" spans="1:10" x14ac:dyDescent="0.35">
      <c r="A119" s="88"/>
      <c r="B119" s="398"/>
      <c r="C119" s="398"/>
      <c r="D119" s="398"/>
      <c r="E119" s="398"/>
      <c r="F119" s="398"/>
      <c r="G119" s="398"/>
      <c r="H119" s="398"/>
      <c r="I119" s="398"/>
      <c r="J119" s="398"/>
    </row>
    <row r="120" spans="1:10" x14ac:dyDescent="0.35">
      <c r="A120" s="399" t="s">
        <v>105</v>
      </c>
      <c r="B120" s="399"/>
      <c r="C120" s="399"/>
      <c r="D120" s="399"/>
      <c r="E120" s="399"/>
      <c r="F120" s="399"/>
      <c r="G120" s="399"/>
      <c r="H120" s="399"/>
      <c r="I120" s="399"/>
      <c r="J120" s="399"/>
    </row>
    <row r="121" spans="1:10" x14ac:dyDescent="0.35">
      <c r="A121" s="88"/>
      <c r="B121" s="404"/>
      <c r="C121" s="404"/>
      <c r="D121" s="404"/>
      <c r="E121" s="404"/>
      <c r="F121" s="404"/>
      <c r="G121" s="405"/>
      <c r="H121" s="405"/>
      <c r="I121" s="405"/>
      <c r="J121" s="405"/>
    </row>
    <row r="122" spans="1:10" x14ac:dyDescent="0.35">
      <c r="A122" s="67">
        <v>4</v>
      </c>
      <c r="B122" s="311" t="s">
        <v>106</v>
      </c>
      <c r="C122" s="311"/>
      <c r="D122" s="311"/>
      <c r="E122" s="311"/>
      <c r="F122" s="311"/>
      <c r="G122" s="311" t="s">
        <v>34</v>
      </c>
      <c r="H122" s="311"/>
      <c r="I122" s="311"/>
      <c r="J122" s="311"/>
    </row>
    <row r="123" spans="1:10" x14ac:dyDescent="0.35">
      <c r="A123" s="66" t="s">
        <v>88</v>
      </c>
      <c r="B123" s="300" t="s">
        <v>107</v>
      </c>
      <c r="C123" s="300"/>
      <c r="D123" s="300"/>
      <c r="E123" s="300"/>
      <c r="F123" s="300"/>
      <c r="G123" s="321">
        <f>I112</f>
        <v>309.464997717247</v>
      </c>
      <c r="H123" s="321"/>
      <c r="I123" s="321"/>
      <c r="J123" s="321"/>
    </row>
    <row r="124" spans="1:10" x14ac:dyDescent="0.35">
      <c r="A124" s="66" t="s">
        <v>102</v>
      </c>
      <c r="B124" s="403" t="s">
        <v>108</v>
      </c>
      <c r="C124" s="403"/>
      <c r="D124" s="403"/>
      <c r="E124" s="403"/>
      <c r="F124" s="403"/>
      <c r="G124" s="321">
        <f>G118</f>
        <v>0</v>
      </c>
      <c r="H124" s="321"/>
      <c r="I124" s="321"/>
      <c r="J124" s="321"/>
    </row>
    <row r="125" spans="1:10" x14ac:dyDescent="0.35">
      <c r="A125" s="311" t="s">
        <v>39</v>
      </c>
      <c r="B125" s="311"/>
      <c r="C125" s="311"/>
      <c r="D125" s="311"/>
      <c r="E125" s="311"/>
      <c r="F125" s="311"/>
      <c r="G125" s="323">
        <f>SUM(G123:J124)</f>
        <v>309.464997717247</v>
      </c>
      <c r="H125" s="323"/>
      <c r="I125" s="323"/>
      <c r="J125" s="323"/>
    </row>
    <row r="126" spans="1:10" x14ac:dyDescent="0.35">
      <c r="A126" s="88"/>
      <c r="B126" s="404"/>
      <c r="C126" s="404"/>
      <c r="D126" s="404"/>
      <c r="E126" s="404"/>
      <c r="F126" s="404"/>
      <c r="G126" s="404"/>
      <c r="H126" s="404"/>
      <c r="I126" s="404"/>
      <c r="J126" s="404"/>
    </row>
    <row r="127" spans="1:10" x14ac:dyDescent="0.35">
      <c r="A127" s="88"/>
      <c r="B127" s="398"/>
      <c r="C127" s="398"/>
      <c r="D127" s="398"/>
      <c r="E127" s="398"/>
      <c r="F127" s="398"/>
      <c r="G127" s="398"/>
      <c r="H127" s="398"/>
      <c r="I127" s="398"/>
      <c r="J127" s="398"/>
    </row>
    <row r="128" spans="1:10" x14ac:dyDescent="0.35">
      <c r="A128" s="407" t="s">
        <v>109</v>
      </c>
      <c r="B128" s="407"/>
      <c r="C128" s="407"/>
      <c r="D128" s="407"/>
      <c r="E128" s="407"/>
      <c r="F128" s="407"/>
      <c r="G128" s="407"/>
      <c r="H128" s="407"/>
      <c r="I128" s="407"/>
      <c r="J128" s="407"/>
    </row>
    <row r="129" spans="1:10" x14ac:dyDescent="0.35">
      <c r="A129" s="89"/>
      <c r="B129" s="408"/>
      <c r="C129" s="408"/>
      <c r="D129" s="408"/>
      <c r="E129" s="408"/>
      <c r="F129" s="408"/>
      <c r="G129" s="408"/>
      <c r="H129" s="408"/>
      <c r="I129" s="408"/>
      <c r="J129" s="408"/>
    </row>
    <row r="130" spans="1:10" x14ac:dyDescent="0.35">
      <c r="A130" s="68">
        <v>5</v>
      </c>
      <c r="B130" s="406" t="s">
        <v>110</v>
      </c>
      <c r="C130" s="406"/>
      <c r="D130" s="406"/>
      <c r="E130" s="406"/>
      <c r="F130" s="406"/>
      <c r="G130" s="347" t="s">
        <v>34</v>
      </c>
      <c r="H130" s="347"/>
      <c r="I130" s="347"/>
      <c r="J130" s="347"/>
    </row>
    <row r="131" spans="1:10" x14ac:dyDescent="0.35">
      <c r="A131" s="22" t="s">
        <v>3</v>
      </c>
      <c r="B131" s="346" t="s">
        <v>111</v>
      </c>
      <c r="C131" s="346"/>
      <c r="D131" s="346"/>
      <c r="E131" s="346"/>
      <c r="F131" s="346"/>
      <c r="G131" s="352">
        <f>Uniformes!F24</f>
        <v>41.54076666666667</v>
      </c>
      <c r="H131" s="352"/>
      <c r="I131" s="352"/>
      <c r="J131" s="352"/>
    </row>
    <row r="132" spans="1:10" x14ac:dyDescent="0.35">
      <c r="A132" s="22" t="s">
        <v>5</v>
      </c>
      <c r="B132" s="284" t="s">
        <v>202</v>
      </c>
      <c r="C132" s="285"/>
      <c r="D132" s="285"/>
      <c r="E132" s="285"/>
      <c r="F132" s="286"/>
      <c r="G132" s="281">
        <f>Equipamentos!F88</f>
        <v>17.875596264705891</v>
      </c>
      <c r="H132" s="282"/>
      <c r="I132" s="282"/>
      <c r="J132" s="283"/>
    </row>
    <row r="133" spans="1:10" x14ac:dyDescent="0.35">
      <c r="A133" s="347" t="s">
        <v>64</v>
      </c>
      <c r="B133" s="347"/>
      <c r="C133" s="347"/>
      <c r="D133" s="347"/>
      <c r="E133" s="347"/>
      <c r="F133" s="347"/>
      <c r="G133" s="413">
        <f>SUM(G131:J132)</f>
        <v>59.416362931372561</v>
      </c>
      <c r="H133" s="413"/>
      <c r="I133" s="413"/>
      <c r="J133" s="413"/>
    </row>
    <row r="134" spans="1:10" x14ac:dyDescent="0.35">
      <c r="A134" s="90"/>
      <c r="B134" s="414"/>
      <c r="C134" s="414"/>
      <c r="D134" s="414"/>
      <c r="E134" s="414"/>
      <c r="F134" s="414"/>
      <c r="G134" s="414"/>
      <c r="H134" s="414"/>
      <c r="I134" s="414"/>
      <c r="J134" s="414"/>
    </row>
    <row r="135" spans="1:10" x14ac:dyDescent="0.35">
      <c r="A135" s="407" t="s">
        <v>112</v>
      </c>
      <c r="B135" s="407"/>
      <c r="C135" s="407"/>
      <c r="D135" s="407"/>
      <c r="E135" s="407"/>
      <c r="F135" s="407"/>
      <c r="G135" s="407"/>
      <c r="H135" s="407"/>
      <c r="I135" s="407"/>
      <c r="J135" s="407"/>
    </row>
    <row r="136" spans="1:10" x14ac:dyDescent="0.35">
      <c r="A136" s="409" t="s">
        <v>113</v>
      </c>
      <c r="B136" s="409"/>
      <c r="C136" s="409"/>
      <c r="D136" s="409"/>
      <c r="E136" s="409"/>
      <c r="F136" s="409"/>
      <c r="G136" s="410">
        <f>G35+G81+I94+G125+G133</f>
        <v>3959.5784133909078</v>
      </c>
      <c r="H136" s="411"/>
      <c r="I136" s="411"/>
      <c r="J136" s="411"/>
    </row>
    <row r="137" spans="1:10" x14ac:dyDescent="0.35">
      <c r="A137" s="409" t="s">
        <v>114</v>
      </c>
      <c r="B137" s="409"/>
      <c r="C137" s="409"/>
      <c r="D137" s="409"/>
      <c r="E137" s="409"/>
      <c r="F137" s="409"/>
      <c r="G137" s="410">
        <f>G136+I140</f>
        <v>4067.6749040764798</v>
      </c>
      <c r="H137" s="411"/>
      <c r="I137" s="411"/>
      <c r="J137" s="411"/>
    </row>
    <row r="138" spans="1:10" x14ac:dyDescent="0.35">
      <c r="A138" s="409" t="s">
        <v>115</v>
      </c>
      <c r="B138" s="409"/>
      <c r="C138" s="409"/>
      <c r="D138" s="409"/>
      <c r="E138" s="409"/>
      <c r="F138" s="409"/>
      <c r="G138" s="412">
        <f>(G137+I141)/(1-G142)</f>
        <v>4872.1969609060679</v>
      </c>
      <c r="H138" s="412"/>
      <c r="I138" s="412"/>
      <c r="J138" s="412"/>
    </row>
    <row r="139" spans="1:10" x14ac:dyDescent="0.35">
      <c r="A139" s="21">
        <v>6</v>
      </c>
      <c r="B139" s="406" t="s">
        <v>116</v>
      </c>
      <c r="C139" s="406"/>
      <c r="D139" s="406"/>
      <c r="E139" s="406"/>
      <c r="F139" s="406"/>
      <c r="G139" s="420" t="s">
        <v>45</v>
      </c>
      <c r="H139" s="420"/>
      <c r="I139" s="420" t="s">
        <v>34</v>
      </c>
      <c r="J139" s="420"/>
    </row>
    <row r="140" spans="1:10" x14ac:dyDescent="0.35">
      <c r="A140" s="22" t="s">
        <v>3</v>
      </c>
      <c r="B140" s="346" t="s">
        <v>117</v>
      </c>
      <c r="C140" s="346"/>
      <c r="D140" s="346"/>
      <c r="E140" s="346"/>
      <c r="F140" s="346"/>
      <c r="G140" s="415">
        <v>2.7300000000000001E-2</v>
      </c>
      <c r="H140" s="415"/>
      <c r="I140" s="416">
        <f>G136*G140</f>
        <v>108.09649068557179</v>
      </c>
      <c r="J140" s="346"/>
    </row>
    <row r="141" spans="1:10" x14ac:dyDescent="0.35">
      <c r="A141" s="22" t="s">
        <v>5</v>
      </c>
      <c r="B141" s="346" t="s">
        <v>118</v>
      </c>
      <c r="C141" s="346"/>
      <c r="D141" s="346"/>
      <c r="E141" s="346"/>
      <c r="F141" s="346"/>
      <c r="G141" s="415">
        <v>2.7099999999999999E-2</v>
      </c>
      <c r="H141" s="415"/>
      <c r="I141" s="416">
        <f>G137*G141</f>
        <v>110.23398990047259</v>
      </c>
      <c r="J141" s="346"/>
    </row>
    <row r="142" spans="1:10" x14ac:dyDescent="0.35">
      <c r="A142" s="22" t="s">
        <v>8</v>
      </c>
      <c r="B142" s="346" t="s">
        <v>119</v>
      </c>
      <c r="C142" s="346"/>
      <c r="D142" s="346"/>
      <c r="E142" s="346"/>
      <c r="F142" s="346"/>
      <c r="G142" s="417">
        <f>SUM(G143:H145)</f>
        <v>0.14250000000000002</v>
      </c>
      <c r="H142" s="417"/>
      <c r="I142" s="418">
        <f>G138*G142</f>
        <v>694.28806692911473</v>
      </c>
      <c r="J142" s="419"/>
    </row>
    <row r="143" spans="1:10" x14ac:dyDescent="0.35">
      <c r="A143" s="27" t="s">
        <v>120</v>
      </c>
      <c r="B143" s="421" t="s">
        <v>121</v>
      </c>
      <c r="C143" s="421"/>
      <c r="D143" s="421"/>
      <c r="E143" s="421"/>
      <c r="F143" s="421"/>
      <c r="G143" s="422">
        <f>'Item 1.1 (Encarregado)'!G142:H142</f>
        <v>7.5999999999999998E-2</v>
      </c>
      <c r="H143" s="422"/>
      <c r="I143" s="423">
        <f>G138*G143</f>
        <v>370.28696902886117</v>
      </c>
      <c r="J143" s="421"/>
    </row>
    <row r="144" spans="1:10" x14ac:dyDescent="0.35">
      <c r="A144" s="27" t="s">
        <v>122</v>
      </c>
      <c r="B144" s="421" t="s">
        <v>123</v>
      </c>
      <c r="C144" s="421"/>
      <c r="D144" s="421"/>
      <c r="E144" s="421"/>
      <c r="F144" s="421"/>
      <c r="G144" s="422">
        <f>'Item 1.1 (Encarregado)'!G143:H143</f>
        <v>1.6500000000000001E-2</v>
      </c>
      <c r="H144" s="422"/>
      <c r="I144" s="423">
        <f>G138*G144</f>
        <v>80.391249854950118</v>
      </c>
      <c r="J144" s="421"/>
    </row>
    <row r="145" spans="1:13" x14ac:dyDescent="0.35">
      <c r="A145" s="27" t="s">
        <v>124</v>
      </c>
      <c r="B145" s="421" t="s">
        <v>125</v>
      </c>
      <c r="C145" s="421"/>
      <c r="D145" s="421"/>
      <c r="E145" s="421"/>
      <c r="F145" s="421"/>
      <c r="G145" s="422">
        <v>0.05</v>
      </c>
      <c r="H145" s="422"/>
      <c r="I145" s="423">
        <f>G138*G145</f>
        <v>243.60984804530341</v>
      </c>
      <c r="J145" s="421"/>
    </row>
    <row r="146" spans="1:13" x14ac:dyDescent="0.35">
      <c r="A146" s="347" t="s">
        <v>64</v>
      </c>
      <c r="B146" s="347"/>
      <c r="C146" s="347"/>
      <c r="D146" s="347"/>
      <c r="E146" s="347"/>
      <c r="F146" s="347"/>
      <c r="G146" s="424"/>
      <c r="H146" s="424"/>
      <c r="I146" s="416">
        <f>SUM(I140:J142)</f>
        <v>912.61854751515909</v>
      </c>
      <c r="J146" s="346"/>
    </row>
    <row r="147" spans="1:13" x14ac:dyDescent="0.35">
      <c r="A147" s="19"/>
      <c r="B147" s="426"/>
      <c r="C147" s="426"/>
      <c r="D147" s="426"/>
      <c r="E147" s="426"/>
      <c r="F147" s="426"/>
      <c r="G147" s="426"/>
      <c r="H147" s="426"/>
      <c r="I147" s="426"/>
      <c r="J147" s="426"/>
    </row>
    <row r="148" spans="1:13" x14ac:dyDescent="0.35">
      <c r="A148" s="427" t="s">
        <v>126</v>
      </c>
      <c r="B148" s="427"/>
      <c r="C148" s="427"/>
      <c r="D148" s="427"/>
      <c r="E148" s="427"/>
      <c r="F148" s="427"/>
      <c r="G148" s="427"/>
      <c r="H148" s="427"/>
      <c r="I148" s="427"/>
      <c r="J148" s="427"/>
    </row>
    <row r="149" spans="1:13" x14ac:dyDescent="0.35">
      <c r="A149" s="18"/>
      <c r="B149" s="428"/>
      <c r="C149" s="428"/>
      <c r="D149" s="428"/>
      <c r="E149" s="428"/>
      <c r="F149" s="428"/>
      <c r="G149" s="428"/>
      <c r="H149" s="428"/>
      <c r="I149" s="428"/>
      <c r="J149" s="428"/>
    </row>
    <row r="150" spans="1:13" x14ac:dyDescent="0.35">
      <c r="A150" s="21"/>
      <c r="B150" s="347" t="s">
        <v>127</v>
      </c>
      <c r="C150" s="347"/>
      <c r="D150" s="347"/>
      <c r="E150" s="347"/>
      <c r="F150" s="347"/>
      <c r="G150" s="347" t="s">
        <v>34</v>
      </c>
      <c r="H150" s="347"/>
      <c r="I150" s="347"/>
      <c r="J150" s="347"/>
    </row>
    <row r="151" spans="1:13" x14ac:dyDescent="0.35">
      <c r="A151" s="21" t="s">
        <v>3</v>
      </c>
      <c r="B151" s="346" t="s">
        <v>32</v>
      </c>
      <c r="C151" s="346"/>
      <c r="D151" s="346"/>
      <c r="E151" s="346"/>
      <c r="F151" s="346"/>
      <c r="G151" s="352">
        <f>G35</f>
        <v>1855.4855428571427</v>
      </c>
      <c r="H151" s="352"/>
      <c r="I151" s="352"/>
      <c r="J151" s="352"/>
    </row>
    <row r="152" spans="1:13" x14ac:dyDescent="0.35">
      <c r="A152" s="21" t="s">
        <v>5</v>
      </c>
      <c r="B152" s="346" t="s">
        <v>40</v>
      </c>
      <c r="C152" s="346"/>
      <c r="D152" s="346"/>
      <c r="E152" s="346"/>
      <c r="F152" s="346"/>
      <c r="G152" s="352">
        <f>G81</f>
        <v>1635.2523803902247</v>
      </c>
      <c r="H152" s="352"/>
      <c r="I152" s="352"/>
      <c r="J152" s="352"/>
    </row>
    <row r="153" spans="1:13" x14ac:dyDescent="0.35">
      <c r="A153" s="21" t="s">
        <v>8</v>
      </c>
      <c r="B153" s="346" t="s">
        <v>78</v>
      </c>
      <c r="C153" s="346"/>
      <c r="D153" s="346"/>
      <c r="E153" s="346"/>
      <c r="F153" s="346"/>
      <c r="G153" s="352">
        <f>I94</f>
        <v>99.959129494920631</v>
      </c>
      <c r="H153" s="352"/>
      <c r="I153" s="352"/>
      <c r="J153" s="352"/>
    </row>
    <row r="154" spans="1:13" x14ac:dyDescent="0.35">
      <c r="A154" s="21" t="s">
        <v>10</v>
      </c>
      <c r="B154" s="346" t="s">
        <v>85</v>
      </c>
      <c r="C154" s="346"/>
      <c r="D154" s="346"/>
      <c r="E154" s="346"/>
      <c r="F154" s="346"/>
      <c r="G154" s="352">
        <f>G125</f>
        <v>309.464997717247</v>
      </c>
      <c r="H154" s="352"/>
      <c r="I154" s="352"/>
      <c r="J154" s="352"/>
    </row>
    <row r="155" spans="1:13" x14ac:dyDescent="0.35">
      <c r="A155" s="21" t="s">
        <v>56</v>
      </c>
      <c r="B155" s="346" t="s">
        <v>109</v>
      </c>
      <c r="C155" s="346"/>
      <c r="D155" s="346"/>
      <c r="E155" s="346"/>
      <c r="F155" s="346"/>
      <c r="G155" s="352">
        <f>G133</f>
        <v>59.416362931372561</v>
      </c>
      <c r="H155" s="352"/>
      <c r="I155" s="352"/>
      <c r="J155" s="352"/>
    </row>
    <row r="156" spans="1:13" x14ac:dyDescent="0.35">
      <c r="A156" s="347" t="s">
        <v>128</v>
      </c>
      <c r="B156" s="347"/>
      <c r="C156" s="347"/>
      <c r="D156" s="347"/>
      <c r="E156" s="347"/>
      <c r="F156" s="347"/>
      <c r="G156" s="413">
        <f>SUM(G151:J155)</f>
        <v>3959.5784133909078</v>
      </c>
      <c r="H156" s="413"/>
      <c r="I156" s="413"/>
      <c r="J156" s="413"/>
    </row>
    <row r="157" spans="1:13" x14ac:dyDescent="0.35">
      <c r="A157" s="21" t="s">
        <v>58</v>
      </c>
      <c r="B157" s="346" t="s">
        <v>129</v>
      </c>
      <c r="C157" s="346"/>
      <c r="D157" s="346"/>
      <c r="E157" s="346"/>
      <c r="F157" s="346"/>
      <c r="G157" s="352">
        <f>I146</f>
        <v>912.61854751515909</v>
      </c>
      <c r="H157" s="352"/>
      <c r="I157" s="352"/>
      <c r="J157" s="352"/>
    </row>
    <row r="158" spans="1:13" x14ac:dyDescent="0.35">
      <c r="A158" s="347" t="s">
        <v>130</v>
      </c>
      <c r="B158" s="347"/>
      <c r="C158" s="347"/>
      <c r="D158" s="347"/>
      <c r="E158" s="347"/>
      <c r="F158" s="347"/>
      <c r="G158" s="413">
        <f>SUM(G156:J157)</f>
        <v>4872.196960906067</v>
      </c>
      <c r="H158" s="413"/>
      <c r="I158" s="413"/>
      <c r="J158" s="413"/>
      <c r="M158" s="177"/>
    </row>
    <row r="159" spans="1:13" x14ac:dyDescent="0.35">
      <c r="A159" s="347" t="s">
        <v>131</v>
      </c>
      <c r="B159" s="347"/>
      <c r="C159" s="347"/>
      <c r="D159" s="347"/>
      <c r="E159" s="347"/>
      <c r="F159" s="347"/>
      <c r="G159" s="436">
        <v>14</v>
      </c>
      <c r="H159" s="436"/>
      <c r="I159" s="436"/>
      <c r="J159" s="436"/>
    </row>
    <row r="160" spans="1:13" x14ac:dyDescent="0.35">
      <c r="A160" s="11"/>
      <c r="B160" s="11"/>
      <c r="C160" s="11"/>
      <c r="D160" s="11"/>
      <c r="E160" s="11"/>
      <c r="F160" s="11"/>
      <c r="G160" s="11"/>
      <c r="H160" s="11"/>
      <c r="I160" s="11"/>
      <c r="J160" s="11"/>
    </row>
    <row r="161" spans="1:10" x14ac:dyDescent="0.35">
      <c r="A161" s="434" t="s">
        <v>132</v>
      </c>
      <c r="B161" s="434"/>
      <c r="C161" s="434"/>
      <c r="D161" s="434"/>
      <c r="E161" s="434"/>
      <c r="F161" s="434"/>
      <c r="G161" s="434"/>
      <c r="H161" s="434"/>
      <c r="I161" s="434"/>
      <c r="J161" s="434"/>
    </row>
    <row r="162" spans="1:10" x14ac:dyDescent="0.35">
      <c r="A162" s="429" t="s">
        <v>133</v>
      </c>
      <c r="B162" s="429"/>
      <c r="C162" s="429" t="s">
        <v>208</v>
      </c>
      <c r="D162" s="429"/>
      <c r="E162" s="429"/>
      <c r="F162" s="429"/>
      <c r="G162" s="429" t="s">
        <v>134</v>
      </c>
      <c r="H162" s="429"/>
      <c r="I162" s="429" t="s">
        <v>135</v>
      </c>
      <c r="J162" s="429"/>
    </row>
    <row r="163" spans="1:10" x14ac:dyDescent="0.35">
      <c r="A163" s="435">
        <f>G159</f>
        <v>14</v>
      </c>
      <c r="B163" s="429"/>
      <c r="C163" s="430">
        <f>1/(F17/A163)</f>
        <v>8.8335042195756771E-4</v>
      </c>
      <c r="D163" s="430"/>
      <c r="E163" s="430"/>
      <c r="F163" s="430"/>
      <c r="G163" s="431">
        <f>G158</f>
        <v>4872.196960906067</v>
      </c>
      <c r="H163" s="429"/>
      <c r="I163" s="432">
        <f>G163*C163</f>
        <v>4.3038572412767531</v>
      </c>
      <c r="J163" s="432"/>
    </row>
    <row r="166" spans="1:10" x14ac:dyDescent="0.35">
      <c r="H166" s="29"/>
    </row>
    <row r="167" spans="1:10" x14ac:dyDescent="0.35">
      <c r="H167" s="29"/>
      <c r="J167" s="76"/>
    </row>
  </sheetData>
  <sheetProtection algorithmName="SHA-512" hashValue="1a7Oc90L/UmewvLmc15qH2vQz6MqEd8EC0y6s3Ox6N+KhEYGQ+Wk7YvtkmGkNAj4ON3GWlCyCKi2S/5CiXs3jg==" saltValue="g1/smm35HUKJco0KJ+572w==" spinCount="100000" sheet="1" objects="1" scenarios="1"/>
  <mergeCells count="355">
    <mergeCell ref="A5:J5"/>
    <mergeCell ref="A6:J6"/>
    <mergeCell ref="A7:J7"/>
    <mergeCell ref="A8:J8"/>
    <mergeCell ref="B9:F9"/>
    <mergeCell ref="G9:J9"/>
    <mergeCell ref="A1:J1"/>
    <mergeCell ref="A2:J2"/>
    <mergeCell ref="B3:F3"/>
    <mergeCell ref="G3:H3"/>
    <mergeCell ref="I3:J3"/>
    <mergeCell ref="A4:J4"/>
    <mergeCell ref="A13:J13"/>
    <mergeCell ref="A14:J14"/>
    <mergeCell ref="A15:J15"/>
    <mergeCell ref="A16:C16"/>
    <mergeCell ref="D16:E16"/>
    <mergeCell ref="F16:J16"/>
    <mergeCell ref="B10:F10"/>
    <mergeCell ref="G10:J10"/>
    <mergeCell ref="B11:F11"/>
    <mergeCell ref="G11:J11"/>
    <mergeCell ref="B12:F12"/>
    <mergeCell ref="G12:J12"/>
    <mergeCell ref="B21:F21"/>
    <mergeCell ref="G21:J21"/>
    <mergeCell ref="B22:F22"/>
    <mergeCell ref="G22:J22"/>
    <mergeCell ref="B23:F23"/>
    <mergeCell ref="G23:J23"/>
    <mergeCell ref="A17:C17"/>
    <mergeCell ref="D17:E17"/>
    <mergeCell ref="F17:J17"/>
    <mergeCell ref="A18:J18"/>
    <mergeCell ref="A19:J19"/>
    <mergeCell ref="B20:F20"/>
    <mergeCell ref="G20:H20"/>
    <mergeCell ref="I20:J20"/>
    <mergeCell ref="B29:F29"/>
    <mergeCell ref="G29:J29"/>
    <mergeCell ref="B30:F30"/>
    <mergeCell ref="G30:J30"/>
    <mergeCell ref="B31:F31"/>
    <mergeCell ref="G31:J31"/>
    <mergeCell ref="B24:F24"/>
    <mergeCell ref="G24:J24"/>
    <mergeCell ref="B25:F25"/>
    <mergeCell ref="G25:J25"/>
    <mergeCell ref="A26:J26"/>
    <mergeCell ref="A27:J27"/>
    <mergeCell ref="B36:F36"/>
    <mergeCell ref="G36:H36"/>
    <mergeCell ref="I36:J36"/>
    <mergeCell ref="A37:J37"/>
    <mergeCell ref="B38:F38"/>
    <mergeCell ref="G38:H38"/>
    <mergeCell ref="I38:J38"/>
    <mergeCell ref="B32:F32"/>
    <mergeCell ref="G32:J32"/>
    <mergeCell ref="B34:F34"/>
    <mergeCell ref="G34:J34"/>
    <mergeCell ref="A35:F35"/>
    <mergeCell ref="G35:J35"/>
    <mergeCell ref="B33:F33"/>
    <mergeCell ref="G33:J33"/>
    <mergeCell ref="B42:F42"/>
    <mergeCell ref="G42:H42"/>
    <mergeCell ref="I42:J42"/>
    <mergeCell ref="B43:F43"/>
    <mergeCell ref="G43:H43"/>
    <mergeCell ref="I43:J43"/>
    <mergeCell ref="A39:J39"/>
    <mergeCell ref="A40:F40"/>
    <mergeCell ref="G40:J40"/>
    <mergeCell ref="B41:F41"/>
    <mergeCell ref="G41:H41"/>
    <mergeCell ref="I41:J41"/>
    <mergeCell ref="A46:J46"/>
    <mergeCell ref="A47:J47"/>
    <mergeCell ref="A48:F48"/>
    <mergeCell ref="G48:J48"/>
    <mergeCell ref="A49:J49"/>
    <mergeCell ref="B50:F50"/>
    <mergeCell ref="G50:H50"/>
    <mergeCell ref="I50:J50"/>
    <mergeCell ref="B44:F44"/>
    <mergeCell ref="G44:H44"/>
    <mergeCell ref="I44:J44"/>
    <mergeCell ref="A45:F45"/>
    <mergeCell ref="G45:H45"/>
    <mergeCell ref="I45:J45"/>
    <mergeCell ref="B53:F53"/>
    <mergeCell ref="G53:H53"/>
    <mergeCell ref="I53:J53"/>
    <mergeCell ref="B54:F54"/>
    <mergeCell ref="G54:H54"/>
    <mergeCell ref="I54:J54"/>
    <mergeCell ref="B51:F51"/>
    <mergeCell ref="G51:H51"/>
    <mergeCell ref="I51:J51"/>
    <mergeCell ref="B52:F52"/>
    <mergeCell ref="G52:H52"/>
    <mergeCell ref="I52:J52"/>
    <mergeCell ref="B57:F57"/>
    <mergeCell ref="G57:H57"/>
    <mergeCell ref="I57:J57"/>
    <mergeCell ref="B58:F58"/>
    <mergeCell ref="G58:H58"/>
    <mergeCell ref="I58:J58"/>
    <mergeCell ref="B55:F55"/>
    <mergeCell ref="G55:H55"/>
    <mergeCell ref="I55:J55"/>
    <mergeCell ref="B56:F56"/>
    <mergeCell ref="G56:H56"/>
    <mergeCell ref="I56:J56"/>
    <mergeCell ref="B63:F63"/>
    <mergeCell ref="G63:H63"/>
    <mergeCell ref="I63:J63"/>
    <mergeCell ref="B64:F64"/>
    <mergeCell ref="G64:H64"/>
    <mergeCell ref="I64:J64"/>
    <mergeCell ref="A59:F59"/>
    <mergeCell ref="G59:H59"/>
    <mergeCell ref="I59:J59"/>
    <mergeCell ref="A60:J60"/>
    <mergeCell ref="A61:J61"/>
    <mergeCell ref="B62:F62"/>
    <mergeCell ref="G62:H62"/>
    <mergeCell ref="I62:J62"/>
    <mergeCell ref="B67:F67"/>
    <mergeCell ref="G67:H67"/>
    <mergeCell ref="I67:J67"/>
    <mergeCell ref="B68:F68"/>
    <mergeCell ref="G68:H68"/>
    <mergeCell ref="I68:J68"/>
    <mergeCell ref="B65:F65"/>
    <mergeCell ref="G65:H65"/>
    <mergeCell ref="I65:J65"/>
    <mergeCell ref="B66:F66"/>
    <mergeCell ref="G66:H66"/>
    <mergeCell ref="I66:J66"/>
    <mergeCell ref="B71:F71"/>
    <mergeCell ref="G71:H71"/>
    <mergeCell ref="I71:J71"/>
    <mergeCell ref="B72:F72"/>
    <mergeCell ref="G72:H72"/>
    <mergeCell ref="I72:J72"/>
    <mergeCell ref="B69:F69"/>
    <mergeCell ref="G69:H69"/>
    <mergeCell ref="I69:J69"/>
    <mergeCell ref="B70:F70"/>
    <mergeCell ref="G70:H70"/>
    <mergeCell ref="I70:J70"/>
    <mergeCell ref="B78:F78"/>
    <mergeCell ref="G78:J78"/>
    <mergeCell ref="B79:F79"/>
    <mergeCell ref="G79:J79"/>
    <mergeCell ref="B80:F80"/>
    <mergeCell ref="G80:J80"/>
    <mergeCell ref="A73:H73"/>
    <mergeCell ref="I73:J73"/>
    <mergeCell ref="A74:J74"/>
    <mergeCell ref="A75:J75"/>
    <mergeCell ref="A76:J76"/>
    <mergeCell ref="B77:F77"/>
    <mergeCell ref="G77:J77"/>
    <mergeCell ref="A86:F86"/>
    <mergeCell ref="G86:J86"/>
    <mergeCell ref="B87:F87"/>
    <mergeCell ref="G87:H87"/>
    <mergeCell ref="I87:J87"/>
    <mergeCell ref="B88:F88"/>
    <mergeCell ref="I88:J88"/>
    <mergeCell ref="A81:F81"/>
    <mergeCell ref="G81:J81"/>
    <mergeCell ref="A82:J82"/>
    <mergeCell ref="A83:J83"/>
    <mergeCell ref="A84:J84"/>
    <mergeCell ref="A85:F85"/>
    <mergeCell ref="G85:J85"/>
    <mergeCell ref="B92:F92"/>
    <mergeCell ref="G92:H92"/>
    <mergeCell ref="I92:J92"/>
    <mergeCell ref="B93:F93"/>
    <mergeCell ref="G93:H93"/>
    <mergeCell ref="I93:J93"/>
    <mergeCell ref="B89:F89"/>
    <mergeCell ref="G89:H89"/>
    <mergeCell ref="I89:J89"/>
    <mergeCell ref="B90:F90"/>
    <mergeCell ref="I90:J90"/>
    <mergeCell ref="B91:F91"/>
    <mergeCell ref="G91:H91"/>
    <mergeCell ref="I91:J91"/>
    <mergeCell ref="A98:J98"/>
    <mergeCell ref="A99:F99"/>
    <mergeCell ref="G99:J99"/>
    <mergeCell ref="B101:F101"/>
    <mergeCell ref="G101:H101"/>
    <mergeCell ref="I101:J101"/>
    <mergeCell ref="A94:F94"/>
    <mergeCell ref="G94:H94"/>
    <mergeCell ref="I94:J94"/>
    <mergeCell ref="A95:J95"/>
    <mergeCell ref="A96:J96"/>
    <mergeCell ref="B97:F97"/>
    <mergeCell ref="G97:H97"/>
    <mergeCell ref="I97:J97"/>
    <mergeCell ref="B104:F104"/>
    <mergeCell ref="G104:H104"/>
    <mergeCell ref="I104:J104"/>
    <mergeCell ref="B105:F105"/>
    <mergeCell ref="G105:H105"/>
    <mergeCell ref="I105:J105"/>
    <mergeCell ref="B102:F102"/>
    <mergeCell ref="G102:H102"/>
    <mergeCell ref="I102:J102"/>
    <mergeCell ref="B103:F103"/>
    <mergeCell ref="G103:H103"/>
    <mergeCell ref="I103:J103"/>
    <mergeCell ref="A108:F108"/>
    <mergeCell ref="G108:H108"/>
    <mergeCell ref="I108:J108"/>
    <mergeCell ref="B109:F109"/>
    <mergeCell ref="G109:H109"/>
    <mergeCell ref="I109:J109"/>
    <mergeCell ref="B106:F106"/>
    <mergeCell ref="G106:H106"/>
    <mergeCell ref="I106:J106"/>
    <mergeCell ref="B107:F107"/>
    <mergeCell ref="G107:H107"/>
    <mergeCell ref="I107:J107"/>
    <mergeCell ref="A112:F112"/>
    <mergeCell ref="G112:H112"/>
    <mergeCell ref="I112:J112"/>
    <mergeCell ref="B113:F113"/>
    <mergeCell ref="G113:H113"/>
    <mergeCell ref="I113:J113"/>
    <mergeCell ref="A110:F110"/>
    <mergeCell ref="G110:H110"/>
    <mergeCell ref="I110:J110"/>
    <mergeCell ref="B111:F111"/>
    <mergeCell ref="G111:H111"/>
    <mergeCell ref="I111:J111"/>
    <mergeCell ref="A118:F118"/>
    <mergeCell ref="G118:J118"/>
    <mergeCell ref="B119:F119"/>
    <mergeCell ref="G119:H119"/>
    <mergeCell ref="I119:J119"/>
    <mergeCell ref="A120:J120"/>
    <mergeCell ref="A114:J114"/>
    <mergeCell ref="A115:F115"/>
    <mergeCell ref="G115:J115"/>
    <mergeCell ref="B116:F116"/>
    <mergeCell ref="G116:J116"/>
    <mergeCell ref="B117:F117"/>
    <mergeCell ref="G117:J117"/>
    <mergeCell ref="B124:F124"/>
    <mergeCell ref="G124:J124"/>
    <mergeCell ref="A125:F125"/>
    <mergeCell ref="G125:J125"/>
    <mergeCell ref="B126:F126"/>
    <mergeCell ref="G126:H126"/>
    <mergeCell ref="I126:J126"/>
    <mergeCell ref="B121:F121"/>
    <mergeCell ref="G121:J121"/>
    <mergeCell ref="B122:F122"/>
    <mergeCell ref="G122:J122"/>
    <mergeCell ref="B123:F123"/>
    <mergeCell ref="G123:J123"/>
    <mergeCell ref="B130:F130"/>
    <mergeCell ref="G130:J130"/>
    <mergeCell ref="B131:F131"/>
    <mergeCell ref="G131:J131"/>
    <mergeCell ref="B132:F132"/>
    <mergeCell ref="G132:J132"/>
    <mergeCell ref="B127:F127"/>
    <mergeCell ref="G127:H127"/>
    <mergeCell ref="I127:J127"/>
    <mergeCell ref="A128:J128"/>
    <mergeCell ref="B129:F129"/>
    <mergeCell ref="G129:H129"/>
    <mergeCell ref="I129:J129"/>
    <mergeCell ref="A136:F136"/>
    <mergeCell ref="G136:J136"/>
    <mergeCell ref="A137:F137"/>
    <mergeCell ref="G137:J137"/>
    <mergeCell ref="A138:F138"/>
    <mergeCell ref="G138:J138"/>
    <mergeCell ref="A133:F133"/>
    <mergeCell ref="G133:J133"/>
    <mergeCell ref="B134:F134"/>
    <mergeCell ref="G134:H134"/>
    <mergeCell ref="I134:J134"/>
    <mergeCell ref="A135:J135"/>
    <mergeCell ref="B141:F141"/>
    <mergeCell ref="G141:H141"/>
    <mergeCell ref="I141:J141"/>
    <mergeCell ref="B142:F142"/>
    <mergeCell ref="G142:H142"/>
    <mergeCell ref="I142:J142"/>
    <mergeCell ref="B139:F139"/>
    <mergeCell ref="G139:H139"/>
    <mergeCell ref="I139:J139"/>
    <mergeCell ref="B140:F140"/>
    <mergeCell ref="G140:H140"/>
    <mergeCell ref="I140:J140"/>
    <mergeCell ref="B145:F145"/>
    <mergeCell ref="G145:H145"/>
    <mergeCell ref="I145:J145"/>
    <mergeCell ref="A146:F146"/>
    <mergeCell ref="G146:H146"/>
    <mergeCell ref="I146:J146"/>
    <mergeCell ref="B143:F143"/>
    <mergeCell ref="G143:H143"/>
    <mergeCell ref="I143:J143"/>
    <mergeCell ref="B144:F144"/>
    <mergeCell ref="G144:H144"/>
    <mergeCell ref="I144:J144"/>
    <mergeCell ref="B150:F150"/>
    <mergeCell ref="G150:J150"/>
    <mergeCell ref="B151:F151"/>
    <mergeCell ref="G151:J151"/>
    <mergeCell ref="B152:F152"/>
    <mergeCell ref="G152:J152"/>
    <mergeCell ref="B147:F147"/>
    <mergeCell ref="G147:H147"/>
    <mergeCell ref="I147:J147"/>
    <mergeCell ref="A148:J148"/>
    <mergeCell ref="B149:F149"/>
    <mergeCell ref="G149:H149"/>
    <mergeCell ref="I149:J149"/>
    <mergeCell ref="A156:F156"/>
    <mergeCell ref="G156:J156"/>
    <mergeCell ref="B157:F157"/>
    <mergeCell ref="G157:J157"/>
    <mergeCell ref="A158:F158"/>
    <mergeCell ref="G158:J158"/>
    <mergeCell ref="B153:F153"/>
    <mergeCell ref="G153:J153"/>
    <mergeCell ref="B154:F154"/>
    <mergeCell ref="G154:J154"/>
    <mergeCell ref="B155:F155"/>
    <mergeCell ref="G155:J155"/>
    <mergeCell ref="A163:B163"/>
    <mergeCell ref="C163:F163"/>
    <mergeCell ref="G163:H163"/>
    <mergeCell ref="I163:J163"/>
    <mergeCell ref="A159:F159"/>
    <mergeCell ref="G159:J159"/>
    <mergeCell ref="A161:J161"/>
    <mergeCell ref="A162:B162"/>
    <mergeCell ref="C162:F162"/>
    <mergeCell ref="G162:H162"/>
    <mergeCell ref="I162:J162"/>
  </mergeCells>
  <conditionalFormatting sqref="G158:J158">
    <cfRule type="cellIs" dxfId="9" priority="1" operator="greaterThan">
      <formula>4872.19696090607</formula>
    </cfRule>
  </conditionalFormatting>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DD829B-1B8D-43C4-82F1-2527889A3865}">
  <sheetPr>
    <tabColor theme="9" tint="0.59999389629810485"/>
  </sheetPr>
  <dimension ref="A1:P168"/>
  <sheetViews>
    <sheetView topLeftCell="A130" workbookViewId="0">
      <selection activeCell="H165" sqref="H165"/>
    </sheetView>
  </sheetViews>
  <sheetFormatPr defaultRowHeight="14.5" x14ac:dyDescent="0.35"/>
  <cols>
    <col min="2" max="2" width="13.26953125" customWidth="1"/>
    <col min="3" max="3" width="13.36328125" customWidth="1"/>
    <col min="4" max="4" width="12.6328125" customWidth="1"/>
    <col min="5" max="5" width="13.36328125" customWidth="1"/>
    <col min="6" max="6" width="12.90625" customWidth="1"/>
    <col min="8" max="8" width="11.54296875" bestFit="1" customWidth="1"/>
    <col min="9" max="9" width="13" bestFit="1" customWidth="1"/>
    <col min="10" max="10" width="13.453125" bestFit="1" customWidth="1"/>
    <col min="13" max="13" width="8.90625" customWidth="1"/>
  </cols>
  <sheetData>
    <row r="1" spans="1:10" x14ac:dyDescent="0.35">
      <c r="A1" s="287" t="s">
        <v>0</v>
      </c>
      <c r="B1" s="287"/>
      <c r="C1" s="287"/>
      <c r="D1" s="287"/>
      <c r="E1" s="287"/>
      <c r="F1" s="287"/>
      <c r="G1" s="287"/>
      <c r="H1" s="287"/>
      <c r="I1" s="287"/>
      <c r="J1" s="287"/>
    </row>
    <row r="2" spans="1:10" x14ac:dyDescent="0.35">
      <c r="A2" s="287" t="s">
        <v>1</v>
      </c>
      <c r="B2" s="287"/>
      <c r="C2" s="287"/>
      <c r="D2" s="287"/>
      <c r="E2" s="287"/>
      <c r="F2" s="287"/>
      <c r="G2" s="287"/>
      <c r="H2" s="287"/>
      <c r="I2" s="287"/>
      <c r="J2" s="287"/>
    </row>
    <row r="3" spans="1:10" x14ac:dyDescent="0.35">
      <c r="A3" s="12"/>
      <c r="B3" s="288"/>
      <c r="C3" s="288"/>
      <c r="D3" s="288"/>
      <c r="E3" s="288"/>
      <c r="F3" s="288"/>
      <c r="G3" s="288"/>
      <c r="H3" s="288"/>
      <c r="I3" s="288"/>
      <c r="J3" s="288"/>
    </row>
    <row r="4" spans="1:10" x14ac:dyDescent="0.35">
      <c r="A4" s="280" t="s">
        <v>209</v>
      </c>
      <c r="B4" s="280"/>
      <c r="C4" s="280"/>
      <c r="D4" s="280"/>
      <c r="E4" s="280"/>
      <c r="F4" s="280"/>
      <c r="G4" s="280"/>
      <c r="H4" s="280"/>
      <c r="I4" s="280"/>
      <c r="J4" s="280"/>
    </row>
    <row r="5" spans="1:10" x14ac:dyDescent="0.35">
      <c r="A5" s="280" t="s">
        <v>140</v>
      </c>
      <c r="B5" s="280"/>
      <c r="C5" s="280"/>
      <c r="D5" s="280"/>
      <c r="E5" s="280"/>
      <c r="F5" s="280"/>
      <c r="G5" s="280"/>
      <c r="H5" s="280"/>
      <c r="I5" s="280"/>
      <c r="J5" s="280"/>
    </row>
    <row r="6" spans="1:10" x14ac:dyDescent="0.35">
      <c r="A6" s="303"/>
      <c r="B6" s="303"/>
      <c r="C6" s="303"/>
      <c r="D6" s="303"/>
      <c r="E6" s="303"/>
      <c r="F6" s="303"/>
      <c r="G6" s="303"/>
      <c r="H6" s="303"/>
      <c r="I6" s="303"/>
      <c r="J6" s="303"/>
    </row>
    <row r="7" spans="1:10" x14ac:dyDescent="0.35">
      <c r="A7" s="287" t="s">
        <v>2</v>
      </c>
      <c r="B7" s="287"/>
      <c r="C7" s="287"/>
      <c r="D7" s="287"/>
      <c r="E7" s="287"/>
      <c r="F7" s="287"/>
      <c r="G7" s="287"/>
      <c r="H7" s="287"/>
      <c r="I7" s="287"/>
      <c r="J7" s="287"/>
    </row>
    <row r="8" spans="1:10" x14ac:dyDescent="0.35">
      <c r="A8" s="308"/>
      <c r="B8" s="308"/>
      <c r="C8" s="308"/>
      <c r="D8" s="308"/>
      <c r="E8" s="308"/>
      <c r="F8" s="308"/>
      <c r="G8" s="308"/>
      <c r="H8" s="308"/>
      <c r="I8" s="308"/>
      <c r="J8" s="308"/>
    </row>
    <row r="9" spans="1:10" x14ac:dyDescent="0.35">
      <c r="A9" s="57" t="s">
        <v>3</v>
      </c>
      <c r="B9" s="310" t="s">
        <v>4</v>
      </c>
      <c r="C9" s="310"/>
      <c r="D9" s="310"/>
      <c r="E9" s="310"/>
      <c r="F9" s="310"/>
      <c r="G9" s="311"/>
      <c r="H9" s="311"/>
      <c r="I9" s="311"/>
      <c r="J9" s="311"/>
    </row>
    <row r="10" spans="1:10" x14ac:dyDescent="0.35">
      <c r="A10" s="57" t="s">
        <v>5</v>
      </c>
      <c r="B10" s="310" t="s">
        <v>6</v>
      </c>
      <c r="C10" s="310"/>
      <c r="D10" s="310"/>
      <c r="E10" s="310"/>
      <c r="F10" s="310"/>
      <c r="G10" s="311" t="s">
        <v>7</v>
      </c>
      <c r="H10" s="311"/>
      <c r="I10" s="311"/>
      <c r="J10" s="311"/>
    </row>
    <row r="11" spans="1:10" x14ac:dyDescent="0.35">
      <c r="A11" s="57" t="s">
        <v>8</v>
      </c>
      <c r="B11" s="310" t="s">
        <v>9</v>
      </c>
      <c r="C11" s="310"/>
      <c r="D11" s="310"/>
      <c r="E11" s="310"/>
      <c r="F11" s="310"/>
      <c r="G11" s="297" t="s">
        <v>136</v>
      </c>
      <c r="H11" s="298"/>
      <c r="I11" s="298"/>
      <c r="J11" s="299"/>
    </row>
    <row r="12" spans="1:10" x14ac:dyDescent="0.35">
      <c r="A12" s="57" t="s">
        <v>10</v>
      </c>
      <c r="B12" s="310" t="s">
        <v>11</v>
      </c>
      <c r="C12" s="310"/>
      <c r="D12" s="310"/>
      <c r="E12" s="310"/>
      <c r="F12" s="310"/>
      <c r="G12" s="311" t="s">
        <v>12</v>
      </c>
      <c r="H12" s="311"/>
      <c r="I12" s="311"/>
      <c r="J12" s="311"/>
    </row>
    <row r="13" spans="1:10" x14ac:dyDescent="0.35">
      <c r="A13" s="308"/>
      <c r="B13" s="308"/>
      <c r="C13" s="308"/>
      <c r="D13" s="308"/>
      <c r="E13" s="308"/>
      <c r="F13" s="308"/>
      <c r="G13" s="308"/>
      <c r="H13" s="308"/>
      <c r="I13" s="308"/>
      <c r="J13" s="308"/>
    </row>
    <row r="14" spans="1:10" x14ac:dyDescent="0.35">
      <c r="A14" s="287" t="s">
        <v>13</v>
      </c>
      <c r="B14" s="287"/>
      <c r="C14" s="287"/>
      <c r="D14" s="287"/>
      <c r="E14" s="287"/>
      <c r="F14" s="287"/>
      <c r="G14" s="287"/>
      <c r="H14" s="287"/>
      <c r="I14" s="287"/>
      <c r="J14" s="287"/>
    </row>
    <row r="15" spans="1:10" x14ac:dyDescent="0.35">
      <c r="A15" s="308"/>
      <c r="B15" s="308"/>
      <c r="C15" s="308"/>
      <c r="D15" s="308"/>
      <c r="E15" s="308"/>
      <c r="F15" s="308"/>
      <c r="G15" s="308"/>
      <c r="H15" s="308"/>
      <c r="I15" s="308"/>
      <c r="J15" s="308"/>
    </row>
    <row r="16" spans="1:10" x14ac:dyDescent="0.35">
      <c r="A16" s="301" t="s">
        <v>14</v>
      </c>
      <c r="B16" s="301"/>
      <c r="C16" s="301"/>
      <c r="D16" s="311" t="s">
        <v>15</v>
      </c>
      <c r="E16" s="311"/>
      <c r="F16" s="311" t="s">
        <v>16</v>
      </c>
      <c r="G16" s="311"/>
      <c r="H16" s="311"/>
      <c r="I16" s="311"/>
      <c r="J16" s="311"/>
    </row>
    <row r="17" spans="1:10" x14ac:dyDescent="0.35">
      <c r="A17" s="304" t="s">
        <v>205</v>
      </c>
      <c r="B17" s="304"/>
      <c r="C17" s="304"/>
      <c r="D17" s="305" t="s">
        <v>18</v>
      </c>
      <c r="E17" s="306"/>
      <c r="F17" s="307">
        <v>500</v>
      </c>
      <c r="G17" s="307"/>
      <c r="H17" s="307"/>
      <c r="I17" s="307"/>
      <c r="J17" s="307"/>
    </row>
    <row r="18" spans="1:10" x14ac:dyDescent="0.35">
      <c r="A18" s="308"/>
      <c r="B18" s="308"/>
      <c r="C18" s="308"/>
      <c r="D18" s="308"/>
      <c r="E18" s="308"/>
      <c r="F18" s="308"/>
      <c r="G18" s="308"/>
      <c r="H18" s="308"/>
      <c r="I18" s="308"/>
      <c r="J18" s="308"/>
    </row>
    <row r="19" spans="1:10" x14ac:dyDescent="0.35">
      <c r="A19" s="287" t="s">
        <v>19</v>
      </c>
      <c r="B19" s="287"/>
      <c r="C19" s="287"/>
      <c r="D19" s="287"/>
      <c r="E19" s="287"/>
      <c r="F19" s="287"/>
      <c r="G19" s="287"/>
      <c r="H19" s="287"/>
      <c r="I19" s="287"/>
      <c r="J19" s="287"/>
    </row>
    <row r="20" spans="1:10" x14ac:dyDescent="0.35">
      <c r="A20" s="12"/>
      <c r="B20" s="309"/>
      <c r="C20" s="309"/>
      <c r="D20" s="309"/>
      <c r="E20" s="309"/>
      <c r="F20" s="309"/>
      <c r="G20" s="309"/>
      <c r="H20" s="309"/>
      <c r="I20" s="309"/>
      <c r="J20" s="309"/>
    </row>
    <row r="21" spans="1:10" x14ac:dyDescent="0.35">
      <c r="A21" s="20" t="s">
        <v>20</v>
      </c>
      <c r="B21" s="300" t="s">
        <v>21</v>
      </c>
      <c r="C21" s="300"/>
      <c r="D21" s="300"/>
      <c r="E21" s="300"/>
      <c r="F21" s="300"/>
      <c r="G21" s="301" t="s">
        <v>29</v>
      </c>
      <c r="H21" s="301"/>
      <c r="I21" s="301"/>
      <c r="J21" s="301"/>
    </row>
    <row r="22" spans="1:10" x14ac:dyDescent="0.35">
      <c r="A22" s="20" t="s">
        <v>22</v>
      </c>
      <c r="B22" s="300" t="s">
        <v>23</v>
      </c>
      <c r="C22" s="300"/>
      <c r="D22" s="300"/>
      <c r="E22" s="300"/>
      <c r="F22" s="300"/>
      <c r="G22" s="301" t="s">
        <v>206</v>
      </c>
      <c r="H22" s="301"/>
      <c r="I22" s="301"/>
      <c r="J22" s="301"/>
    </row>
    <row r="23" spans="1:10" x14ac:dyDescent="0.35">
      <c r="A23" s="20" t="s">
        <v>25</v>
      </c>
      <c r="B23" s="300" t="s">
        <v>26</v>
      </c>
      <c r="C23" s="300"/>
      <c r="D23" s="300"/>
      <c r="E23" s="300"/>
      <c r="F23" s="300"/>
      <c r="G23" s="312">
        <v>1412.62</v>
      </c>
      <c r="H23" s="312"/>
      <c r="I23" s="312"/>
      <c r="J23" s="312"/>
    </row>
    <row r="24" spans="1:10" x14ac:dyDescent="0.35">
      <c r="A24" s="20" t="s">
        <v>27</v>
      </c>
      <c r="B24" s="300" t="s">
        <v>28</v>
      </c>
      <c r="C24" s="300"/>
      <c r="D24" s="300"/>
      <c r="E24" s="300"/>
      <c r="F24" s="300"/>
      <c r="G24" s="301" t="s">
        <v>210</v>
      </c>
      <c r="H24" s="301"/>
      <c r="I24" s="301"/>
      <c r="J24" s="301"/>
    </row>
    <row r="25" spans="1:10" x14ac:dyDescent="0.35">
      <c r="A25" s="20" t="s">
        <v>30</v>
      </c>
      <c r="B25" s="300" t="s">
        <v>31</v>
      </c>
      <c r="C25" s="300"/>
      <c r="D25" s="300"/>
      <c r="E25" s="300"/>
      <c r="F25" s="300"/>
      <c r="G25" s="302">
        <v>45292</v>
      </c>
      <c r="H25" s="302"/>
      <c r="I25" s="302"/>
      <c r="J25" s="302"/>
    </row>
    <row r="26" spans="1:10" x14ac:dyDescent="0.35">
      <c r="A26" s="319"/>
      <c r="B26" s="319"/>
      <c r="C26" s="319"/>
      <c r="D26" s="319"/>
      <c r="E26" s="319"/>
      <c r="F26" s="319"/>
      <c r="G26" s="319"/>
      <c r="H26" s="319"/>
      <c r="I26" s="319"/>
      <c r="J26" s="319"/>
    </row>
    <row r="27" spans="1:10" x14ac:dyDescent="0.35">
      <c r="A27" s="287" t="s">
        <v>32</v>
      </c>
      <c r="B27" s="287"/>
      <c r="C27" s="287"/>
      <c r="D27" s="287"/>
      <c r="E27" s="287"/>
      <c r="F27" s="287"/>
      <c r="G27" s="287"/>
      <c r="H27" s="287"/>
      <c r="I27" s="287"/>
      <c r="J27" s="287"/>
    </row>
    <row r="28" spans="1:10" x14ac:dyDescent="0.35">
      <c r="A28" s="12"/>
      <c r="B28" s="13"/>
      <c r="C28" s="13"/>
      <c r="D28" s="13"/>
      <c r="E28" s="13"/>
      <c r="F28" s="13"/>
      <c r="G28" s="13"/>
      <c r="H28" s="13"/>
      <c r="I28" s="13"/>
      <c r="J28" s="13"/>
    </row>
    <row r="29" spans="1:10" x14ac:dyDescent="0.35">
      <c r="A29" s="10">
        <v>1</v>
      </c>
      <c r="B29" s="322" t="s">
        <v>33</v>
      </c>
      <c r="C29" s="322"/>
      <c r="D29" s="322"/>
      <c r="E29" s="322"/>
      <c r="F29" s="322"/>
      <c r="G29" s="324" t="s">
        <v>34</v>
      </c>
      <c r="H29" s="324"/>
      <c r="I29" s="324"/>
      <c r="J29" s="324"/>
    </row>
    <row r="30" spans="1:10" x14ac:dyDescent="0.35">
      <c r="A30" s="14" t="s">
        <v>3</v>
      </c>
      <c r="B30" s="325" t="s">
        <v>35</v>
      </c>
      <c r="C30" s="325"/>
      <c r="D30" s="325"/>
      <c r="E30" s="325"/>
      <c r="F30" s="325"/>
      <c r="G30" s="321">
        <f>G23</f>
        <v>1412.62</v>
      </c>
      <c r="H30" s="321"/>
      <c r="I30" s="321"/>
      <c r="J30" s="321"/>
    </row>
    <row r="31" spans="1:10" x14ac:dyDescent="0.35">
      <c r="A31" s="14" t="s">
        <v>5</v>
      </c>
      <c r="B31" s="325" t="s">
        <v>36</v>
      </c>
      <c r="C31" s="325"/>
      <c r="D31" s="325"/>
      <c r="E31" s="325"/>
      <c r="F31" s="325"/>
      <c r="G31" s="321">
        <f>G30*0%</f>
        <v>0</v>
      </c>
      <c r="H31" s="321"/>
      <c r="I31" s="321"/>
      <c r="J31" s="321"/>
    </row>
    <row r="32" spans="1:10" x14ac:dyDescent="0.35">
      <c r="A32" s="14" t="s">
        <v>8</v>
      </c>
      <c r="B32" s="313" t="s">
        <v>37</v>
      </c>
      <c r="C32" s="314"/>
      <c r="D32" s="314"/>
      <c r="E32" s="314"/>
      <c r="F32" s="315"/>
      <c r="G32" s="316">
        <f>1412*40%</f>
        <v>564.80000000000007</v>
      </c>
      <c r="H32" s="317"/>
      <c r="I32" s="317"/>
      <c r="J32" s="318"/>
    </row>
    <row r="33" spans="1:10" x14ac:dyDescent="0.35">
      <c r="A33" s="14" t="s">
        <v>10</v>
      </c>
      <c r="B33" s="313" t="s">
        <v>375</v>
      </c>
      <c r="C33" s="314"/>
      <c r="D33" s="314"/>
      <c r="E33" s="314"/>
      <c r="F33" s="315"/>
      <c r="G33" s="316">
        <f>(((G31+G30+G32)/220)*(16*2))/G159</f>
        <v>143.81236363636364</v>
      </c>
      <c r="H33" s="317"/>
      <c r="I33" s="317"/>
      <c r="J33" s="318"/>
    </row>
    <row r="34" spans="1:10" x14ac:dyDescent="0.35">
      <c r="A34" s="14" t="s">
        <v>56</v>
      </c>
      <c r="B34" s="320" t="s">
        <v>38</v>
      </c>
      <c r="C34" s="320"/>
      <c r="D34" s="320"/>
      <c r="E34" s="320"/>
      <c r="F34" s="320"/>
      <c r="G34" s="321">
        <v>0</v>
      </c>
      <c r="H34" s="321"/>
      <c r="I34" s="321"/>
      <c r="J34" s="321"/>
    </row>
    <row r="35" spans="1:10" x14ac:dyDescent="0.35">
      <c r="A35" s="322" t="s">
        <v>39</v>
      </c>
      <c r="B35" s="322"/>
      <c r="C35" s="322"/>
      <c r="D35" s="322"/>
      <c r="E35" s="322"/>
      <c r="F35" s="322"/>
      <c r="G35" s="323">
        <f>SUM(G30:J34)</f>
        <v>2121.2323636363635</v>
      </c>
      <c r="H35" s="323"/>
      <c r="I35" s="323"/>
      <c r="J35" s="323"/>
    </row>
    <row r="36" spans="1:10" x14ac:dyDescent="0.35">
      <c r="A36" s="12"/>
      <c r="B36" s="288"/>
      <c r="C36" s="288"/>
      <c r="D36" s="288"/>
      <c r="E36" s="288"/>
      <c r="F36" s="288"/>
      <c r="G36" s="288"/>
      <c r="H36" s="288"/>
      <c r="I36" s="288"/>
      <c r="J36" s="288"/>
    </row>
    <row r="37" spans="1:10" x14ac:dyDescent="0.35">
      <c r="A37" s="287" t="s">
        <v>40</v>
      </c>
      <c r="B37" s="287"/>
      <c r="C37" s="287"/>
      <c r="D37" s="287"/>
      <c r="E37" s="287"/>
      <c r="F37" s="287"/>
      <c r="G37" s="287"/>
      <c r="H37" s="287"/>
      <c r="I37" s="287"/>
      <c r="J37" s="287"/>
    </row>
    <row r="38" spans="1:10" x14ac:dyDescent="0.35">
      <c r="A38" s="12"/>
      <c r="B38" s="288"/>
      <c r="C38" s="288"/>
      <c r="D38" s="288"/>
      <c r="E38" s="288"/>
      <c r="F38" s="288"/>
      <c r="G38" s="288"/>
      <c r="H38" s="288"/>
      <c r="I38" s="288"/>
      <c r="J38" s="288"/>
    </row>
    <row r="39" spans="1:10" x14ac:dyDescent="0.35">
      <c r="A39" s="326" t="s">
        <v>41</v>
      </c>
      <c r="B39" s="326"/>
      <c r="C39" s="326"/>
      <c r="D39" s="326"/>
      <c r="E39" s="326"/>
      <c r="F39" s="326"/>
      <c r="G39" s="326"/>
      <c r="H39" s="326"/>
      <c r="I39" s="326"/>
      <c r="J39" s="326"/>
    </row>
    <row r="40" spans="1:10" x14ac:dyDescent="0.35">
      <c r="A40" s="327" t="s">
        <v>42</v>
      </c>
      <c r="B40" s="327"/>
      <c r="C40" s="327"/>
      <c r="D40" s="327"/>
      <c r="E40" s="327"/>
      <c r="F40" s="327"/>
      <c r="G40" s="328">
        <f>G35</f>
        <v>2121.2323636363635</v>
      </c>
      <c r="H40" s="328"/>
      <c r="I40" s="328"/>
      <c r="J40" s="328"/>
    </row>
    <row r="41" spans="1:10" x14ac:dyDescent="0.35">
      <c r="A41" s="12"/>
      <c r="B41" s="309"/>
      <c r="C41" s="309"/>
      <c r="D41" s="309"/>
      <c r="E41" s="309"/>
      <c r="F41" s="309"/>
      <c r="G41" s="309"/>
      <c r="H41" s="309"/>
      <c r="I41" s="309"/>
      <c r="J41" s="309"/>
    </row>
    <row r="42" spans="1:10" x14ac:dyDescent="0.35">
      <c r="A42" s="20" t="s">
        <v>43</v>
      </c>
      <c r="B42" s="311" t="s">
        <v>44</v>
      </c>
      <c r="C42" s="311"/>
      <c r="D42" s="311"/>
      <c r="E42" s="311"/>
      <c r="F42" s="311"/>
      <c r="G42" s="311" t="s">
        <v>45</v>
      </c>
      <c r="H42" s="311"/>
      <c r="I42" s="322" t="s">
        <v>34</v>
      </c>
      <c r="J42" s="322"/>
    </row>
    <row r="43" spans="1:10" x14ac:dyDescent="0.35">
      <c r="A43" s="23" t="s">
        <v>3</v>
      </c>
      <c r="B43" s="300" t="s">
        <v>46</v>
      </c>
      <c r="C43" s="300"/>
      <c r="D43" s="300"/>
      <c r="E43" s="300"/>
      <c r="F43" s="300"/>
      <c r="G43" s="331">
        <v>8.3299999999999999E-2</v>
      </c>
      <c r="H43" s="331"/>
      <c r="I43" s="330">
        <f>G40*G43</f>
        <v>176.69865589090907</v>
      </c>
      <c r="J43" s="330"/>
    </row>
    <row r="44" spans="1:10" x14ac:dyDescent="0.35">
      <c r="A44" s="23" t="s">
        <v>5</v>
      </c>
      <c r="B44" s="300" t="s">
        <v>47</v>
      </c>
      <c r="C44" s="300"/>
      <c r="D44" s="300"/>
      <c r="E44" s="300"/>
      <c r="F44" s="300"/>
      <c r="G44" s="329">
        <v>2.7799999999999998E-2</v>
      </c>
      <c r="H44" s="329"/>
      <c r="I44" s="330">
        <f>G40*G44</f>
        <v>58.970259709090904</v>
      </c>
      <c r="J44" s="330"/>
    </row>
    <row r="45" spans="1:10" x14ac:dyDescent="0.35">
      <c r="A45" s="311" t="s">
        <v>39</v>
      </c>
      <c r="B45" s="311"/>
      <c r="C45" s="311"/>
      <c r="D45" s="311"/>
      <c r="E45" s="311"/>
      <c r="F45" s="311"/>
      <c r="G45" s="331">
        <f>SUM(G43:H44)</f>
        <v>0.1111</v>
      </c>
      <c r="H45" s="304"/>
      <c r="I45" s="332">
        <f>SUM(I43:J44)</f>
        <v>235.66891559999996</v>
      </c>
      <c r="J45" s="332"/>
    </row>
    <row r="46" spans="1:10" x14ac:dyDescent="0.35">
      <c r="A46" s="288"/>
      <c r="B46" s="288"/>
      <c r="C46" s="288"/>
      <c r="D46" s="288"/>
      <c r="E46" s="288"/>
      <c r="F46" s="288"/>
      <c r="G46" s="288"/>
      <c r="H46" s="288"/>
      <c r="I46" s="288"/>
      <c r="J46" s="288"/>
    </row>
    <row r="47" spans="1:10" x14ac:dyDescent="0.35">
      <c r="A47" s="334" t="s">
        <v>48</v>
      </c>
      <c r="B47" s="334"/>
      <c r="C47" s="334"/>
      <c r="D47" s="334"/>
      <c r="E47" s="334"/>
      <c r="F47" s="334"/>
      <c r="G47" s="334"/>
      <c r="H47" s="334"/>
      <c r="I47" s="334"/>
      <c r="J47" s="334"/>
    </row>
    <row r="48" spans="1:10" x14ac:dyDescent="0.35">
      <c r="A48" s="335" t="s">
        <v>49</v>
      </c>
      <c r="B48" s="335"/>
      <c r="C48" s="335"/>
      <c r="D48" s="335"/>
      <c r="E48" s="335"/>
      <c r="F48" s="335"/>
      <c r="G48" s="336">
        <f>G35+I45</f>
        <v>2356.9012792363633</v>
      </c>
      <c r="H48" s="336"/>
      <c r="I48" s="336"/>
      <c r="J48" s="336"/>
    </row>
    <row r="49" spans="1:10" x14ac:dyDescent="0.35">
      <c r="A49" s="337"/>
      <c r="B49" s="337"/>
      <c r="C49" s="337"/>
      <c r="D49" s="337"/>
      <c r="E49" s="337"/>
      <c r="F49" s="337"/>
      <c r="G49" s="337"/>
      <c r="H49" s="337"/>
      <c r="I49" s="337"/>
      <c r="J49" s="337"/>
    </row>
    <row r="50" spans="1:10" x14ac:dyDescent="0.35">
      <c r="A50" s="28" t="s">
        <v>50</v>
      </c>
      <c r="B50" s="338" t="s">
        <v>51</v>
      </c>
      <c r="C50" s="338"/>
      <c r="D50" s="338"/>
      <c r="E50" s="338"/>
      <c r="F50" s="338"/>
      <c r="G50" s="339" t="s">
        <v>45</v>
      </c>
      <c r="H50" s="339"/>
      <c r="I50" s="340" t="s">
        <v>34</v>
      </c>
      <c r="J50" s="340"/>
    </row>
    <row r="51" spans="1:10" x14ac:dyDescent="0.35">
      <c r="A51" s="23" t="s">
        <v>3</v>
      </c>
      <c r="B51" s="300" t="s">
        <v>52</v>
      </c>
      <c r="C51" s="300"/>
      <c r="D51" s="300"/>
      <c r="E51" s="300"/>
      <c r="F51" s="300"/>
      <c r="G51" s="331">
        <v>0.2</v>
      </c>
      <c r="H51" s="331"/>
      <c r="I51" s="333">
        <f>G48*G51</f>
        <v>471.38025584727268</v>
      </c>
      <c r="J51" s="333"/>
    </row>
    <row r="52" spans="1:10" x14ac:dyDescent="0.35">
      <c r="A52" s="23" t="s">
        <v>5</v>
      </c>
      <c r="B52" s="300" t="s">
        <v>53</v>
      </c>
      <c r="C52" s="300"/>
      <c r="D52" s="300"/>
      <c r="E52" s="300"/>
      <c r="F52" s="300"/>
      <c r="G52" s="331">
        <v>2.5000000000000001E-2</v>
      </c>
      <c r="H52" s="331"/>
      <c r="I52" s="333">
        <f>G48*G52</f>
        <v>58.922531980909085</v>
      </c>
      <c r="J52" s="333"/>
    </row>
    <row r="53" spans="1:10" x14ac:dyDescent="0.35">
      <c r="A53" s="23" t="s">
        <v>8</v>
      </c>
      <c r="B53" s="341" t="s">
        <v>54</v>
      </c>
      <c r="C53" s="341"/>
      <c r="D53" s="341"/>
      <c r="E53" s="341"/>
      <c r="F53" s="341"/>
      <c r="G53" s="342">
        <v>0.03</v>
      </c>
      <c r="H53" s="343"/>
      <c r="I53" s="333">
        <f>G48*G53</f>
        <v>70.707038377090896</v>
      </c>
      <c r="J53" s="333"/>
    </row>
    <row r="54" spans="1:10" x14ac:dyDescent="0.35">
      <c r="A54" s="23" t="s">
        <v>10</v>
      </c>
      <c r="B54" s="300" t="s">
        <v>55</v>
      </c>
      <c r="C54" s="300"/>
      <c r="D54" s="300"/>
      <c r="E54" s="300"/>
      <c r="F54" s="300"/>
      <c r="G54" s="331">
        <v>1.4999999999999999E-2</v>
      </c>
      <c r="H54" s="331"/>
      <c r="I54" s="333">
        <f>G48*G54</f>
        <v>35.353519188545448</v>
      </c>
      <c r="J54" s="333"/>
    </row>
    <row r="55" spans="1:10" x14ac:dyDescent="0.35">
      <c r="A55" s="23" t="s">
        <v>56</v>
      </c>
      <c r="B55" s="300" t="s">
        <v>57</v>
      </c>
      <c r="C55" s="300"/>
      <c r="D55" s="300"/>
      <c r="E55" s="300"/>
      <c r="F55" s="300"/>
      <c r="G55" s="331">
        <v>0.01</v>
      </c>
      <c r="H55" s="331"/>
      <c r="I55" s="333">
        <f>G48*G55</f>
        <v>23.569012792363633</v>
      </c>
      <c r="J55" s="333"/>
    </row>
    <row r="56" spans="1:10" x14ac:dyDescent="0.35">
      <c r="A56" s="23" t="s">
        <v>58</v>
      </c>
      <c r="B56" s="300" t="s">
        <v>59</v>
      </c>
      <c r="C56" s="300"/>
      <c r="D56" s="300"/>
      <c r="E56" s="300"/>
      <c r="F56" s="300"/>
      <c r="G56" s="331">
        <v>6.0000000000000001E-3</v>
      </c>
      <c r="H56" s="331"/>
      <c r="I56" s="333">
        <f>G48*G56</f>
        <v>14.141407675418179</v>
      </c>
      <c r="J56" s="333"/>
    </row>
    <row r="57" spans="1:10" x14ac:dyDescent="0.35">
      <c r="A57" s="23" t="s">
        <v>60</v>
      </c>
      <c r="B57" s="300" t="s">
        <v>61</v>
      </c>
      <c r="C57" s="300"/>
      <c r="D57" s="300"/>
      <c r="E57" s="300"/>
      <c r="F57" s="300"/>
      <c r="G57" s="331">
        <v>2E-3</v>
      </c>
      <c r="H57" s="331"/>
      <c r="I57" s="333">
        <f>G48*G57</f>
        <v>4.713802558472727</v>
      </c>
      <c r="J57" s="333"/>
    </row>
    <row r="58" spans="1:10" x14ac:dyDescent="0.35">
      <c r="A58" s="23" t="s">
        <v>62</v>
      </c>
      <c r="B58" s="300" t="s">
        <v>63</v>
      </c>
      <c r="C58" s="300"/>
      <c r="D58" s="300"/>
      <c r="E58" s="300"/>
      <c r="F58" s="300"/>
      <c r="G58" s="331">
        <v>0.08</v>
      </c>
      <c r="H58" s="331"/>
      <c r="I58" s="333">
        <f>G48*G58</f>
        <v>188.55210233890907</v>
      </c>
      <c r="J58" s="333"/>
    </row>
    <row r="59" spans="1:10" x14ac:dyDescent="0.35">
      <c r="A59" s="311" t="s">
        <v>64</v>
      </c>
      <c r="B59" s="311"/>
      <c r="C59" s="311"/>
      <c r="D59" s="311"/>
      <c r="E59" s="311"/>
      <c r="F59" s="311"/>
      <c r="G59" s="344">
        <f>SUM(G51:H58)</f>
        <v>0.36800000000000005</v>
      </c>
      <c r="H59" s="311"/>
      <c r="I59" s="345">
        <f>SUM(I51:J58)</f>
        <v>867.3396707589817</v>
      </c>
      <c r="J59" s="345"/>
    </row>
    <row r="60" spans="1:10" x14ac:dyDescent="0.35">
      <c r="A60" s="319"/>
      <c r="B60" s="319"/>
      <c r="C60" s="319"/>
      <c r="D60" s="319"/>
      <c r="E60" s="319"/>
      <c r="F60" s="319"/>
      <c r="G60" s="319"/>
      <c r="H60" s="319"/>
      <c r="I60" s="319"/>
      <c r="J60" s="319"/>
    </row>
    <row r="61" spans="1:10" x14ac:dyDescent="0.35">
      <c r="A61" s="326" t="s">
        <v>65</v>
      </c>
      <c r="B61" s="326"/>
      <c r="C61" s="326"/>
      <c r="D61" s="326"/>
      <c r="E61" s="326"/>
      <c r="F61" s="326"/>
      <c r="G61" s="326"/>
      <c r="H61" s="326"/>
      <c r="I61" s="326"/>
      <c r="J61" s="326"/>
    </row>
    <row r="62" spans="1:10" x14ac:dyDescent="0.35">
      <c r="A62" s="12"/>
      <c r="B62" s="309"/>
      <c r="C62" s="309"/>
      <c r="D62" s="309"/>
      <c r="E62" s="309"/>
      <c r="F62" s="309"/>
      <c r="G62" s="309"/>
      <c r="H62" s="309"/>
      <c r="I62" s="309"/>
      <c r="J62" s="309"/>
    </row>
    <row r="63" spans="1:10" x14ac:dyDescent="0.35">
      <c r="A63" s="21" t="s">
        <v>66</v>
      </c>
      <c r="B63" s="347" t="s">
        <v>67</v>
      </c>
      <c r="C63" s="347"/>
      <c r="D63" s="347"/>
      <c r="E63" s="347"/>
      <c r="F63" s="347"/>
      <c r="G63" s="295" t="s">
        <v>138</v>
      </c>
      <c r="H63" s="296"/>
      <c r="I63" s="353" t="s">
        <v>34</v>
      </c>
      <c r="J63" s="354"/>
    </row>
    <row r="64" spans="1:10" x14ac:dyDescent="0.35">
      <c r="A64" s="22" t="s">
        <v>3</v>
      </c>
      <c r="B64" s="346" t="s">
        <v>68</v>
      </c>
      <c r="C64" s="346"/>
      <c r="D64" s="346"/>
      <c r="E64" s="346"/>
      <c r="F64" s="346"/>
      <c r="G64" s="291">
        <v>0.06</v>
      </c>
      <c r="H64" s="292"/>
      <c r="I64" s="281">
        <f>(2*4.7*(((255*G159)+110)/(12*G159))-(G64*G30))</f>
        <v>158.07613333333336</v>
      </c>
      <c r="J64" s="283"/>
    </row>
    <row r="65" spans="1:10" x14ac:dyDescent="0.35">
      <c r="A65" s="22" t="s">
        <v>5</v>
      </c>
      <c r="B65" s="346" t="s">
        <v>69</v>
      </c>
      <c r="C65" s="346"/>
      <c r="D65" s="346"/>
      <c r="E65" s="346"/>
      <c r="F65" s="346"/>
      <c r="G65" s="291">
        <v>3.5000000000000003E-2</v>
      </c>
      <c r="H65" s="292"/>
      <c r="I65" s="352">
        <f>(20*22)-(20*22*G65)</f>
        <v>424.6</v>
      </c>
      <c r="J65" s="352"/>
    </row>
    <row r="66" spans="1:10" x14ac:dyDescent="0.35">
      <c r="A66" s="22" t="s">
        <v>8</v>
      </c>
      <c r="B66" s="346" t="s">
        <v>70</v>
      </c>
      <c r="C66" s="346"/>
      <c r="D66" s="346"/>
      <c r="E66" s="346"/>
      <c r="F66" s="346"/>
      <c r="G66" s="289" t="s">
        <v>139</v>
      </c>
      <c r="H66" s="290"/>
      <c r="I66" s="352">
        <v>99.84</v>
      </c>
      <c r="J66" s="352"/>
    </row>
    <row r="67" spans="1:10" x14ac:dyDescent="0.35">
      <c r="A67" s="22" t="s">
        <v>10</v>
      </c>
      <c r="B67" s="346" t="s">
        <v>71</v>
      </c>
      <c r="C67" s="346"/>
      <c r="D67" s="346"/>
      <c r="E67" s="346"/>
      <c r="F67" s="346"/>
      <c r="G67" s="289" t="s">
        <v>139</v>
      </c>
      <c r="H67" s="290"/>
      <c r="I67" s="352">
        <v>5</v>
      </c>
      <c r="J67" s="352"/>
    </row>
    <row r="68" spans="1:10" x14ac:dyDescent="0.35">
      <c r="A68" s="22" t="s">
        <v>56</v>
      </c>
      <c r="B68" s="346" t="s">
        <v>72</v>
      </c>
      <c r="C68" s="346"/>
      <c r="D68" s="346"/>
      <c r="E68" s="346"/>
      <c r="F68" s="346"/>
      <c r="G68" s="289" t="s">
        <v>139</v>
      </c>
      <c r="H68" s="290"/>
      <c r="I68" s="352">
        <v>10</v>
      </c>
      <c r="J68" s="352"/>
    </row>
    <row r="69" spans="1:10" x14ac:dyDescent="0.35">
      <c r="A69" s="22" t="s">
        <v>58</v>
      </c>
      <c r="B69" s="346" t="s">
        <v>73</v>
      </c>
      <c r="C69" s="346"/>
      <c r="D69" s="346"/>
      <c r="E69" s="346"/>
      <c r="F69" s="346"/>
      <c r="G69" s="289" t="s">
        <v>139</v>
      </c>
      <c r="H69" s="290"/>
      <c r="I69" s="352">
        <v>8</v>
      </c>
      <c r="J69" s="352"/>
    </row>
    <row r="70" spans="1:10" x14ac:dyDescent="0.35">
      <c r="A70" s="22" t="s">
        <v>60</v>
      </c>
      <c r="B70" s="349" t="s">
        <v>74</v>
      </c>
      <c r="C70" s="350"/>
      <c r="D70" s="350"/>
      <c r="E70" s="350"/>
      <c r="F70" s="351"/>
      <c r="G70" s="293">
        <v>2.6069999999999999E-2</v>
      </c>
      <c r="H70" s="294"/>
      <c r="I70" s="352">
        <f xml:space="preserve"> (282.5*4*G70)/24</f>
        <v>1.2274624999999999</v>
      </c>
      <c r="J70" s="352"/>
    </row>
    <row r="71" spans="1:10" x14ac:dyDescent="0.35">
      <c r="A71" s="22" t="s">
        <v>62</v>
      </c>
      <c r="B71" s="349" t="s">
        <v>75</v>
      </c>
      <c r="C71" s="350"/>
      <c r="D71" s="350"/>
      <c r="E71" s="350"/>
      <c r="F71" s="351"/>
      <c r="G71" s="291">
        <v>1.0416E-2</v>
      </c>
      <c r="H71" s="292"/>
      <c r="I71" s="352">
        <f>((1412.62)*G71)/24</f>
        <v>0.61307707999999994</v>
      </c>
      <c r="J71" s="352"/>
    </row>
    <row r="72" spans="1:10" x14ac:dyDescent="0.35">
      <c r="A72" s="22" t="s">
        <v>20</v>
      </c>
      <c r="B72" s="300" t="s">
        <v>38</v>
      </c>
      <c r="C72" s="300"/>
      <c r="D72" s="300"/>
      <c r="E72" s="300"/>
      <c r="F72" s="300"/>
      <c r="G72" s="289" t="s">
        <v>139</v>
      </c>
      <c r="H72" s="290"/>
      <c r="I72" s="321">
        <v>0</v>
      </c>
      <c r="J72" s="321"/>
    </row>
    <row r="73" spans="1:10" x14ac:dyDescent="0.35">
      <c r="A73" s="355" t="s">
        <v>39</v>
      </c>
      <c r="B73" s="356"/>
      <c r="C73" s="356"/>
      <c r="D73" s="356"/>
      <c r="E73" s="356"/>
      <c r="F73" s="356"/>
      <c r="G73" s="356"/>
      <c r="H73" s="357"/>
      <c r="I73" s="323">
        <f>SUM(I64:J72)</f>
        <v>707.35667291333345</v>
      </c>
      <c r="J73" s="323"/>
    </row>
    <row r="74" spans="1:10" x14ac:dyDescent="0.35">
      <c r="A74" s="348"/>
      <c r="B74" s="348"/>
      <c r="C74" s="348"/>
      <c r="D74" s="348"/>
      <c r="E74" s="348"/>
      <c r="F74" s="348"/>
      <c r="G74" s="348"/>
      <c r="H74" s="348"/>
      <c r="I74" s="348"/>
      <c r="J74" s="348"/>
    </row>
    <row r="75" spans="1:10" x14ac:dyDescent="0.35">
      <c r="A75" s="326" t="s">
        <v>76</v>
      </c>
      <c r="B75" s="326"/>
      <c r="C75" s="326"/>
      <c r="D75" s="326"/>
      <c r="E75" s="326"/>
      <c r="F75" s="326"/>
      <c r="G75" s="326"/>
      <c r="H75" s="326"/>
      <c r="I75" s="326"/>
      <c r="J75" s="326"/>
    </row>
    <row r="76" spans="1:10" x14ac:dyDescent="0.35">
      <c r="A76" s="358"/>
      <c r="B76" s="358"/>
      <c r="C76" s="358"/>
      <c r="D76" s="358"/>
      <c r="E76" s="358"/>
      <c r="F76" s="358"/>
      <c r="G76" s="358"/>
      <c r="H76" s="358"/>
      <c r="I76" s="358"/>
      <c r="J76" s="358"/>
    </row>
    <row r="77" spans="1:10" x14ac:dyDescent="0.35">
      <c r="A77" s="20">
        <v>2</v>
      </c>
      <c r="B77" s="311" t="s">
        <v>77</v>
      </c>
      <c r="C77" s="311"/>
      <c r="D77" s="311"/>
      <c r="E77" s="311"/>
      <c r="F77" s="311"/>
      <c r="G77" s="311" t="s">
        <v>34</v>
      </c>
      <c r="H77" s="311"/>
      <c r="I77" s="311"/>
      <c r="J77" s="311"/>
    </row>
    <row r="78" spans="1:10" x14ac:dyDescent="0.35">
      <c r="A78" s="23" t="s">
        <v>43</v>
      </c>
      <c r="B78" s="300" t="s">
        <v>44</v>
      </c>
      <c r="C78" s="300"/>
      <c r="D78" s="300"/>
      <c r="E78" s="300"/>
      <c r="F78" s="300"/>
      <c r="G78" s="321">
        <f>I45</f>
        <v>235.66891559999996</v>
      </c>
      <c r="H78" s="321"/>
      <c r="I78" s="321"/>
      <c r="J78" s="321"/>
    </row>
    <row r="79" spans="1:10" x14ac:dyDescent="0.35">
      <c r="A79" s="23" t="s">
        <v>50</v>
      </c>
      <c r="B79" s="300" t="s">
        <v>51</v>
      </c>
      <c r="C79" s="300"/>
      <c r="D79" s="300"/>
      <c r="E79" s="300"/>
      <c r="F79" s="300"/>
      <c r="G79" s="321">
        <f>I59</f>
        <v>867.3396707589817</v>
      </c>
      <c r="H79" s="321"/>
      <c r="I79" s="321"/>
      <c r="J79" s="321"/>
    </row>
    <row r="80" spans="1:10" x14ac:dyDescent="0.35">
      <c r="A80" s="23" t="s">
        <v>66</v>
      </c>
      <c r="B80" s="300" t="s">
        <v>67</v>
      </c>
      <c r="C80" s="300"/>
      <c r="D80" s="300"/>
      <c r="E80" s="300"/>
      <c r="F80" s="300"/>
      <c r="G80" s="321">
        <f>I73</f>
        <v>707.35667291333345</v>
      </c>
      <c r="H80" s="321"/>
      <c r="I80" s="321"/>
      <c r="J80" s="321"/>
    </row>
    <row r="81" spans="1:10" x14ac:dyDescent="0.35">
      <c r="A81" s="311" t="s">
        <v>39</v>
      </c>
      <c r="B81" s="311"/>
      <c r="C81" s="311"/>
      <c r="D81" s="311"/>
      <c r="E81" s="311"/>
      <c r="F81" s="311"/>
      <c r="G81" s="323">
        <f>SUM(G78:J80)</f>
        <v>1810.3652592723151</v>
      </c>
      <c r="H81" s="323"/>
      <c r="I81" s="323"/>
      <c r="J81" s="323"/>
    </row>
    <row r="82" spans="1:10" x14ac:dyDescent="0.35">
      <c r="A82" s="319"/>
      <c r="B82" s="319"/>
      <c r="C82" s="319"/>
      <c r="D82" s="319"/>
      <c r="E82" s="319"/>
      <c r="F82" s="319"/>
      <c r="G82" s="319"/>
      <c r="H82" s="319"/>
      <c r="I82" s="319"/>
      <c r="J82" s="319"/>
    </row>
    <row r="83" spans="1:10" x14ac:dyDescent="0.35">
      <c r="A83" s="303"/>
      <c r="B83" s="303"/>
      <c r="C83" s="303"/>
      <c r="D83" s="303"/>
      <c r="E83" s="303"/>
      <c r="F83" s="303"/>
      <c r="G83" s="303"/>
      <c r="H83" s="303"/>
      <c r="I83" s="303"/>
      <c r="J83" s="303"/>
    </row>
    <row r="84" spans="1:10" x14ac:dyDescent="0.35">
      <c r="A84" s="287" t="s">
        <v>78</v>
      </c>
      <c r="B84" s="287"/>
      <c r="C84" s="287"/>
      <c r="D84" s="287"/>
      <c r="E84" s="287"/>
      <c r="F84" s="287"/>
      <c r="G84" s="287"/>
      <c r="H84" s="287"/>
      <c r="I84" s="287"/>
      <c r="J84" s="287"/>
    </row>
    <row r="85" spans="1:10" x14ac:dyDescent="0.35">
      <c r="A85" s="361" t="s">
        <v>79</v>
      </c>
      <c r="B85" s="361"/>
      <c r="C85" s="361"/>
      <c r="D85" s="361"/>
      <c r="E85" s="361"/>
      <c r="F85" s="361"/>
      <c r="G85" s="362">
        <f>G35</f>
        <v>2121.2323636363635</v>
      </c>
      <c r="H85" s="362"/>
      <c r="I85" s="362"/>
      <c r="J85" s="362"/>
    </row>
    <row r="86" spans="1:10" x14ac:dyDescent="0.35">
      <c r="A86" s="363"/>
      <c r="B86" s="363"/>
      <c r="C86" s="363"/>
      <c r="D86" s="363"/>
      <c r="E86" s="363"/>
      <c r="F86" s="363"/>
      <c r="G86" s="309"/>
      <c r="H86" s="309"/>
      <c r="I86" s="309"/>
      <c r="J86" s="309"/>
    </row>
    <row r="87" spans="1:10" x14ac:dyDescent="0.35">
      <c r="A87" s="10">
        <v>3</v>
      </c>
      <c r="B87" s="322" t="s">
        <v>80</v>
      </c>
      <c r="C87" s="322"/>
      <c r="D87" s="322"/>
      <c r="E87" s="322"/>
      <c r="F87" s="322"/>
      <c r="G87" s="364" t="s">
        <v>45</v>
      </c>
      <c r="H87" s="364"/>
      <c r="I87" s="322" t="s">
        <v>34</v>
      </c>
      <c r="J87" s="322"/>
    </row>
    <row r="88" spans="1:10" x14ac:dyDescent="0.35">
      <c r="A88" s="14" t="s">
        <v>3</v>
      </c>
      <c r="B88" s="359" t="s">
        <v>81</v>
      </c>
      <c r="C88" s="359"/>
      <c r="D88" s="359"/>
      <c r="E88" s="359"/>
      <c r="F88" s="359"/>
      <c r="G88" s="30">
        <v>0.05</v>
      </c>
      <c r="H88" s="24">
        <f>(1/12)*G88</f>
        <v>4.1666666666666666E-3</v>
      </c>
      <c r="I88" s="333">
        <f>G85*H88</f>
        <v>8.8384681818181807</v>
      </c>
      <c r="J88" s="333"/>
    </row>
    <row r="89" spans="1:10" x14ac:dyDescent="0.35">
      <c r="A89" s="14" t="s">
        <v>5</v>
      </c>
      <c r="B89" s="359" t="s">
        <v>82</v>
      </c>
      <c r="C89" s="359"/>
      <c r="D89" s="359"/>
      <c r="E89" s="359"/>
      <c r="F89" s="359"/>
      <c r="G89" s="329">
        <f>H88*0.08</f>
        <v>3.3333333333333332E-4</v>
      </c>
      <c r="H89" s="329"/>
      <c r="I89" s="360">
        <f>G85*G89</f>
        <v>0.70707745454545445</v>
      </c>
      <c r="J89" s="360"/>
    </row>
    <row r="90" spans="1:10" x14ac:dyDescent="0.35">
      <c r="A90" s="14" t="s">
        <v>8</v>
      </c>
      <c r="B90" s="359" t="s">
        <v>203</v>
      </c>
      <c r="C90" s="359"/>
      <c r="D90" s="359"/>
      <c r="E90" s="359"/>
      <c r="F90" s="359"/>
      <c r="G90" s="30">
        <v>0.9</v>
      </c>
      <c r="H90" s="24">
        <f>(1+2/12+(1/3*1/12))*0.08*0.4*G90</f>
        <v>3.4400000000000007E-2</v>
      </c>
      <c r="I90" s="365">
        <f>G85*H90</f>
        <v>72.970393309090923</v>
      </c>
      <c r="J90" s="366"/>
    </row>
    <row r="91" spans="1:10" x14ac:dyDescent="0.35">
      <c r="A91" s="14" t="s">
        <v>10</v>
      </c>
      <c r="B91" s="359" t="s">
        <v>83</v>
      </c>
      <c r="C91" s="359"/>
      <c r="D91" s="359"/>
      <c r="E91" s="359"/>
      <c r="F91" s="359"/>
      <c r="G91" s="329">
        <f>((7/30) + (7/30*0.1))/ 24</f>
        <v>1.0694444444444444E-2</v>
      </c>
      <c r="H91" s="329"/>
      <c r="I91" s="365">
        <f>G85*G91</f>
        <v>22.685401666666664</v>
      </c>
      <c r="J91" s="366"/>
    </row>
    <row r="92" spans="1:10" x14ac:dyDescent="0.35">
      <c r="A92" s="14" t="s">
        <v>56</v>
      </c>
      <c r="B92" s="359" t="s">
        <v>84</v>
      </c>
      <c r="C92" s="359"/>
      <c r="D92" s="359"/>
      <c r="E92" s="359"/>
      <c r="F92" s="359"/>
      <c r="G92" s="329">
        <f>G91*G59</f>
        <v>3.9355555555555559E-3</v>
      </c>
      <c r="H92" s="329"/>
      <c r="I92" s="365">
        <f>G85*G92</f>
        <v>8.3482278133333327</v>
      </c>
      <c r="J92" s="366"/>
    </row>
    <row r="93" spans="1:10" x14ac:dyDescent="0.35">
      <c r="A93" s="14" t="s">
        <v>58</v>
      </c>
      <c r="B93" s="359" t="s">
        <v>204</v>
      </c>
      <c r="C93" s="359"/>
      <c r="D93" s="359"/>
      <c r="E93" s="359"/>
      <c r="F93" s="359"/>
      <c r="G93" s="367">
        <f>G91*0.08*0.4</f>
        <v>3.4222222222222228E-4</v>
      </c>
      <c r="H93" s="367"/>
      <c r="I93" s="368">
        <f>G85*G93</f>
        <v>0.72593285333333346</v>
      </c>
      <c r="J93" s="369"/>
    </row>
    <row r="94" spans="1:10" x14ac:dyDescent="0.35">
      <c r="A94" s="322" t="s">
        <v>39</v>
      </c>
      <c r="B94" s="322"/>
      <c r="C94" s="322"/>
      <c r="D94" s="322"/>
      <c r="E94" s="322"/>
      <c r="F94" s="322"/>
      <c r="G94" s="372">
        <f>SUM(H88,G89,H90,G91,G92,G93)</f>
        <v>5.3872222222222224E-2</v>
      </c>
      <c r="H94" s="372"/>
      <c r="I94" s="345">
        <f>SUM(I88:J93)</f>
        <v>114.2755012787879</v>
      </c>
      <c r="J94" s="345"/>
    </row>
    <row r="95" spans="1:10" x14ac:dyDescent="0.35">
      <c r="A95" s="373"/>
      <c r="B95" s="373"/>
      <c r="C95" s="373"/>
      <c r="D95" s="373"/>
      <c r="E95" s="373"/>
      <c r="F95" s="373"/>
      <c r="G95" s="373"/>
      <c r="H95" s="373"/>
      <c r="I95" s="373"/>
      <c r="J95" s="373"/>
    </row>
    <row r="96" spans="1:10" x14ac:dyDescent="0.35">
      <c r="A96" s="287" t="s">
        <v>85</v>
      </c>
      <c r="B96" s="287"/>
      <c r="C96" s="287"/>
      <c r="D96" s="287"/>
      <c r="E96" s="287"/>
      <c r="F96" s="287"/>
      <c r="G96" s="287"/>
      <c r="H96" s="287"/>
      <c r="I96" s="287"/>
      <c r="J96" s="287"/>
    </row>
    <row r="97" spans="1:10" x14ac:dyDescent="0.35">
      <c r="A97" s="12"/>
      <c r="B97" s="288"/>
      <c r="C97" s="288"/>
      <c r="D97" s="288"/>
      <c r="E97" s="288"/>
      <c r="F97" s="288"/>
      <c r="G97" s="288"/>
      <c r="H97" s="288"/>
      <c r="I97" s="288"/>
      <c r="J97" s="288"/>
    </row>
    <row r="98" spans="1:10" x14ac:dyDescent="0.35">
      <c r="A98" s="326" t="s">
        <v>86</v>
      </c>
      <c r="B98" s="326"/>
      <c r="C98" s="326"/>
      <c r="D98" s="326"/>
      <c r="E98" s="326"/>
      <c r="F98" s="326"/>
      <c r="G98" s="326"/>
      <c r="H98" s="326"/>
      <c r="I98" s="326"/>
      <c r="J98" s="326"/>
    </row>
    <row r="99" spans="1:10" x14ac:dyDescent="0.35">
      <c r="A99" s="361" t="s">
        <v>87</v>
      </c>
      <c r="B99" s="361"/>
      <c r="C99" s="361"/>
      <c r="D99" s="361"/>
      <c r="E99" s="361"/>
      <c r="F99" s="361"/>
      <c r="G99" s="370">
        <f>G35</f>
        <v>2121.2323636363635</v>
      </c>
      <c r="H99" s="371"/>
      <c r="I99" s="371"/>
      <c r="J99" s="371"/>
    </row>
    <row r="100" spans="1:10" x14ac:dyDescent="0.35">
      <c r="A100" s="16"/>
      <c r="B100" s="16"/>
      <c r="C100" s="16"/>
      <c r="D100" s="16"/>
      <c r="E100" s="16"/>
      <c r="F100" s="16"/>
      <c r="G100" s="17"/>
      <c r="H100" s="17"/>
      <c r="I100" s="17"/>
      <c r="J100" s="17"/>
    </row>
    <row r="101" spans="1:10" x14ac:dyDescent="0.35">
      <c r="A101" s="15" t="s">
        <v>88</v>
      </c>
      <c r="B101" s="339" t="s">
        <v>89</v>
      </c>
      <c r="C101" s="339"/>
      <c r="D101" s="339"/>
      <c r="E101" s="339"/>
      <c r="F101" s="339"/>
      <c r="G101" s="322" t="s">
        <v>90</v>
      </c>
      <c r="H101" s="322"/>
      <c r="I101" s="311" t="s">
        <v>34</v>
      </c>
      <c r="J101" s="311"/>
    </row>
    <row r="102" spans="1:10" x14ac:dyDescent="0.35">
      <c r="A102" s="23" t="s">
        <v>3</v>
      </c>
      <c r="B102" s="300" t="s">
        <v>91</v>
      </c>
      <c r="C102" s="300"/>
      <c r="D102" s="300"/>
      <c r="E102" s="300"/>
      <c r="F102" s="300"/>
      <c r="G102" s="329">
        <f>1/12</f>
        <v>8.3333333333333329E-2</v>
      </c>
      <c r="H102" s="329"/>
      <c r="I102" s="321">
        <f>G102*G99</f>
        <v>176.76936363636361</v>
      </c>
      <c r="J102" s="321"/>
    </row>
    <row r="103" spans="1:10" x14ac:dyDescent="0.35">
      <c r="A103" s="14" t="s">
        <v>5</v>
      </c>
      <c r="B103" s="325" t="s">
        <v>92</v>
      </c>
      <c r="C103" s="325"/>
      <c r="D103" s="325"/>
      <c r="E103" s="325"/>
      <c r="F103" s="325"/>
      <c r="G103" s="374">
        <f>(1/30)/12</f>
        <v>2.7777777777777779E-3</v>
      </c>
      <c r="H103" s="374"/>
      <c r="I103" s="321">
        <f>G99*G103</f>
        <v>5.8923121212121208</v>
      </c>
      <c r="J103" s="321"/>
    </row>
    <row r="104" spans="1:10" x14ac:dyDescent="0.35">
      <c r="A104" s="14" t="s">
        <v>8</v>
      </c>
      <c r="B104" s="325" t="s">
        <v>93</v>
      </c>
      <c r="C104" s="325"/>
      <c r="D104" s="325"/>
      <c r="E104" s="325"/>
      <c r="F104" s="325"/>
      <c r="G104" s="374">
        <f>(5/30)/12*0.015</f>
        <v>2.0833333333333332E-4</v>
      </c>
      <c r="H104" s="374"/>
      <c r="I104" s="321">
        <f>G99*G104</f>
        <v>0.44192340909090905</v>
      </c>
      <c r="J104" s="321"/>
    </row>
    <row r="105" spans="1:10" x14ac:dyDescent="0.35">
      <c r="A105" s="14" t="s">
        <v>10</v>
      </c>
      <c r="B105" s="325" t="s">
        <v>94</v>
      </c>
      <c r="C105" s="325"/>
      <c r="D105" s="325"/>
      <c r="E105" s="325"/>
      <c r="F105" s="325"/>
      <c r="G105" s="374">
        <f>1/12*0.0078</f>
        <v>6.4999999999999997E-4</v>
      </c>
      <c r="H105" s="374"/>
      <c r="I105" s="321">
        <f>G99*G105</f>
        <v>1.3788010363636363</v>
      </c>
      <c r="J105" s="321"/>
    </row>
    <row r="106" spans="1:10" x14ac:dyDescent="0.35">
      <c r="A106" s="14" t="s">
        <v>56</v>
      </c>
      <c r="B106" s="325" t="s">
        <v>95</v>
      </c>
      <c r="C106" s="325"/>
      <c r="D106" s="325"/>
      <c r="E106" s="325"/>
      <c r="F106" s="325"/>
      <c r="G106" s="374">
        <f>((1/12)+(1/3*1/12))*0.02607*6/12</f>
        <v>1.4483333333333334E-3</v>
      </c>
      <c r="H106" s="374"/>
      <c r="I106" s="321">
        <f>G99*G106</f>
        <v>3.0722515399999999</v>
      </c>
      <c r="J106" s="321"/>
    </row>
    <row r="107" spans="1:10" x14ac:dyDescent="0.35">
      <c r="A107" s="14" t="s">
        <v>58</v>
      </c>
      <c r="B107" s="325" t="s">
        <v>96</v>
      </c>
      <c r="C107" s="325"/>
      <c r="D107" s="325"/>
      <c r="E107" s="325"/>
      <c r="F107" s="325"/>
      <c r="G107" s="374">
        <f>(5/30/12)</f>
        <v>1.3888888888888888E-2</v>
      </c>
      <c r="H107" s="374"/>
      <c r="I107" s="321">
        <f>G99*G107</f>
        <v>29.461560606060601</v>
      </c>
      <c r="J107" s="321"/>
    </row>
    <row r="108" spans="1:10" x14ac:dyDescent="0.35">
      <c r="A108" s="375" t="s">
        <v>97</v>
      </c>
      <c r="B108" s="375"/>
      <c r="C108" s="375"/>
      <c r="D108" s="375"/>
      <c r="E108" s="375"/>
      <c r="F108" s="375"/>
      <c r="G108" s="376">
        <f>SUM(G102:H107)</f>
        <v>0.10230666666666666</v>
      </c>
      <c r="H108" s="376"/>
      <c r="I108" s="377">
        <f>SUM(I102:J107)</f>
        <v>217.01621234909086</v>
      </c>
      <c r="J108" s="377"/>
    </row>
    <row r="109" spans="1:10" x14ac:dyDescent="0.35">
      <c r="A109" s="69" t="s">
        <v>60</v>
      </c>
      <c r="B109" s="378" t="s">
        <v>98</v>
      </c>
      <c r="C109" s="378"/>
      <c r="D109" s="378"/>
      <c r="E109" s="378"/>
      <c r="F109" s="379"/>
      <c r="G109" s="380">
        <f>(G108-G106)*(2/12+(1/3*1/12))</f>
        <v>1.961134259259259E-2</v>
      </c>
      <c r="H109" s="379"/>
      <c r="I109" s="381">
        <f>G99*G109</f>
        <v>41.600214601767668</v>
      </c>
      <c r="J109" s="382"/>
    </row>
    <row r="110" spans="1:10" x14ac:dyDescent="0.35">
      <c r="A110" s="388" t="s">
        <v>99</v>
      </c>
      <c r="B110" s="389"/>
      <c r="C110" s="389"/>
      <c r="D110" s="389"/>
      <c r="E110" s="389"/>
      <c r="F110" s="390"/>
      <c r="G110" s="391">
        <f>SUM(G108:H109)</f>
        <v>0.12191800925925925</v>
      </c>
      <c r="H110" s="392"/>
      <c r="I110" s="393">
        <f>SUM(I108:J109)</f>
        <v>258.61642695085851</v>
      </c>
      <c r="J110" s="394"/>
    </row>
    <row r="111" spans="1:10" x14ac:dyDescent="0.35">
      <c r="A111" s="69" t="s">
        <v>62</v>
      </c>
      <c r="B111" s="395" t="s">
        <v>100</v>
      </c>
      <c r="C111" s="395"/>
      <c r="D111" s="395"/>
      <c r="E111" s="395"/>
      <c r="F111" s="396"/>
      <c r="G111" s="380">
        <f>G110*G59</f>
        <v>4.486582740740741E-2</v>
      </c>
      <c r="H111" s="397"/>
      <c r="I111" s="381">
        <f>G99*G111</f>
        <v>95.17084511791596</v>
      </c>
      <c r="J111" s="382"/>
    </row>
    <row r="112" spans="1:10" x14ac:dyDescent="0.35">
      <c r="A112" s="383" t="s">
        <v>39</v>
      </c>
      <c r="B112" s="378"/>
      <c r="C112" s="378"/>
      <c r="D112" s="378"/>
      <c r="E112" s="378"/>
      <c r="F112" s="379"/>
      <c r="G112" s="384">
        <f>SUM(G110:H111)</f>
        <v>0.16678383666666666</v>
      </c>
      <c r="H112" s="385"/>
      <c r="I112" s="386">
        <f>G99*G112</f>
        <v>353.78727206877448</v>
      </c>
      <c r="J112" s="387"/>
    </row>
    <row r="113" spans="1:10" x14ac:dyDescent="0.35">
      <c r="A113" s="88"/>
      <c r="B113" s="404"/>
      <c r="C113" s="404"/>
      <c r="D113" s="404"/>
      <c r="E113" s="404"/>
      <c r="F113" s="404"/>
      <c r="G113" s="404"/>
      <c r="H113" s="404"/>
      <c r="I113" s="404"/>
      <c r="J113" s="404"/>
    </row>
    <row r="114" spans="1:10" x14ac:dyDescent="0.35">
      <c r="A114" s="400" t="s">
        <v>101</v>
      </c>
      <c r="B114" s="400"/>
      <c r="C114" s="400"/>
      <c r="D114" s="400"/>
      <c r="E114" s="400"/>
      <c r="F114" s="400"/>
      <c r="G114" s="400"/>
      <c r="H114" s="400"/>
      <c r="I114" s="400"/>
      <c r="J114" s="400"/>
    </row>
    <row r="115" spans="1:10" x14ac:dyDescent="0.35">
      <c r="A115" s="401"/>
      <c r="B115" s="401"/>
      <c r="C115" s="401"/>
      <c r="D115" s="401"/>
      <c r="E115" s="401"/>
      <c r="F115" s="401"/>
      <c r="G115" s="402"/>
      <c r="H115" s="402"/>
      <c r="I115" s="402"/>
      <c r="J115" s="402"/>
    </row>
    <row r="116" spans="1:10" x14ac:dyDescent="0.35">
      <c r="A116" s="67" t="s">
        <v>102</v>
      </c>
      <c r="B116" s="311" t="s">
        <v>103</v>
      </c>
      <c r="C116" s="311"/>
      <c r="D116" s="311"/>
      <c r="E116" s="311"/>
      <c r="F116" s="311"/>
      <c r="G116" s="311" t="s">
        <v>34</v>
      </c>
      <c r="H116" s="311"/>
      <c r="I116" s="311"/>
      <c r="J116" s="311"/>
    </row>
    <row r="117" spans="1:10" x14ac:dyDescent="0.35">
      <c r="A117" s="66" t="s">
        <v>3</v>
      </c>
      <c r="B117" s="300" t="s">
        <v>104</v>
      </c>
      <c r="C117" s="300"/>
      <c r="D117" s="300"/>
      <c r="E117" s="300"/>
      <c r="F117" s="300"/>
      <c r="G117" s="333">
        <v>0</v>
      </c>
      <c r="H117" s="333"/>
      <c r="I117" s="333"/>
      <c r="J117" s="333"/>
    </row>
    <row r="118" spans="1:10" x14ac:dyDescent="0.35">
      <c r="A118" s="311" t="s">
        <v>39</v>
      </c>
      <c r="B118" s="311"/>
      <c r="C118" s="311"/>
      <c r="D118" s="311"/>
      <c r="E118" s="311"/>
      <c r="F118" s="311"/>
      <c r="G118" s="345">
        <f>SUM(G117)</f>
        <v>0</v>
      </c>
      <c r="H118" s="345"/>
      <c r="I118" s="345"/>
      <c r="J118" s="345"/>
    </row>
    <row r="119" spans="1:10" x14ac:dyDescent="0.35">
      <c r="A119" s="88"/>
      <c r="B119" s="398"/>
      <c r="C119" s="398"/>
      <c r="D119" s="398"/>
      <c r="E119" s="398"/>
      <c r="F119" s="398"/>
      <c r="G119" s="398"/>
      <c r="H119" s="398"/>
      <c r="I119" s="398"/>
      <c r="J119" s="398"/>
    </row>
    <row r="120" spans="1:10" x14ac:dyDescent="0.35">
      <c r="A120" s="399" t="s">
        <v>105</v>
      </c>
      <c r="B120" s="399"/>
      <c r="C120" s="399"/>
      <c r="D120" s="399"/>
      <c r="E120" s="399"/>
      <c r="F120" s="399"/>
      <c r="G120" s="399"/>
      <c r="H120" s="399"/>
      <c r="I120" s="399"/>
      <c r="J120" s="399"/>
    </row>
    <row r="121" spans="1:10" x14ac:dyDescent="0.35">
      <c r="A121" s="88"/>
      <c r="B121" s="404"/>
      <c r="C121" s="404"/>
      <c r="D121" s="404"/>
      <c r="E121" s="404"/>
      <c r="F121" s="404"/>
      <c r="G121" s="405"/>
      <c r="H121" s="405"/>
      <c r="I121" s="405"/>
      <c r="J121" s="405"/>
    </row>
    <row r="122" spans="1:10" x14ac:dyDescent="0.35">
      <c r="A122" s="67">
        <v>4</v>
      </c>
      <c r="B122" s="311" t="s">
        <v>106</v>
      </c>
      <c r="C122" s="311"/>
      <c r="D122" s="311"/>
      <c r="E122" s="311"/>
      <c r="F122" s="311"/>
      <c r="G122" s="311" t="s">
        <v>34</v>
      </c>
      <c r="H122" s="311"/>
      <c r="I122" s="311"/>
      <c r="J122" s="311"/>
    </row>
    <row r="123" spans="1:10" x14ac:dyDescent="0.35">
      <c r="A123" s="66" t="s">
        <v>88</v>
      </c>
      <c r="B123" s="300" t="s">
        <v>107</v>
      </c>
      <c r="C123" s="300"/>
      <c r="D123" s="300"/>
      <c r="E123" s="300"/>
      <c r="F123" s="300"/>
      <c r="G123" s="321">
        <f>I112</f>
        <v>353.78727206877448</v>
      </c>
      <c r="H123" s="321"/>
      <c r="I123" s="321"/>
      <c r="J123" s="321"/>
    </row>
    <row r="124" spans="1:10" x14ac:dyDescent="0.35">
      <c r="A124" s="66" t="s">
        <v>102</v>
      </c>
      <c r="B124" s="403" t="s">
        <v>108</v>
      </c>
      <c r="C124" s="403"/>
      <c r="D124" s="403"/>
      <c r="E124" s="403"/>
      <c r="F124" s="403"/>
      <c r="G124" s="321">
        <f>G118</f>
        <v>0</v>
      </c>
      <c r="H124" s="321"/>
      <c r="I124" s="321"/>
      <c r="J124" s="321"/>
    </row>
    <row r="125" spans="1:10" x14ac:dyDescent="0.35">
      <c r="A125" s="311" t="s">
        <v>39</v>
      </c>
      <c r="B125" s="311"/>
      <c r="C125" s="311"/>
      <c r="D125" s="311"/>
      <c r="E125" s="311"/>
      <c r="F125" s="311"/>
      <c r="G125" s="323">
        <f>SUM(G123:J124)</f>
        <v>353.78727206877448</v>
      </c>
      <c r="H125" s="323"/>
      <c r="I125" s="323"/>
      <c r="J125" s="323"/>
    </row>
    <row r="126" spans="1:10" x14ac:dyDescent="0.35">
      <c r="A126" s="88"/>
      <c r="B126" s="404"/>
      <c r="C126" s="404"/>
      <c r="D126" s="404"/>
      <c r="E126" s="404"/>
      <c r="F126" s="404"/>
      <c r="G126" s="404"/>
      <c r="H126" s="404"/>
      <c r="I126" s="404"/>
      <c r="J126" s="404"/>
    </row>
    <row r="127" spans="1:10" x14ac:dyDescent="0.35">
      <c r="A127" s="88"/>
      <c r="B127" s="398"/>
      <c r="C127" s="398"/>
      <c r="D127" s="398"/>
      <c r="E127" s="398"/>
      <c r="F127" s="398"/>
      <c r="G127" s="398"/>
      <c r="H127" s="398"/>
      <c r="I127" s="398"/>
      <c r="J127" s="398"/>
    </row>
    <row r="128" spans="1:10" x14ac:dyDescent="0.35">
      <c r="A128" s="407" t="s">
        <v>109</v>
      </c>
      <c r="B128" s="407"/>
      <c r="C128" s="407"/>
      <c r="D128" s="407"/>
      <c r="E128" s="407"/>
      <c r="F128" s="407"/>
      <c r="G128" s="407"/>
      <c r="H128" s="407"/>
      <c r="I128" s="407"/>
      <c r="J128" s="407"/>
    </row>
    <row r="129" spans="1:10" x14ac:dyDescent="0.35">
      <c r="A129" s="89"/>
      <c r="B129" s="408"/>
      <c r="C129" s="408"/>
      <c r="D129" s="408"/>
      <c r="E129" s="408"/>
      <c r="F129" s="408"/>
      <c r="G129" s="408"/>
      <c r="H129" s="408"/>
      <c r="I129" s="408"/>
      <c r="J129" s="408"/>
    </row>
    <row r="130" spans="1:10" x14ac:dyDescent="0.35">
      <c r="A130" s="68">
        <v>5</v>
      </c>
      <c r="B130" s="406" t="s">
        <v>110</v>
      </c>
      <c r="C130" s="406"/>
      <c r="D130" s="406"/>
      <c r="E130" s="406"/>
      <c r="F130" s="406"/>
      <c r="G130" s="347" t="s">
        <v>34</v>
      </c>
      <c r="H130" s="347"/>
      <c r="I130" s="347"/>
      <c r="J130" s="347"/>
    </row>
    <row r="131" spans="1:10" x14ac:dyDescent="0.35">
      <c r="A131" s="22" t="s">
        <v>3</v>
      </c>
      <c r="B131" s="346" t="s">
        <v>111</v>
      </c>
      <c r="C131" s="346"/>
      <c r="D131" s="346"/>
      <c r="E131" s="346"/>
      <c r="F131" s="346"/>
      <c r="G131" s="352">
        <f>Uniformes!F24</f>
        <v>41.54076666666667</v>
      </c>
      <c r="H131" s="352"/>
      <c r="I131" s="352"/>
      <c r="J131" s="352"/>
    </row>
    <row r="132" spans="1:10" x14ac:dyDescent="0.35">
      <c r="A132" s="22" t="s">
        <v>5</v>
      </c>
      <c r="B132" s="284" t="s">
        <v>202</v>
      </c>
      <c r="C132" s="285"/>
      <c r="D132" s="285"/>
      <c r="E132" s="285"/>
      <c r="F132" s="286"/>
      <c r="G132" s="281">
        <f>Equipamentos!F88</f>
        <v>17.875596264705891</v>
      </c>
      <c r="H132" s="282"/>
      <c r="I132" s="282"/>
      <c r="J132" s="283"/>
    </row>
    <row r="133" spans="1:10" x14ac:dyDescent="0.35">
      <c r="A133" s="347" t="s">
        <v>64</v>
      </c>
      <c r="B133" s="347"/>
      <c r="C133" s="347"/>
      <c r="D133" s="347"/>
      <c r="E133" s="347"/>
      <c r="F133" s="347"/>
      <c r="G133" s="413">
        <f>SUM(G131:J132)</f>
        <v>59.416362931372561</v>
      </c>
      <c r="H133" s="413"/>
      <c r="I133" s="413"/>
      <c r="J133" s="413"/>
    </row>
    <row r="134" spans="1:10" x14ac:dyDescent="0.35">
      <c r="A134" s="90"/>
      <c r="B134" s="414"/>
      <c r="C134" s="414"/>
      <c r="D134" s="414"/>
      <c r="E134" s="414"/>
      <c r="F134" s="414"/>
      <c r="G134" s="414"/>
      <c r="H134" s="414"/>
      <c r="I134" s="414"/>
      <c r="J134" s="414"/>
    </row>
    <row r="135" spans="1:10" x14ac:dyDescent="0.35">
      <c r="A135" s="407" t="s">
        <v>112</v>
      </c>
      <c r="B135" s="407"/>
      <c r="C135" s="407"/>
      <c r="D135" s="407"/>
      <c r="E135" s="407"/>
      <c r="F135" s="407"/>
      <c r="G135" s="407"/>
      <c r="H135" s="407"/>
      <c r="I135" s="407"/>
      <c r="J135" s="407"/>
    </row>
    <row r="136" spans="1:10" x14ac:dyDescent="0.35">
      <c r="A136" s="409" t="s">
        <v>113</v>
      </c>
      <c r="B136" s="409"/>
      <c r="C136" s="409"/>
      <c r="D136" s="409"/>
      <c r="E136" s="409"/>
      <c r="F136" s="409"/>
      <c r="G136" s="410">
        <f>G35+G81+I94+G125+G133</f>
        <v>4459.0767591876138</v>
      </c>
      <c r="H136" s="411"/>
      <c r="I136" s="411"/>
      <c r="J136" s="411"/>
    </row>
    <row r="137" spans="1:10" x14ac:dyDescent="0.35">
      <c r="A137" s="409" t="s">
        <v>114</v>
      </c>
      <c r="B137" s="409"/>
      <c r="C137" s="409"/>
      <c r="D137" s="409"/>
      <c r="E137" s="409"/>
      <c r="F137" s="409"/>
      <c r="G137" s="410">
        <f>G136+I140</f>
        <v>4580.8095547134353</v>
      </c>
      <c r="H137" s="411"/>
      <c r="I137" s="411"/>
      <c r="J137" s="411"/>
    </row>
    <row r="138" spans="1:10" x14ac:dyDescent="0.35">
      <c r="A138" s="409" t="s">
        <v>115</v>
      </c>
      <c r="B138" s="409"/>
      <c r="C138" s="409"/>
      <c r="D138" s="409"/>
      <c r="E138" s="409"/>
      <c r="F138" s="409"/>
      <c r="G138" s="412">
        <f>(G137+I141)/(1-G142)</f>
        <v>5486.821566934309</v>
      </c>
      <c r="H138" s="412"/>
      <c r="I138" s="412"/>
      <c r="J138" s="412"/>
    </row>
    <row r="139" spans="1:10" x14ac:dyDescent="0.35">
      <c r="A139" s="21">
        <v>6</v>
      </c>
      <c r="B139" s="406" t="s">
        <v>116</v>
      </c>
      <c r="C139" s="406"/>
      <c r="D139" s="406"/>
      <c r="E139" s="406"/>
      <c r="F139" s="406"/>
      <c r="G139" s="420" t="s">
        <v>45</v>
      </c>
      <c r="H139" s="420"/>
      <c r="I139" s="420" t="s">
        <v>34</v>
      </c>
      <c r="J139" s="420"/>
    </row>
    <row r="140" spans="1:10" x14ac:dyDescent="0.35">
      <c r="A140" s="22" t="s">
        <v>3</v>
      </c>
      <c r="B140" s="346" t="s">
        <v>117</v>
      </c>
      <c r="C140" s="346"/>
      <c r="D140" s="346"/>
      <c r="E140" s="346"/>
      <c r="F140" s="346"/>
      <c r="G140" s="415">
        <v>2.7300000000000001E-2</v>
      </c>
      <c r="H140" s="415"/>
      <c r="I140" s="416">
        <f>G136*G140</f>
        <v>121.73279552582186</v>
      </c>
      <c r="J140" s="346"/>
    </row>
    <row r="141" spans="1:10" x14ac:dyDescent="0.35">
      <c r="A141" s="22" t="s">
        <v>5</v>
      </c>
      <c r="B141" s="346" t="s">
        <v>118</v>
      </c>
      <c r="C141" s="346"/>
      <c r="D141" s="346"/>
      <c r="E141" s="346"/>
      <c r="F141" s="346"/>
      <c r="G141" s="415">
        <v>2.7099999999999999E-2</v>
      </c>
      <c r="H141" s="415"/>
      <c r="I141" s="416">
        <f>G137*G141</f>
        <v>124.1399389327341</v>
      </c>
      <c r="J141" s="346"/>
    </row>
    <row r="142" spans="1:10" x14ac:dyDescent="0.35">
      <c r="A142" s="22" t="s">
        <v>8</v>
      </c>
      <c r="B142" s="346" t="s">
        <v>119</v>
      </c>
      <c r="C142" s="346"/>
      <c r="D142" s="346"/>
      <c r="E142" s="346"/>
      <c r="F142" s="346"/>
      <c r="G142" s="417">
        <f>SUM(G143:H145)</f>
        <v>0.14250000000000002</v>
      </c>
      <c r="H142" s="417"/>
      <c r="I142" s="418">
        <f>G138*G142</f>
        <v>781.87207328813906</v>
      </c>
      <c r="J142" s="419"/>
    </row>
    <row r="143" spans="1:10" x14ac:dyDescent="0.35">
      <c r="A143" s="27" t="s">
        <v>120</v>
      </c>
      <c r="B143" s="421" t="s">
        <v>121</v>
      </c>
      <c r="C143" s="421"/>
      <c r="D143" s="421"/>
      <c r="E143" s="421"/>
      <c r="F143" s="421"/>
      <c r="G143" s="422">
        <f>'Item 1.1 (Encarregado)'!G142:H142</f>
        <v>7.5999999999999998E-2</v>
      </c>
      <c r="H143" s="422"/>
      <c r="I143" s="423">
        <f>G138*G143</f>
        <v>416.99843908700745</v>
      </c>
      <c r="J143" s="421"/>
    </row>
    <row r="144" spans="1:10" x14ac:dyDescent="0.35">
      <c r="A144" s="27" t="s">
        <v>122</v>
      </c>
      <c r="B144" s="421" t="s">
        <v>123</v>
      </c>
      <c r="C144" s="421"/>
      <c r="D144" s="421"/>
      <c r="E144" s="421"/>
      <c r="F144" s="421"/>
      <c r="G144" s="422">
        <f>'Item 1.1 (Encarregado)'!G143:H143</f>
        <v>1.6500000000000001E-2</v>
      </c>
      <c r="H144" s="422"/>
      <c r="I144" s="423">
        <f>G138*G144</f>
        <v>90.532555854416103</v>
      </c>
      <c r="J144" s="421"/>
    </row>
    <row r="145" spans="1:10" x14ac:dyDescent="0.35">
      <c r="A145" s="27" t="s">
        <v>124</v>
      </c>
      <c r="B145" s="421" t="s">
        <v>125</v>
      </c>
      <c r="C145" s="421"/>
      <c r="D145" s="421"/>
      <c r="E145" s="421"/>
      <c r="F145" s="421"/>
      <c r="G145" s="422">
        <v>0.05</v>
      </c>
      <c r="H145" s="422"/>
      <c r="I145" s="423">
        <f>G138*G145</f>
        <v>274.34107834671545</v>
      </c>
      <c r="J145" s="421"/>
    </row>
    <row r="146" spans="1:10" x14ac:dyDescent="0.35">
      <c r="A146" s="347" t="s">
        <v>64</v>
      </c>
      <c r="B146" s="347"/>
      <c r="C146" s="347"/>
      <c r="D146" s="347"/>
      <c r="E146" s="347"/>
      <c r="F146" s="347"/>
      <c r="G146" s="424"/>
      <c r="H146" s="424"/>
      <c r="I146" s="416">
        <f>SUM(I140:J142)</f>
        <v>1027.744807746695</v>
      </c>
      <c r="J146" s="346"/>
    </row>
    <row r="147" spans="1:10" x14ac:dyDescent="0.35">
      <c r="A147" s="19"/>
      <c r="B147" s="426"/>
      <c r="C147" s="426"/>
      <c r="D147" s="426"/>
      <c r="E147" s="426"/>
      <c r="F147" s="426"/>
      <c r="G147" s="426"/>
      <c r="H147" s="426"/>
      <c r="I147" s="426"/>
      <c r="J147" s="426"/>
    </row>
    <row r="148" spans="1:10" x14ac:dyDescent="0.35">
      <c r="A148" s="427" t="s">
        <v>126</v>
      </c>
      <c r="B148" s="427"/>
      <c r="C148" s="427"/>
      <c r="D148" s="427"/>
      <c r="E148" s="427"/>
      <c r="F148" s="427"/>
      <c r="G148" s="427"/>
      <c r="H148" s="427"/>
      <c r="I148" s="427"/>
      <c r="J148" s="427"/>
    </row>
    <row r="149" spans="1:10" x14ac:dyDescent="0.35">
      <c r="A149" s="18"/>
      <c r="B149" s="428"/>
      <c r="C149" s="428"/>
      <c r="D149" s="428"/>
      <c r="E149" s="428"/>
      <c r="F149" s="428"/>
      <c r="G149" s="428"/>
      <c r="H149" s="428"/>
      <c r="I149" s="428"/>
      <c r="J149" s="428"/>
    </row>
    <row r="150" spans="1:10" x14ac:dyDescent="0.35">
      <c r="A150" s="21"/>
      <c r="B150" s="347" t="s">
        <v>127</v>
      </c>
      <c r="C150" s="347"/>
      <c r="D150" s="347"/>
      <c r="E150" s="347"/>
      <c r="F150" s="347"/>
      <c r="G150" s="347" t="s">
        <v>34</v>
      </c>
      <c r="H150" s="347"/>
      <c r="I150" s="347"/>
      <c r="J150" s="347"/>
    </row>
    <row r="151" spans="1:10" x14ac:dyDescent="0.35">
      <c r="A151" s="21" t="s">
        <v>3</v>
      </c>
      <c r="B151" s="346" t="s">
        <v>32</v>
      </c>
      <c r="C151" s="346"/>
      <c r="D151" s="346"/>
      <c r="E151" s="346"/>
      <c r="F151" s="346"/>
      <c r="G151" s="352">
        <f>G35</f>
        <v>2121.2323636363635</v>
      </c>
      <c r="H151" s="352"/>
      <c r="I151" s="352"/>
      <c r="J151" s="352"/>
    </row>
    <row r="152" spans="1:10" x14ac:dyDescent="0.35">
      <c r="A152" s="21" t="s">
        <v>5</v>
      </c>
      <c r="B152" s="346" t="s">
        <v>40</v>
      </c>
      <c r="C152" s="346"/>
      <c r="D152" s="346"/>
      <c r="E152" s="346"/>
      <c r="F152" s="346"/>
      <c r="G152" s="352">
        <f>G81</f>
        <v>1810.3652592723151</v>
      </c>
      <c r="H152" s="352"/>
      <c r="I152" s="352"/>
      <c r="J152" s="352"/>
    </row>
    <row r="153" spans="1:10" x14ac:dyDescent="0.35">
      <c r="A153" s="21" t="s">
        <v>8</v>
      </c>
      <c r="B153" s="346" t="s">
        <v>78</v>
      </c>
      <c r="C153" s="346"/>
      <c r="D153" s="346"/>
      <c r="E153" s="346"/>
      <c r="F153" s="346"/>
      <c r="G153" s="352">
        <f>I94</f>
        <v>114.2755012787879</v>
      </c>
      <c r="H153" s="352"/>
      <c r="I153" s="352"/>
      <c r="J153" s="352"/>
    </row>
    <row r="154" spans="1:10" x14ac:dyDescent="0.35">
      <c r="A154" s="21" t="s">
        <v>10</v>
      </c>
      <c r="B154" s="346" t="s">
        <v>85</v>
      </c>
      <c r="C154" s="346"/>
      <c r="D154" s="346"/>
      <c r="E154" s="346"/>
      <c r="F154" s="346"/>
      <c r="G154" s="352">
        <f>G125</f>
        <v>353.78727206877448</v>
      </c>
      <c r="H154" s="352"/>
      <c r="I154" s="352"/>
      <c r="J154" s="352"/>
    </row>
    <row r="155" spans="1:10" x14ac:dyDescent="0.35">
      <c r="A155" s="21" t="s">
        <v>56</v>
      </c>
      <c r="B155" s="346" t="s">
        <v>109</v>
      </c>
      <c r="C155" s="346"/>
      <c r="D155" s="346"/>
      <c r="E155" s="346"/>
      <c r="F155" s="346"/>
      <c r="G155" s="352">
        <f>G133</f>
        <v>59.416362931372561</v>
      </c>
      <c r="H155" s="352"/>
      <c r="I155" s="352"/>
      <c r="J155" s="352"/>
    </row>
    <row r="156" spans="1:10" x14ac:dyDescent="0.35">
      <c r="A156" s="347" t="s">
        <v>128</v>
      </c>
      <c r="B156" s="347"/>
      <c r="C156" s="347"/>
      <c r="D156" s="347"/>
      <c r="E156" s="347"/>
      <c r="F156" s="347"/>
      <c r="G156" s="413">
        <f>SUM(G151:J155)</f>
        <v>4459.0767591876138</v>
      </c>
      <c r="H156" s="413"/>
      <c r="I156" s="413"/>
      <c r="J156" s="413"/>
    </row>
    <row r="157" spans="1:10" x14ac:dyDescent="0.35">
      <c r="A157" s="21" t="s">
        <v>58</v>
      </c>
      <c r="B157" s="346" t="s">
        <v>129</v>
      </c>
      <c r="C157" s="346"/>
      <c r="D157" s="346"/>
      <c r="E157" s="346"/>
      <c r="F157" s="346"/>
      <c r="G157" s="352">
        <f>I146</f>
        <v>1027.744807746695</v>
      </c>
      <c r="H157" s="352"/>
      <c r="I157" s="352"/>
      <c r="J157" s="352"/>
    </row>
    <row r="158" spans="1:10" x14ac:dyDescent="0.35">
      <c r="A158" s="347" t="s">
        <v>130</v>
      </c>
      <c r="B158" s="347"/>
      <c r="C158" s="347"/>
      <c r="D158" s="347"/>
      <c r="E158" s="347"/>
      <c r="F158" s="347"/>
      <c r="G158" s="413">
        <f>SUM(G156:J157)</f>
        <v>5486.821566934309</v>
      </c>
      <c r="H158" s="413"/>
      <c r="I158" s="413"/>
      <c r="J158" s="413"/>
    </row>
    <row r="159" spans="1:10" x14ac:dyDescent="0.35">
      <c r="A159" s="347" t="s">
        <v>131</v>
      </c>
      <c r="B159" s="347"/>
      <c r="C159" s="347"/>
      <c r="D159" s="347"/>
      <c r="E159" s="347"/>
      <c r="F159" s="347"/>
      <c r="G159" s="436">
        <v>2</v>
      </c>
      <c r="H159" s="436"/>
      <c r="I159" s="436"/>
      <c r="J159" s="436"/>
    </row>
    <row r="160" spans="1:10" x14ac:dyDescent="0.35">
      <c r="A160" s="11"/>
      <c r="B160" s="11"/>
      <c r="C160" s="11"/>
      <c r="D160" s="11"/>
      <c r="E160" s="11"/>
      <c r="F160" s="11"/>
      <c r="G160" s="11"/>
      <c r="H160" s="11"/>
      <c r="I160" s="11"/>
      <c r="J160" s="11"/>
    </row>
    <row r="161" spans="1:16" x14ac:dyDescent="0.35">
      <c r="A161" s="434" t="s">
        <v>132</v>
      </c>
      <c r="B161" s="434"/>
      <c r="C161" s="434"/>
      <c r="D161" s="434"/>
      <c r="E161" s="434"/>
      <c r="F161" s="434"/>
      <c r="G161" s="434"/>
      <c r="H161" s="434"/>
      <c r="I161" s="434"/>
      <c r="J161" s="434"/>
      <c r="M161" s="175"/>
      <c r="N161" s="175"/>
      <c r="O161" s="175"/>
      <c r="P161" s="175"/>
    </row>
    <row r="162" spans="1:16" x14ac:dyDescent="0.35">
      <c r="A162" s="429" t="s">
        <v>133</v>
      </c>
      <c r="B162" s="429"/>
      <c r="C162" s="429" t="s">
        <v>208</v>
      </c>
      <c r="D162" s="429"/>
      <c r="E162" s="429"/>
      <c r="F162" s="429"/>
      <c r="G162" s="429" t="s">
        <v>134</v>
      </c>
      <c r="H162" s="429"/>
      <c r="I162" s="429" t="s">
        <v>135</v>
      </c>
      <c r="J162" s="429"/>
    </row>
    <row r="163" spans="1:16" x14ac:dyDescent="0.35">
      <c r="A163" s="435">
        <f>G159</f>
        <v>2</v>
      </c>
      <c r="B163" s="429"/>
      <c r="C163" s="430">
        <f>1/(F17/A163)</f>
        <v>4.0000000000000001E-3</v>
      </c>
      <c r="D163" s="430"/>
      <c r="E163" s="430"/>
      <c r="F163" s="430"/>
      <c r="G163" s="431">
        <f>G158</f>
        <v>5486.821566934309</v>
      </c>
      <c r="H163" s="429"/>
      <c r="I163" s="432">
        <f>G163*C163</f>
        <v>21.947286267737237</v>
      </c>
      <c r="J163" s="432"/>
    </row>
    <row r="165" spans="1:16" x14ac:dyDescent="0.35">
      <c r="H165" s="29"/>
    </row>
    <row r="167" spans="1:16" x14ac:dyDescent="0.35">
      <c r="H167" s="29"/>
    </row>
    <row r="168" spans="1:16" x14ac:dyDescent="0.35">
      <c r="J168" s="76"/>
    </row>
  </sheetData>
  <sheetProtection algorithmName="SHA-512" hashValue="7NS53++CxTOJcLv70KEdrZ36l2493Z/Zm+3NDmorvkU5oU4BVvnl9cz/avHCD5gk7gm+uhnvY2NrlsybEu/PBA==" saltValue="P88GNHm9/trrd7aRfTWR+Q==" spinCount="100000" sheet="1" objects="1" scenarios="1"/>
  <mergeCells count="355">
    <mergeCell ref="A5:J5"/>
    <mergeCell ref="A6:J6"/>
    <mergeCell ref="A7:J7"/>
    <mergeCell ref="A8:J8"/>
    <mergeCell ref="B9:F9"/>
    <mergeCell ref="G9:J9"/>
    <mergeCell ref="A1:J1"/>
    <mergeCell ref="A2:J2"/>
    <mergeCell ref="B3:F3"/>
    <mergeCell ref="G3:H3"/>
    <mergeCell ref="I3:J3"/>
    <mergeCell ref="A4:J4"/>
    <mergeCell ref="A13:J13"/>
    <mergeCell ref="A14:J14"/>
    <mergeCell ref="A15:J15"/>
    <mergeCell ref="A16:C16"/>
    <mergeCell ref="D16:E16"/>
    <mergeCell ref="F16:J16"/>
    <mergeCell ref="B10:F10"/>
    <mergeCell ref="G10:J10"/>
    <mergeCell ref="B11:F11"/>
    <mergeCell ref="G11:J11"/>
    <mergeCell ref="B12:F12"/>
    <mergeCell ref="G12:J12"/>
    <mergeCell ref="B21:F21"/>
    <mergeCell ref="G21:J21"/>
    <mergeCell ref="B22:F22"/>
    <mergeCell ref="G22:J22"/>
    <mergeCell ref="B23:F23"/>
    <mergeCell ref="G23:J23"/>
    <mergeCell ref="A17:C17"/>
    <mergeCell ref="D17:E17"/>
    <mergeCell ref="F17:J17"/>
    <mergeCell ref="A18:J18"/>
    <mergeCell ref="A19:J19"/>
    <mergeCell ref="B20:F20"/>
    <mergeCell ref="G20:H20"/>
    <mergeCell ref="I20:J20"/>
    <mergeCell ref="B29:F29"/>
    <mergeCell ref="G29:J29"/>
    <mergeCell ref="B30:F30"/>
    <mergeCell ref="G30:J30"/>
    <mergeCell ref="B31:F31"/>
    <mergeCell ref="G31:J31"/>
    <mergeCell ref="B24:F24"/>
    <mergeCell ref="G24:J24"/>
    <mergeCell ref="B25:F25"/>
    <mergeCell ref="G25:J25"/>
    <mergeCell ref="A26:J26"/>
    <mergeCell ref="A27:J27"/>
    <mergeCell ref="B36:F36"/>
    <mergeCell ref="G36:H36"/>
    <mergeCell ref="I36:J36"/>
    <mergeCell ref="A37:J37"/>
    <mergeCell ref="B38:F38"/>
    <mergeCell ref="G38:H38"/>
    <mergeCell ref="I38:J38"/>
    <mergeCell ref="B32:F32"/>
    <mergeCell ref="G32:J32"/>
    <mergeCell ref="B34:F34"/>
    <mergeCell ref="G34:J34"/>
    <mergeCell ref="A35:F35"/>
    <mergeCell ref="G35:J35"/>
    <mergeCell ref="B33:F33"/>
    <mergeCell ref="G33:J33"/>
    <mergeCell ref="B42:F42"/>
    <mergeCell ref="G42:H42"/>
    <mergeCell ref="I42:J42"/>
    <mergeCell ref="B43:F43"/>
    <mergeCell ref="G43:H43"/>
    <mergeCell ref="I43:J43"/>
    <mergeCell ref="A39:J39"/>
    <mergeCell ref="A40:F40"/>
    <mergeCell ref="G40:J40"/>
    <mergeCell ref="B41:F41"/>
    <mergeCell ref="G41:H41"/>
    <mergeCell ref="I41:J41"/>
    <mergeCell ref="A46:J46"/>
    <mergeCell ref="A47:J47"/>
    <mergeCell ref="A48:F48"/>
    <mergeCell ref="G48:J48"/>
    <mergeCell ref="A49:J49"/>
    <mergeCell ref="B50:F50"/>
    <mergeCell ref="G50:H50"/>
    <mergeCell ref="I50:J50"/>
    <mergeCell ref="B44:F44"/>
    <mergeCell ref="G44:H44"/>
    <mergeCell ref="I44:J44"/>
    <mergeCell ref="A45:F45"/>
    <mergeCell ref="G45:H45"/>
    <mergeCell ref="I45:J45"/>
    <mergeCell ref="B53:F53"/>
    <mergeCell ref="G53:H53"/>
    <mergeCell ref="I53:J53"/>
    <mergeCell ref="B54:F54"/>
    <mergeCell ref="G54:H54"/>
    <mergeCell ref="I54:J54"/>
    <mergeCell ref="B51:F51"/>
    <mergeCell ref="G51:H51"/>
    <mergeCell ref="I51:J51"/>
    <mergeCell ref="B52:F52"/>
    <mergeCell ref="G52:H52"/>
    <mergeCell ref="I52:J52"/>
    <mergeCell ref="B57:F57"/>
    <mergeCell ref="G57:H57"/>
    <mergeCell ref="I57:J57"/>
    <mergeCell ref="B58:F58"/>
    <mergeCell ref="G58:H58"/>
    <mergeCell ref="I58:J58"/>
    <mergeCell ref="B55:F55"/>
    <mergeCell ref="G55:H55"/>
    <mergeCell ref="I55:J55"/>
    <mergeCell ref="B56:F56"/>
    <mergeCell ref="G56:H56"/>
    <mergeCell ref="I56:J56"/>
    <mergeCell ref="B63:F63"/>
    <mergeCell ref="G63:H63"/>
    <mergeCell ref="I63:J63"/>
    <mergeCell ref="B64:F64"/>
    <mergeCell ref="G64:H64"/>
    <mergeCell ref="I64:J64"/>
    <mergeCell ref="A59:F59"/>
    <mergeCell ref="G59:H59"/>
    <mergeCell ref="I59:J59"/>
    <mergeCell ref="A60:J60"/>
    <mergeCell ref="A61:J61"/>
    <mergeCell ref="B62:F62"/>
    <mergeCell ref="G62:H62"/>
    <mergeCell ref="I62:J62"/>
    <mergeCell ref="B67:F67"/>
    <mergeCell ref="G67:H67"/>
    <mergeCell ref="I67:J67"/>
    <mergeCell ref="B68:F68"/>
    <mergeCell ref="G68:H68"/>
    <mergeCell ref="I68:J68"/>
    <mergeCell ref="B65:F65"/>
    <mergeCell ref="G65:H65"/>
    <mergeCell ref="I65:J65"/>
    <mergeCell ref="B66:F66"/>
    <mergeCell ref="G66:H66"/>
    <mergeCell ref="I66:J66"/>
    <mergeCell ref="B71:F71"/>
    <mergeCell ref="G71:H71"/>
    <mergeCell ref="I71:J71"/>
    <mergeCell ref="B72:F72"/>
    <mergeCell ref="G72:H72"/>
    <mergeCell ref="I72:J72"/>
    <mergeCell ref="B69:F69"/>
    <mergeCell ref="G69:H69"/>
    <mergeCell ref="I69:J69"/>
    <mergeCell ref="B70:F70"/>
    <mergeCell ref="G70:H70"/>
    <mergeCell ref="I70:J70"/>
    <mergeCell ref="B78:F78"/>
    <mergeCell ref="G78:J78"/>
    <mergeCell ref="B79:F79"/>
    <mergeCell ref="G79:J79"/>
    <mergeCell ref="B80:F80"/>
    <mergeCell ref="G80:J80"/>
    <mergeCell ref="A73:H73"/>
    <mergeCell ref="I73:J73"/>
    <mergeCell ref="A74:J74"/>
    <mergeCell ref="A75:J75"/>
    <mergeCell ref="A76:J76"/>
    <mergeCell ref="B77:F77"/>
    <mergeCell ref="G77:J77"/>
    <mergeCell ref="A86:F86"/>
    <mergeCell ref="G86:J86"/>
    <mergeCell ref="B87:F87"/>
    <mergeCell ref="G87:H87"/>
    <mergeCell ref="I87:J87"/>
    <mergeCell ref="B88:F88"/>
    <mergeCell ref="I88:J88"/>
    <mergeCell ref="A81:F81"/>
    <mergeCell ref="G81:J81"/>
    <mergeCell ref="A82:J82"/>
    <mergeCell ref="A83:J83"/>
    <mergeCell ref="A84:J84"/>
    <mergeCell ref="A85:F85"/>
    <mergeCell ref="G85:J85"/>
    <mergeCell ref="B92:F92"/>
    <mergeCell ref="G92:H92"/>
    <mergeCell ref="I92:J92"/>
    <mergeCell ref="B93:F93"/>
    <mergeCell ref="G93:H93"/>
    <mergeCell ref="I93:J93"/>
    <mergeCell ref="B89:F89"/>
    <mergeCell ref="G89:H89"/>
    <mergeCell ref="I89:J89"/>
    <mergeCell ref="B90:F90"/>
    <mergeCell ref="I90:J90"/>
    <mergeCell ref="B91:F91"/>
    <mergeCell ref="G91:H91"/>
    <mergeCell ref="I91:J91"/>
    <mergeCell ref="A98:J98"/>
    <mergeCell ref="A99:F99"/>
    <mergeCell ref="G99:J99"/>
    <mergeCell ref="B101:F101"/>
    <mergeCell ref="G101:H101"/>
    <mergeCell ref="I101:J101"/>
    <mergeCell ref="A94:F94"/>
    <mergeCell ref="G94:H94"/>
    <mergeCell ref="I94:J94"/>
    <mergeCell ref="A95:J95"/>
    <mergeCell ref="A96:J96"/>
    <mergeCell ref="B97:F97"/>
    <mergeCell ref="G97:H97"/>
    <mergeCell ref="I97:J97"/>
    <mergeCell ref="B104:F104"/>
    <mergeCell ref="G104:H104"/>
    <mergeCell ref="I104:J104"/>
    <mergeCell ref="B105:F105"/>
    <mergeCell ref="G105:H105"/>
    <mergeCell ref="I105:J105"/>
    <mergeCell ref="B102:F102"/>
    <mergeCell ref="G102:H102"/>
    <mergeCell ref="I102:J102"/>
    <mergeCell ref="B103:F103"/>
    <mergeCell ref="G103:H103"/>
    <mergeCell ref="I103:J103"/>
    <mergeCell ref="A108:F108"/>
    <mergeCell ref="G108:H108"/>
    <mergeCell ref="I108:J108"/>
    <mergeCell ref="B109:F109"/>
    <mergeCell ref="G109:H109"/>
    <mergeCell ref="I109:J109"/>
    <mergeCell ref="B106:F106"/>
    <mergeCell ref="G106:H106"/>
    <mergeCell ref="I106:J106"/>
    <mergeCell ref="B107:F107"/>
    <mergeCell ref="G107:H107"/>
    <mergeCell ref="I107:J107"/>
    <mergeCell ref="A112:F112"/>
    <mergeCell ref="G112:H112"/>
    <mergeCell ref="I112:J112"/>
    <mergeCell ref="B113:F113"/>
    <mergeCell ref="G113:H113"/>
    <mergeCell ref="I113:J113"/>
    <mergeCell ref="A110:F110"/>
    <mergeCell ref="G110:H110"/>
    <mergeCell ref="I110:J110"/>
    <mergeCell ref="B111:F111"/>
    <mergeCell ref="G111:H111"/>
    <mergeCell ref="I111:J111"/>
    <mergeCell ref="A118:F118"/>
    <mergeCell ref="G118:J118"/>
    <mergeCell ref="B119:F119"/>
    <mergeCell ref="G119:H119"/>
    <mergeCell ref="I119:J119"/>
    <mergeCell ref="A120:J120"/>
    <mergeCell ref="A114:J114"/>
    <mergeCell ref="A115:F115"/>
    <mergeCell ref="G115:J115"/>
    <mergeCell ref="B116:F116"/>
    <mergeCell ref="G116:J116"/>
    <mergeCell ref="B117:F117"/>
    <mergeCell ref="G117:J117"/>
    <mergeCell ref="B124:F124"/>
    <mergeCell ref="G124:J124"/>
    <mergeCell ref="A125:F125"/>
    <mergeCell ref="G125:J125"/>
    <mergeCell ref="B126:F126"/>
    <mergeCell ref="G126:H126"/>
    <mergeCell ref="I126:J126"/>
    <mergeCell ref="B121:F121"/>
    <mergeCell ref="G121:J121"/>
    <mergeCell ref="B122:F122"/>
    <mergeCell ref="G122:J122"/>
    <mergeCell ref="B123:F123"/>
    <mergeCell ref="G123:J123"/>
    <mergeCell ref="B130:F130"/>
    <mergeCell ref="G130:J130"/>
    <mergeCell ref="B131:F131"/>
    <mergeCell ref="G131:J131"/>
    <mergeCell ref="B132:F132"/>
    <mergeCell ref="G132:J132"/>
    <mergeCell ref="B127:F127"/>
    <mergeCell ref="G127:H127"/>
    <mergeCell ref="I127:J127"/>
    <mergeCell ref="A128:J128"/>
    <mergeCell ref="B129:F129"/>
    <mergeCell ref="G129:H129"/>
    <mergeCell ref="I129:J129"/>
    <mergeCell ref="A136:F136"/>
    <mergeCell ref="G136:J136"/>
    <mergeCell ref="A137:F137"/>
    <mergeCell ref="G137:J137"/>
    <mergeCell ref="A138:F138"/>
    <mergeCell ref="G138:J138"/>
    <mergeCell ref="A133:F133"/>
    <mergeCell ref="G133:J133"/>
    <mergeCell ref="B134:F134"/>
    <mergeCell ref="G134:H134"/>
    <mergeCell ref="I134:J134"/>
    <mergeCell ref="A135:J135"/>
    <mergeCell ref="B141:F141"/>
    <mergeCell ref="G141:H141"/>
    <mergeCell ref="I141:J141"/>
    <mergeCell ref="B142:F142"/>
    <mergeCell ref="G142:H142"/>
    <mergeCell ref="I142:J142"/>
    <mergeCell ref="B139:F139"/>
    <mergeCell ref="G139:H139"/>
    <mergeCell ref="I139:J139"/>
    <mergeCell ref="B140:F140"/>
    <mergeCell ref="G140:H140"/>
    <mergeCell ref="I140:J140"/>
    <mergeCell ref="B145:F145"/>
    <mergeCell ref="G145:H145"/>
    <mergeCell ref="I145:J145"/>
    <mergeCell ref="A146:F146"/>
    <mergeCell ref="G146:H146"/>
    <mergeCell ref="I146:J146"/>
    <mergeCell ref="B143:F143"/>
    <mergeCell ref="G143:H143"/>
    <mergeCell ref="I143:J143"/>
    <mergeCell ref="B144:F144"/>
    <mergeCell ref="G144:H144"/>
    <mergeCell ref="I144:J144"/>
    <mergeCell ref="B150:F150"/>
    <mergeCell ref="G150:J150"/>
    <mergeCell ref="B151:F151"/>
    <mergeCell ref="G151:J151"/>
    <mergeCell ref="B152:F152"/>
    <mergeCell ref="G152:J152"/>
    <mergeCell ref="B147:F147"/>
    <mergeCell ref="G147:H147"/>
    <mergeCell ref="I147:J147"/>
    <mergeCell ref="A148:J148"/>
    <mergeCell ref="B149:F149"/>
    <mergeCell ref="G149:H149"/>
    <mergeCell ref="I149:J149"/>
    <mergeCell ref="A156:F156"/>
    <mergeCell ref="G156:J156"/>
    <mergeCell ref="B157:F157"/>
    <mergeCell ref="G157:J157"/>
    <mergeCell ref="A158:F158"/>
    <mergeCell ref="G158:J158"/>
    <mergeCell ref="B153:F153"/>
    <mergeCell ref="G153:J153"/>
    <mergeCell ref="B154:F154"/>
    <mergeCell ref="G154:J154"/>
    <mergeCell ref="B155:F155"/>
    <mergeCell ref="G155:J155"/>
    <mergeCell ref="A163:B163"/>
    <mergeCell ref="C163:F163"/>
    <mergeCell ref="G163:H163"/>
    <mergeCell ref="I163:J163"/>
    <mergeCell ref="A159:F159"/>
    <mergeCell ref="G159:J159"/>
    <mergeCell ref="A161:J161"/>
    <mergeCell ref="A162:B162"/>
    <mergeCell ref="C162:F162"/>
    <mergeCell ref="G162:H162"/>
    <mergeCell ref="I162:J162"/>
  </mergeCells>
  <conditionalFormatting sqref="G158:J158">
    <cfRule type="cellIs" dxfId="8" priority="1" operator="greaterThan">
      <formula>5486.82156693431</formula>
    </cfRule>
  </conditionalFormatting>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B4B1D5-75E8-4A31-ACBA-06E13C1F6E56}">
  <sheetPr>
    <tabColor theme="9" tint="0.59999389629810485"/>
  </sheetPr>
  <dimension ref="A1:M163"/>
  <sheetViews>
    <sheetView topLeftCell="A130" workbookViewId="0">
      <selection activeCell="M159" sqref="M159"/>
    </sheetView>
  </sheetViews>
  <sheetFormatPr defaultRowHeight="14.5" x14ac:dyDescent="0.35"/>
  <cols>
    <col min="2" max="2" width="13.26953125" customWidth="1"/>
    <col min="3" max="3" width="13.36328125" customWidth="1"/>
    <col min="4" max="4" width="12.6328125" customWidth="1"/>
    <col min="5" max="5" width="13.36328125" customWidth="1"/>
    <col min="6" max="6" width="12.90625" customWidth="1"/>
    <col min="8" max="8" width="11.54296875" bestFit="1" customWidth="1"/>
    <col min="9" max="9" width="13" bestFit="1" customWidth="1"/>
    <col min="10" max="10" width="9.90625" bestFit="1" customWidth="1"/>
    <col min="13" max="13" width="11.54296875" customWidth="1"/>
  </cols>
  <sheetData>
    <row r="1" spans="1:10" x14ac:dyDescent="0.35">
      <c r="A1" s="287" t="s">
        <v>0</v>
      </c>
      <c r="B1" s="287"/>
      <c r="C1" s="287"/>
      <c r="D1" s="287"/>
      <c r="E1" s="287"/>
      <c r="F1" s="287"/>
      <c r="G1" s="287"/>
      <c r="H1" s="287"/>
      <c r="I1" s="287"/>
      <c r="J1" s="287"/>
    </row>
    <row r="2" spans="1:10" x14ac:dyDescent="0.35">
      <c r="A2" s="287" t="s">
        <v>1</v>
      </c>
      <c r="B2" s="287"/>
      <c r="C2" s="287"/>
      <c r="D2" s="287"/>
      <c r="E2" s="287"/>
      <c r="F2" s="287"/>
      <c r="G2" s="287"/>
      <c r="H2" s="287"/>
      <c r="I2" s="287"/>
      <c r="J2" s="287"/>
    </row>
    <row r="3" spans="1:10" x14ac:dyDescent="0.35">
      <c r="A3" s="12"/>
      <c r="B3" s="288"/>
      <c r="C3" s="288"/>
      <c r="D3" s="288"/>
      <c r="E3" s="288"/>
      <c r="F3" s="288"/>
      <c r="G3" s="288"/>
      <c r="H3" s="288"/>
      <c r="I3" s="288"/>
      <c r="J3" s="288"/>
    </row>
    <row r="4" spans="1:10" x14ac:dyDescent="0.35">
      <c r="A4" s="280" t="s">
        <v>209</v>
      </c>
      <c r="B4" s="280"/>
      <c r="C4" s="280"/>
      <c r="D4" s="280"/>
      <c r="E4" s="280"/>
      <c r="F4" s="280"/>
      <c r="G4" s="280"/>
      <c r="H4" s="280"/>
      <c r="I4" s="280"/>
      <c r="J4" s="280"/>
    </row>
    <row r="5" spans="1:10" x14ac:dyDescent="0.35">
      <c r="A5" s="280" t="s">
        <v>140</v>
      </c>
      <c r="B5" s="280"/>
      <c r="C5" s="280"/>
      <c r="D5" s="280"/>
      <c r="E5" s="280"/>
      <c r="F5" s="280"/>
      <c r="G5" s="280"/>
      <c r="H5" s="280"/>
      <c r="I5" s="280"/>
      <c r="J5" s="280"/>
    </row>
    <row r="6" spans="1:10" x14ac:dyDescent="0.35">
      <c r="A6" s="303"/>
      <c r="B6" s="303"/>
      <c r="C6" s="303"/>
      <c r="D6" s="303"/>
      <c r="E6" s="303"/>
      <c r="F6" s="303"/>
      <c r="G6" s="303"/>
      <c r="H6" s="303"/>
      <c r="I6" s="303"/>
      <c r="J6" s="303"/>
    </row>
    <row r="7" spans="1:10" x14ac:dyDescent="0.35">
      <c r="A7" s="287" t="s">
        <v>2</v>
      </c>
      <c r="B7" s="287"/>
      <c r="C7" s="287"/>
      <c r="D7" s="287"/>
      <c r="E7" s="287"/>
      <c r="F7" s="287"/>
      <c r="G7" s="287"/>
      <c r="H7" s="287"/>
      <c r="I7" s="287"/>
      <c r="J7" s="287"/>
    </row>
    <row r="8" spans="1:10" x14ac:dyDescent="0.35">
      <c r="A8" s="308"/>
      <c r="B8" s="308"/>
      <c r="C8" s="308"/>
      <c r="D8" s="308"/>
      <c r="E8" s="308"/>
      <c r="F8" s="308"/>
      <c r="G8" s="308"/>
      <c r="H8" s="308"/>
      <c r="I8" s="308"/>
      <c r="J8" s="308"/>
    </row>
    <row r="9" spans="1:10" x14ac:dyDescent="0.35">
      <c r="A9" s="57" t="s">
        <v>3</v>
      </c>
      <c r="B9" s="310" t="s">
        <v>4</v>
      </c>
      <c r="C9" s="310"/>
      <c r="D9" s="310"/>
      <c r="E9" s="310"/>
      <c r="F9" s="310"/>
      <c r="G9" s="311"/>
      <c r="H9" s="311"/>
      <c r="I9" s="311"/>
      <c r="J9" s="311"/>
    </row>
    <row r="10" spans="1:10" x14ac:dyDescent="0.35">
      <c r="A10" s="57" t="s">
        <v>5</v>
      </c>
      <c r="B10" s="310" t="s">
        <v>6</v>
      </c>
      <c r="C10" s="310"/>
      <c r="D10" s="310"/>
      <c r="E10" s="310"/>
      <c r="F10" s="310"/>
      <c r="G10" s="311" t="s">
        <v>211</v>
      </c>
      <c r="H10" s="311"/>
      <c r="I10" s="311"/>
      <c r="J10" s="311"/>
    </row>
    <row r="11" spans="1:10" x14ac:dyDescent="0.35">
      <c r="A11" s="57" t="s">
        <v>8</v>
      </c>
      <c r="B11" s="310" t="s">
        <v>9</v>
      </c>
      <c r="C11" s="310"/>
      <c r="D11" s="310"/>
      <c r="E11" s="310"/>
      <c r="F11" s="310"/>
      <c r="G11" s="297" t="s">
        <v>136</v>
      </c>
      <c r="H11" s="298"/>
      <c r="I11" s="298"/>
      <c r="J11" s="299"/>
    </row>
    <row r="12" spans="1:10" x14ac:dyDescent="0.35">
      <c r="A12" s="57" t="s">
        <v>10</v>
      </c>
      <c r="B12" s="310" t="s">
        <v>11</v>
      </c>
      <c r="C12" s="310"/>
      <c r="D12" s="310"/>
      <c r="E12" s="310"/>
      <c r="F12" s="310"/>
      <c r="G12" s="311" t="s">
        <v>12</v>
      </c>
      <c r="H12" s="311"/>
      <c r="I12" s="311"/>
      <c r="J12" s="311"/>
    </row>
    <row r="13" spans="1:10" x14ac:dyDescent="0.35">
      <c r="A13" s="308"/>
      <c r="B13" s="308"/>
      <c r="C13" s="308"/>
      <c r="D13" s="308"/>
      <c r="E13" s="308"/>
      <c r="F13" s="308"/>
      <c r="G13" s="308"/>
      <c r="H13" s="308"/>
      <c r="I13" s="308"/>
      <c r="J13" s="308"/>
    </row>
    <row r="14" spans="1:10" x14ac:dyDescent="0.35">
      <c r="A14" s="287" t="s">
        <v>13</v>
      </c>
      <c r="B14" s="287"/>
      <c r="C14" s="287"/>
      <c r="D14" s="287"/>
      <c r="E14" s="287"/>
      <c r="F14" s="287"/>
      <c r="G14" s="287"/>
      <c r="H14" s="287"/>
      <c r="I14" s="287"/>
      <c r="J14" s="287"/>
    </row>
    <row r="15" spans="1:10" x14ac:dyDescent="0.35">
      <c r="A15" s="308"/>
      <c r="B15" s="308"/>
      <c r="C15" s="308"/>
      <c r="D15" s="308"/>
      <c r="E15" s="308"/>
      <c r="F15" s="308"/>
      <c r="G15" s="308"/>
      <c r="H15" s="308"/>
      <c r="I15" s="308"/>
      <c r="J15" s="308"/>
    </row>
    <row r="16" spans="1:10" x14ac:dyDescent="0.35">
      <c r="A16" s="301" t="s">
        <v>14</v>
      </c>
      <c r="B16" s="301"/>
      <c r="C16" s="301"/>
      <c r="D16" s="311" t="s">
        <v>15</v>
      </c>
      <c r="E16" s="311"/>
      <c r="F16" s="311" t="s">
        <v>16</v>
      </c>
      <c r="G16" s="311"/>
      <c r="H16" s="311"/>
      <c r="I16" s="311"/>
      <c r="J16" s="311"/>
    </row>
    <row r="17" spans="1:10" x14ac:dyDescent="0.35">
      <c r="A17" s="304" t="s">
        <v>205</v>
      </c>
      <c r="B17" s="304"/>
      <c r="C17" s="304"/>
      <c r="D17" s="305" t="s">
        <v>212</v>
      </c>
      <c r="E17" s="306"/>
      <c r="F17" s="307">
        <v>1</v>
      </c>
      <c r="G17" s="307"/>
      <c r="H17" s="307"/>
      <c r="I17" s="307"/>
      <c r="J17" s="307"/>
    </row>
    <row r="18" spans="1:10" x14ac:dyDescent="0.35">
      <c r="A18" s="308"/>
      <c r="B18" s="308"/>
      <c r="C18" s="308"/>
      <c r="D18" s="308"/>
      <c r="E18" s="308"/>
      <c r="F18" s="308"/>
      <c r="G18" s="308"/>
      <c r="H18" s="308"/>
      <c r="I18" s="308"/>
      <c r="J18" s="308"/>
    </row>
    <row r="19" spans="1:10" x14ac:dyDescent="0.35">
      <c r="A19" s="287" t="s">
        <v>19</v>
      </c>
      <c r="B19" s="287"/>
      <c r="C19" s="287"/>
      <c r="D19" s="287"/>
      <c r="E19" s="287"/>
      <c r="F19" s="287"/>
      <c r="G19" s="287"/>
      <c r="H19" s="287"/>
      <c r="I19" s="287"/>
      <c r="J19" s="287"/>
    </row>
    <row r="20" spans="1:10" x14ac:dyDescent="0.35">
      <c r="A20" s="12"/>
      <c r="B20" s="309"/>
      <c r="C20" s="309"/>
      <c r="D20" s="309"/>
      <c r="E20" s="309"/>
      <c r="F20" s="309"/>
      <c r="G20" s="309"/>
      <c r="H20" s="309"/>
      <c r="I20" s="309"/>
      <c r="J20" s="309"/>
    </row>
    <row r="21" spans="1:10" x14ac:dyDescent="0.35">
      <c r="A21" s="20" t="s">
        <v>20</v>
      </c>
      <c r="B21" s="300" t="s">
        <v>21</v>
      </c>
      <c r="C21" s="300"/>
      <c r="D21" s="300"/>
      <c r="E21" s="300"/>
      <c r="F21" s="300"/>
      <c r="G21" s="301" t="s">
        <v>29</v>
      </c>
      <c r="H21" s="301"/>
      <c r="I21" s="301"/>
      <c r="J21" s="301"/>
    </row>
    <row r="22" spans="1:10" x14ac:dyDescent="0.35">
      <c r="A22" s="20" t="s">
        <v>22</v>
      </c>
      <c r="B22" s="300" t="s">
        <v>23</v>
      </c>
      <c r="C22" s="300"/>
      <c r="D22" s="300"/>
      <c r="E22" s="300"/>
      <c r="F22" s="300"/>
      <c r="G22" s="301" t="s">
        <v>213</v>
      </c>
      <c r="H22" s="301"/>
      <c r="I22" s="301"/>
      <c r="J22" s="301"/>
    </row>
    <row r="23" spans="1:10" x14ac:dyDescent="0.35">
      <c r="A23" s="20" t="s">
        <v>25</v>
      </c>
      <c r="B23" s="300" t="s">
        <v>26</v>
      </c>
      <c r="C23" s="300"/>
      <c r="D23" s="300"/>
      <c r="E23" s="300"/>
      <c r="F23" s="300"/>
      <c r="G23" s="312">
        <v>1530.98</v>
      </c>
      <c r="H23" s="312"/>
      <c r="I23" s="312"/>
      <c r="J23" s="312"/>
    </row>
    <row r="24" spans="1:10" x14ac:dyDescent="0.35">
      <c r="A24" s="20" t="s">
        <v>27</v>
      </c>
      <c r="B24" s="300" t="s">
        <v>28</v>
      </c>
      <c r="C24" s="300"/>
      <c r="D24" s="300"/>
      <c r="E24" s="300"/>
      <c r="F24" s="300"/>
      <c r="G24" s="301" t="s">
        <v>214</v>
      </c>
      <c r="H24" s="301"/>
      <c r="I24" s="301"/>
      <c r="J24" s="301"/>
    </row>
    <row r="25" spans="1:10" x14ac:dyDescent="0.35">
      <c r="A25" s="20" t="s">
        <v>30</v>
      </c>
      <c r="B25" s="300" t="s">
        <v>31</v>
      </c>
      <c r="C25" s="300"/>
      <c r="D25" s="300"/>
      <c r="E25" s="300"/>
      <c r="F25" s="300"/>
      <c r="G25" s="302">
        <v>45292</v>
      </c>
      <c r="H25" s="302"/>
      <c r="I25" s="302"/>
      <c r="J25" s="302"/>
    </row>
    <row r="26" spans="1:10" x14ac:dyDescent="0.35">
      <c r="A26" s="319"/>
      <c r="B26" s="319"/>
      <c r="C26" s="319"/>
      <c r="D26" s="319"/>
      <c r="E26" s="319"/>
      <c r="F26" s="319"/>
      <c r="G26" s="319"/>
      <c r="H26" s="319"/>
      <c r="I26" s="319"/>
      <c r="J26" s="319"/>
    </row>
    <row r="27" spans="1:10" x14ac:dyDescent="0.35">
      <c r="A27" s="287" t="s">
        <v>32</v>
      </c>
      <c r="B27" s="287"/>
      <c r="C27" s="287"/>
      <c r="D27" s="287"/>
      <c r="E27" s="287"/>
      <c r="F27" s="287"/>
      <c r="G27" s="287"/>
      <c r="H27" s="287"/>
      <c r="I27" s="287"/>
      <c r="J27" s="287"/>
    </row>
    <row r="28" spans="1:10" x14ac:dyDescent="0.35">
      <c r="A28" s="12"/>
      <c r="B28" s="13"/>
      <c r="C28" s="13"/>
      <c r="D28" s="13"/>
      <c r="E28" s="13"/>
      <c r="F28" s="13"/>
      <c r="G28" s="13"/>
      <c r="H28" s="13"/>
      <c r="I28" s="13"/>
      <c r="J28" s="13"/>
    </row>
    <row r="29" spans="1:10" x14ac:dyDescent="0.35">
      <c r="A29" s="10">
        <v>1</v>
      </c>
      <c r="B29" s="322" t="s">
        <v>33</v>
      </c>
      <c r="C29" s="322"/>
      <c r="D29" s="322"/>
      <c r="E29" s="322"/>
      <c r="F29" s="322"/>
      <c r="G29" s="324" t="s">
        <v>34</v>
      </c>
      <c r="H29" s="324"/>
      <c r="I29" s="324"/>
      <c r="J29" s="324"/>
    </row>
    <row r="30" spans="1:10" x14ac:dyDescent="0.35">
      <c r="A30" s="14" t="s">
        <v>3</v>
      </c>
      <c r="B30" s="325" t="s">
        <v>35</v>
      </c>
      <c r="C30" s="325"/>
      <c r="D30" s="325"/>
      <c r="E30" s="325"/>
      <c r="F30" s="325"/>
      <c r="G30" s="321">
        <f>G23</f>
        <v>1530.98</v>
      </c>
      <c r="H30" s="321"/>
      <c r="I30" s="321"/>
      <c r="J30" s="321"/>
    </row>
    <row r="31" spans="1:10" x14ac:dyDescent="0.35">
      <c r="A31" s="14" t="s">
        <v>5</v>
      </c>
      <c r="B31" s="325" t="s">
        <v>36</v>
      </c>
      <c r="C31" s="325"/>
      <c r="D31" s="325"/>
      <c r="E31" s="325"/>
      <c r="F31" s="325"/>
      <c r="G31" s="321">
        <f>G30*30%</f>
        <v>459.29399999999998</v>
      </c>
      <c r="H31" s="321"/>
      <c r="I31" s="321"/>
      <c r="J31" s="321"/>
    </row>
    <row r="32" spans="1:10" x14ac:dyDescent="0.35">
      <c r="A32" s="14" t="s">
        <v>8</v>
      </c>
      <c r="B32" s="313" t="s">
        <v>37</v>
      </c>
      <c r="C32" s="314"/>
      <c r="D32" s="314"/>
      <c r="E32" s="314"/>
      <c r="F32" s="315"/>
      <c r="G32" s="316">
        <v>0</v>
      </c>
      <c r="H32" s="317"/>
      <c r="I32" s="317"/>
      <c r="J32" s="318"/>
    </row>
    <row r="33" spans="1:10" x14ac:dyDescent="0.35">
      <c r="A33" s="14" t="s">
        <v>10</v>
      </c>
      <c r="B33" s="320" t="s">
        <v>38</v>
      </c>
      <c r="C33" s="320"/>
      <c r="D33" s="320"/>
      <c r="E33" s="320"/>
      <c r="F33" s="320"/>
      <c r="G33" s="321">
        <v>0</v>
      </c>
      <c r="H33" s="321"/>
      <c r="I33" s="321"/>
      <c r="J33" s="321"/>
    </row>
    <row r="34" spans="1:10" x14ac:dyDescent="0.35">
      <c r="A34" s="322" t="s">
        <v>39</v>
      </c>
      <c r="B34" s="322"/>
      <c r="C34" s="322"/>
      <c r="D34" s="322"/>
      <c r="E34" s="322"/>
      <c r="F34" s="322"/>
      <c r="G34" s="323">
        <f>SUM(G30:J33)</f>
        <v>1990.2739999999999</v>
      </c>
      <c r="H34" s="323"/>
      <c r="I34" s="323"/>
      <c r="J34" s="323"/>
    </row>
    <row r="35" spans="1:10" x14ac:dyDescent="0.35">
      <c r="A35" s="12"/>
      <c r="B35" s="288"/>
      <c r="C35" s="288"/>
      <c r="D35" s="288"/>
      <c r="E35" s="288"/>
      <c r="F35" s="288"/>
      <c r="G35" s="288"/>
      <c r="H35" s="288"/>
      <c r="I35" s="288"/>
      <c r="J35" s="288"/>
    </row>
    <row r="36" spans="1:10" x14ac:dyDescent="0.35">
      <c r="A36" s="287" t="s">
        <v>40</v>
      </c>
      <c r="B36" s="287"/>
      <c r="C36" s="287"/>
      <c r="D36" s="287"/>
      <c r="E36" s="287"/>
      <c r="F36" s="287"/>
      <c r="G36" s="287"/>
      <c r="H36" s="287"/>
      <c r="I36" s="287"/>
      <c r="J36" s="287"/>
    </row>
    <row r="37" spans="1:10" x14ac:dyDescent="0.35">
      <c r="A37" s="12"/>
      <c r="B37" s="288"/>
      <c r="C37" s="288"/>
      <c r="D37" s="288"/>
      <c r="E37" s="288"/>
      <c r="F37" s="288"/>
      <c r="G37" s="288"/>
      <c r="H37" s="288"/>
      <c r="I37" s="288"/>
      <c r="J37" s="288"/>
    </row>
    <row r="38" spans="1:10" x14ac:dyDescent="0.35">
      <c r="A38" s="326" t="s">
        <v>41</v>
      </c>
      <c r="B38" s="326"/>
      <c r="C38" s="326"/>
      <c r="D38" s="326"/>
      <c r="E38" s="326"/>
      <c r="F38" s="326"/>
      <c r="G38" s="326"/>
      <c r="H38" s="326"/>
      <c r="I38" s="326"/>
      <c r="J38" s="326"/>
    </row>
    <row r="39" spans="1:10" x14ac:dyDescent="0.35">
      <c r="A39" s="327" t="s">
        <v>42</v>
      </c>
      <c r="B39" s="327"/>
      <c r="C39" s="327"/>
      <c r="D39" s="327"/>
      <c r="E39" s="327"/>
      <c r="F39" s="327"/>
      <c r="G39" s="328">
        <f>G34</f>
        <v>1990.2739999999999</v>
      </c>
      <c r="H39" s="328"/>
      <c r="I39" s="328"/>
      <c r="J39" s="328"/>
    </row>
    <row r="40" spans="1:10" x14ac:dyDescent="0.35">
      <c r="A40" s="12"/>
      <c r="B40" s="309"/>
      <c r="C40" s="309"/>
      <c r="D40" s="309"/>
      <c r="E40" s="309"/>
      <c r="F40" s="309"/>
      <c r="G40" s="309"/>
      <c r="H40" s="309"/>
      <c r="I40" s="309"/>
      <c r="J40" s="309"/>
    </row>
    <row r="41" spans="1:10" x14ac:dyDescent="0.35">
      <c r="A41" s="20" t="s">
        <v>43</v>
      </c>
      <c r="B41" s="311" t="s">
        <v>44</v>
      </c>
      <c r="C41" s="311"/>
      <c r="D41" s="311"/>
      <c r="E41" s="311"/>
      <c r="F41" s="311"/>
      <c r="G41" s="311" t="s">
        <v>45</v>
      </c>
      <c r="H41" s="311"/>
      <c r="I41" s="322" t="s">
        <v>34</v>
      </c>
      <c r="J41" s="322"/>
    </row>
    <row r="42" spans="1:10" x14ac:dyDescent="0.35">
      <c r="A42" s="23" t="s">
        <v>3</v>
      </c>
      <c r="B42" s="300" t="s">
        <v>46</v>
      </c>
      <c r="C42" s="300"/>
      <c r="D42" s="300"/>
      <c r="E42" s="300"/>
      <c r="F42" s="300"/>
      <c r="G42" s="331">
        <v>8.3299999999999999E-2</v>
      </c>
      <c r="H42" s="331"/>
      <c r="I42" s="330">
        <f>G39*G42</f>
        <v>165.7898242</v>
      </c>
      <c r="J42" s="330"/>
    </row>
    <row r="43" spans="1:10" x14ac:dyDescent="0.35">
      <c r="A43" s="23" t="s">
        <v>5</v>
      </c>
      <c r="B43" s="300" t="s">
        <v>47</v>
      </c>
      <c r="C43" s="300"/>
      <c r="D43" s="300"/>
      <c r="E43" s="300"/>
      <c r="F43" s="300"/>
      <c r="G43" s="329">
        <v>2.7799999999999998E-2</v>
      </c>
      <c r="H43" s="329"/>
      <c r="I43" s="330">
        <f>G39*G43</f>
        <v>55.329617199999994</v>
      </c>
      <c r="J43" s="330"/>
    </row>
    <row r="44" spans="1:10" x14ac:dyDescent="0.35">
      <c r="A44" s="311" t="s">
        <v>39</v>
      </c>
      <c r="B44" s="311"/>
      <c r="C44" s="311"/>
      <c r="D44" s="311"/>
      <c r="E44" s="311"/>
      <c r="F44" s="311"/>
      <c r="G44" s="331">
        <f>SUM(G42:H43)</f>
        <v>0.1111</v>
      </c>
      <c r="H44" s="304"/>
      <c r="I44" s="332">
        <f>SUM(I42:J43)</f>
        <v>221.1194414</v>
      </c>
      <c r="J44" s="332"/>
    </row>
    <row r="45" spans="1:10" x14ac:dyDescent="0.35">
      <c r="A45" s="288"/>
      <c r="B45" s="288"/>
      <c r="C45" s="288"/>
      <c r="D45" s="288"/>
      <c r="E45" s="288"/>
      <c r="F45" s="288"/>
      <c r="G45" s="288"/>
      <c r="H45" s="288"/>
      <c r="I45" s="288"/>
      <c r="J45" s="288"/>
    </row>
    <row r="46" spans="1:10" x14ac:dyDescent="0.35">
      <c r="A46" s="334" t="s">
        <v>48</v>
      </c>
      <c r="B46" s="334"/>
      <c r="C46" s="334"/>
      <c r="D46" s="334"/>
      <c r="E46" s="334"/>
      <c r="F46" s="334"/>
      <c r="G46" s="334"/>
      <c r="H46" s="334"/>
      <c r="I46" s="334"/>
      <c r="J46" s="334"/>
    </row>
    <row r="47" spans="1:10" x14ac:dyDescent="0.35">
      <c r="A47" s="335" t="s">
        <v>49</v>
      </c>
      <c r="B47" s="335"/>
      <c r="C47" s="335"/>
      <c r="D47" s="335"/>
      <c r="E47" s="335"/>
      <c r="F47" s="335"/>
      <c r="G47" s="336">
        <f>G34+I44</f>
        <v>2211.3934414</v>
      </c>
      <c r="H47" s="336"/>
      <c r="I47" s="336"/>
      <c r="J47" s="336"/>
    </row>
    <row r="48" spans="1:10" x14ac:dyDescent="0.35">
      <c r="A48" s="337"/>
      <c r="B48" s="337"/>
      <c r="C48" s="337"/>
      <c r="D48" s="337"/>
      <c r="E48" s="337"/>
      <c r="F48" s="337"/>
      <c r="G48" s="337"/>
      <c r="H48" s="337"/>
      <c r="I48" s="337"/>
      <c r="J48" s="337"/>
    </row>
    <row r="49" spans="1:10" x14ac:dyDescent="0.35">
      <c r="A49" s="28" t="s">
        <v>50</v>
      </c>
      <c r="B49" s="338" t="s">
        <v>51</v>
      </c>
      <c r="C49" s="338"/>
      <c r="D49" s="338"/>
      <c r="E49" s="338"/>
      <c r="F49" s="338"/>
      <c r="G49" s="339" t="s">
        <v>45</v>
      </c>
      <c r="H49" s="339"/>
      <c r="I49" s="340" t="s">
        <v>34</v>
      </c>
      <c r="J49" s="340"/>
    </row>
    <row r="50" spans="1:10" x14ac:dyDescent="0.35">
      <c r="A50" s="23" t="s">
        <v>3</v>
      </c>
      <c r="B50" s="300" t="s">
        <v>52</v>
      </c>
      <c r="C50" s="300"/>
      <c r="D50" s="300"/>
      <c r="E50" s="300"/>
      <c r="F50" s="300"/>
      <c r="G50" s="331">
        <v>0.2</v>
      </c>
      <c r="H50" s="331"/>
      <c r="I50" s="333">
        <f>G47*G50</f>
        <v>442.27868828000004</v>
      </c>
      <c r="J50" s="333"/>
    </row>
    <row r="51" spans="1:10" x14ac:dyDescent="0.35">
      <c r="A51" s="23" t="s">
        <v>5</v>
      </c>
      <c r="B51" s="300" t="s">
        <v>53</v>
      </c>
      <c r="C51" s="300"/>
      <c r="D51" s="300"/>
      <c r="E51" s="300"/>
      <c r="F51" s="300"/>
      <c r="G51" s="331">
        <v>2.5000000000000001E-2</v>
      </c>
      <c r="H51" s="331"/>
      <c r="I51" s="333">
        <f>G47*G51</f>
        <v>55.284836035000005</v>
      </c>
      <c r="J51" s="333"/>
    </row>
    <row r="52" spans="1:10" x14ac:dyDescent="0.35">
      <c r="A52" s="23" t="s">
        <v>8</v>
      </c>
      <c r="B52" s="341" t="s">
        <v>54</v>
      </c>
      <c r="C52" s="341"/>
      <c r="D52" s="341"/>
      <c r="E52" s="341"/>
      <c r="F52" s="341"/>
      <c r="G52" s="342">
        <v>0.03</v>
      </c>
      <c r="H52" s="343"/>
      <c r="I52" s="333">
        <f>G47*G52</f>
        <v>66.341803241999997</v>
      </c>
      <c r="J52" s="333"/>
    </row>
    <row r="53" spans="1:10" x14ac:dyDescent="0.35">
      <c r="A53" s="23" t="s">
        <v>10</v>
      </c>
      <c r="B53" s="300" t="s">
        <v>55</v>
      </c>
      <c r="C53" s="300"/>
      <c r="D53" s="300"/>
      <c r="E53" s="300"/>
      <c r="F53" s="300"/>
      <c r="G53" s="331">
        <v>1.4999999999999999E-2</v>
      </c>
      <c r="H53" s="331"/>
      <c r="I53" s="333">
        <f>G47*G53</f>
        <v>33.170901620999999</v>
      </c>
      <c r="J53" s="333"/>
    </row>
    <row r="54" spans="1:10" x14ac:dyDescent="0.35">
      <c r="A54" s="23" t="s">
        <v>56</v>
      </c>
      <c r="B54" s="300" t="s">
        <v>57</v>
      </c>
      <c r="C54" s="300"/>
      <c r="D54" s="300"/>
      <c r="E54" s="300"/>
      <c r="F54" s="300"/>
      <c r="G54" s="331">
        <v>0.01</v>
      </c>
      <c r="H54" s="331"/>
      <c r="I54" s="333">
        <f>G47*G54</f>
        <v>22.113934413999999</v>
      </c>
      <c r="J54" s="333"/>
    </row>
    <row r="55" spans="1:10" x14ac:dyDescent="0.35">
      <c r="A55" s="23" t="s">
        <v>58</v>
      </c>
      <c r="B55" s="300" t="s">
        <v>59</v>
      </c>
      <c r="C55" s="300"/>
      <c r="D55" s="300"/>
      <c r="E55" s="300"/>
      <c r="F55" s="300"/>
      <c r="G55" s="331">
        <v>6.0000000000000001E-3</v>
      </c>
      <c r="H55" s="331"/>
      <c r="I55" s="333">
        <f>G47*G55</f>
        <v>13.2683606484</v>
      </c>
      <c r="J55" s="333"/>
    </row>
    <row r="56" spans="1:10" x14ac:dyDescent="0.35">
      <c r="A56" s="23" t="s">
        <v>60</v>
      </c>
      <c r="B56" s="300" t="s">
        <v>61</v>
      </c>
      <c r="C56" s="300"/>
      <c r="D56" s="300"/>
      <c r="E56" s="300"/>
      <c r="F56" s="300"/>
      <c r="G56" s="331">
        <v>2E-3</v>
      </c>
      <c r="H56" s="331"/>
      <c r="I56" s="333">
        <f>G47*G56</f>
        <v>4.4227868828000005</v>
      </c>
      <c r="J56" s="333"/>
    </row>
    <row r="57" spans="1:10" x14ac:dyDescent="0.35">
      <c r="A57" s="23" t="s">
        <v>62</v>
      </c>
      <c r="B57" s="300" t="s">
        <v>63</v>
      </c>
      <c r="C57" s="300"/>
      <c r="D57" s="300"/>
      <c r="E57" s="300"/>
      <c r="F57" s="300"/>
      <c r="G57" s="331">
        <v>0.08</v>
      </c>
      <c r="H57" s="331"/>
      <c r="I57" s="333">
        <f>G47*G57</f>
        <v>176.91147531199999</v>
      </c>
      <c r="J57" s="333"/>
    </row>
    <row r="58" spans="1:10" x14ac:dyDescent="0.35">
      <c r="A58" s="311" t="s">
        <v>64</v>
      </c>
      <c r="B58" s="311"/>
      <c r="C58" s="311"/>
      <c r="D58" s="311"/>
      <c r="E58" s="311"/>
      <c r="F58" s="311"/>
      <c r="G58" s="344">
        <f>SUM(G50:H57)</f>
        <v>0.36800000000000005</v>
      </c>
      <c r="H58" s="311"/>
      <c r="I58" s="345">
        <f>SUM(I50:J57)</f>
        <v>813.79278643520001</v>
      </c>
      <c r="J58" s="345"/>
    </row>
    <row r="59" spans="1:10" x14ac:dyDescent="0.35">
      <c r="A59" s="319"/>
      <c r="B59" s="319"/>
      <c r="C59" s="319"/>
      <c r="D59" s="319"/>
      <c r="E59" s="319"/>
      <c r="F59" s="319"/>
      <c r="G59" s="319"/>
      <c r="H59" s="319"/>
      <c r="I59" s="319"/>
      <c r="J59" s="319"/>
    </row>
    <row r="60" spans="1:10" x14ac:dyDescent="0.35">
      <c r="A60" s="326" t="s">
        <v>65</v>
      </c>
      <c r="B60" s="326"/>
      <c r="C60" s="326"/>
      <c r="D60" s="326"/>
      <c r="E60" s="326"/>
      <c r="F60" s="326"/>
      <c r="G60" s="326"/>
      <c r="H60" s="326"/>
      <c r="I60" s="326"/>
      <c r="J60" s="326"/>
    </row>
    <row r="61" spans="1:10" x14ac:dyDescent="0.35">
      <c r="A61" s="12"/>
      <c r="B61" s="309"/>
      <c r="C61" s="309"/>
      <c r="D61" s="309"/>
      <c r="E61" s="309"/>
      <c r="F61" s="309"/>
      <c r="G61" s="309"/>
      <c r="H61" s="309"/>
      <c r="I61" s="309"/>
      <c r="J61" s="309"/>
    </row>
    <row r="62" spans="1:10" x14ac:dyDescent="0.35">
      <c r="A62" s="21" t="s">
        <v>66</v>
      </c>
      <c r="B62" s="347" t="s">
        <v>67</v>
      </c>
      <c r="C62" s="347"/>
      <c r="D62" s="347"/>
      <c r="E62" s="347"/>
      <c r="F62" s="347"/>
      <c r="G62" s="295" t="s">
        <v>138</v>
      </c>
      <c r="H62" s="296"/>
      <c r="I62" s="353" t="s">
        <v>34</v>
      </c>
      <c r="J62" s="354"/>
    </row>
    <row r="63" spans="1:10" x14ac:dyDescent="0.35">
      <c r="A63" s="22" t="s">
        <v>3</v>
      </c>
      <c r="B63" s="346" t="s">
        <v>68</v>
      </c>
      <c r="C63" s="346"/>
      <c r="D63" s="346"/>
      <c r="E63" s="346"/>
      <c r="F63" s="346"/>
      <c r="G63" s="291">
        <v>0.06</v>
      </c>
      <c r="H63" s="292"/>
      <c r="I63" s="281">
        <f>(2*4.7*21.25)-(G63*G30)</f>
        <v>107.8912</v>
      </c>
      <c r="J63" s="283"/>
    </row>
    <row r="64" spans="1:10" x14ac:dyDescent="0.35">
      <c r="A64" s="22" t="s">
        <v>5</v>
      </c>
      <c r="B64" s="346" t="s">
        <v>69</v>
      </c>
      <c r="C64" s="346"/>
      <c r="D64" s="346"/>
      <c r="E64" s="346"/>
      <c r="F64" s="346"/>
      <c r="G64" s="291">
        <v>3.5000000000000003E-2</v>
      </c>
      <c r="H64" s="292"/>
      <c r="I64" s="352">
        <f>(20*22)-(20*22*G64)</f>
        <v>424.6</v>
      </c>
      <c r="J64" s="352"/>
    </row>
    <row r="65" spans="1:10" x14ac:dyDescent="0.35">
      <c r="A65" s="22" t="s">
        <v>8</v>
      </c>
      <c r="B65" s="346" t="s">
        <v>70</v>
      </c>
      <c r="C65" s="346"/>
      <c r="D65" s="346"/>
      <c r="E65" s="346"/>
      <c r="F65" s="346"/>
      <c r="G65" s="289" t="s">
        <v>139</v>
      </c>
      <c r="H65" s="290"/>
      <c r="I65" s="352">
        <v>99.84</v>
      </c>
      <c r="J65" s="352"/>
    </row>
    <row r="66" spans="1:10" x14ac:dyDescent="0.35">
      <c r="A66" s="22" t="s">
        <v>10</v>
      </c>
      <c r="B66" s="346" t="s">
        <v>71</v>
      </c>
      <c r="C66" s="346"/>
      <c r="D66" s="346"/>
      <c r="E66" s="346"/>
      <c r="F66" s="346"/>
      <c r="G66" s="289" t="s">
        <v>139</v>
      </c>
      <c r="H66" s="290"/>
      <c r="I66" s="352">
        <v>5</v>
      </c>
      <c r="J66" s="352"/>
    </row>
    <row r="67" spans="1:10" x14ac:dyDescent="0.35">
      <c r="A67" s="22" t="s">
        <v>56</v>
      </c>
      <c r="B67" s="346" t="s">
        <v>72</v>
      </c>
      <c r="C67" s="346"/>
      <c r="D67" s="346"/>
      <c r="E67" s="346"/>
      <c r="F67" s="346"/>
      <c r="G67" s="289" t="s">
        <v>139</v>
      </c>
      <c r="H67" s="290"/>
      <c r="I67" s="352">
        <v>10</v>
      </c>
      <c r="J67" s="352"/>
    </row>
    <row r="68" spans="1:10" x14ac:dyDescent="0.35">
      <c r="A68" s="22" t="s">
        <v>58</v>
      </c>
      <c r="B68" s="346" t="s">
        <v>73</v>
      </c>
      <c r="C68" s="346"/>
      <c r="D68" s="346"/>
      <c r="E68" s="346"/>
      <c r="F68" s="346"/>
      <c r="G68" s="289" t="s">
        <v>139</v>
      </c>
      <c r="H68" s="290"/>
      <c r="I68" s="352">
        <v>8</v>
      </c>
      <c r="J68" s="352"/>
    </row>
    <row r="69" spans="1:10" x14ac:dyDescent="0.35">
      <c r="A69" s="22" t="s">
        <v>60</v>
      </c>
      <c r="B69" s="349" t="s">
        <v>74</v>
      </c>
      <c r="C69" s="350"/>
      <c r="D69" s="350"/>
      <c r="E69" s="350"/>
      <c r="F69" s="351"/>
      <c r="G69" s="293">
        <v>2.6069999999999999E-2</v>
      </c>
      <c r="H69" s="294"/>
      <c r="I69" s="352">
        <f xml:space="preserve"> (282.5*4*G69)/24</f>
        <v>1.2274624999999999</v>
      </c>
      <c r="J69" s="352"/>
    </row>
    <row r="70" spans="1:10" x14ac:dyDescent="0.35">
      <c r="A70" s="22" t="s">
        <v>62</v>
      </c>
      <c r="B70" s="349" t="s">
        <v>75</v>
      </c>
      <c r="C70" s="350"/>
      <c r="D70" s="350"/>
      <c r="E70" s="350"/>
      <c r="F70" s="351"/>
      <c r="G70" s="291">
        <v>1.0416E-2</v>
      </c>
      <c r="H70" s="292"/>
      <c r="I70" s="352">
        <f>((1412.62)*G70)/24</f>
        <v>0.61307707999999994</v>
      </c>
      <c r="J70" s="352"/>
    </row>
    <row r="71" spans="1:10" x14ac:dyDescent="0.35">
      <c r="A71" s="22" t="s">
        <v>20</v>
      </c>
      <c r="B71" s="300" t="s">
        <v>38</v>
      </c>
      <c r="C71" s="300"/>
      <c r="D71" s="300"/>
      <c r="E71" s="300"/>
      <c r="F71" s="300"/>
      <c r="G71" s="289" t="s">
        <v>139</v>
      </c>
      <c r="H71" s="290"/>
      <c r="I71" s="321">
        <v>0</v>
      </c>
      <c r="J71" s="321"/>
    </row>
    <row r="72" spans="1:10" x14ac:dyDescent="0.35">
      <c r="A72" s="355" t="s">
        <v>39</v>
      </c>
      <c r="B72" s="356"/>
      <c r="C72" s="356"/>
      <c r="D72" s="356"/>
      <c r="E72" s="356"/>
      <c r="F72" s="356"/>
      <c r="G72" s="356"/>
      <c r="H72" s="357"/>
      <c r="I72" s="323">
        <f>SUM(I63:J71)</f>
        <v>657.17173958000012</v>
      </c>
      <c r="J72" s="323"/>
    </row>
    <row r="73" spans="1:10" x14ac:dyDescent="0.35">
      <c r="A73" s="348"/>
      <c r="B73" s="348"/>
      <c r="C73" s="348"/>
      <c r="D73" s="348"/>
      <c r="E73" s="348"/>
      <c r="F73" s="348"/>
      <c r="G73" s="348"/>
      <c r="H73" s="348"/>
      <c r="I73" s="348"/>
      <c r="J73" s="348"/>
    </row>
    <row r="74" spans="1:10" x14ac:dyDescent="0.35">
      <c r="A74" s="326" t="s">
        <v>76</v>
      </c>
      <c r="B74" s="326"/>
      <c r="C74" s="326"/>
      <c r="D74" s="326"/>
      <c r="E74" s="326"/>
      <c r="F74" s="326"/>
      <c r="G74" s="326"/>
      <c r="H74" s="326"/>
      <c r="I74" s="326"/>
      <c r="J74" s="326"/>
    </row>
    <row r="75" spans="1:10" x14ac:dyDescent="0.35">
      <c r="A75" s="358"/>
      <c r="B75" s="358"/>
      <c r="C75" s="358"/>
      <c r="D75" s="358"/>
      <c r="E75" s="358"/>
      <c r="F75" s="358"/>
      <c r="G75" s="358"/>
      <c r="H75" s="358"/>
      <c r="I75" s="358"/>
      <c r="J75" s="358"/>
    </row>
    <row r="76" spans="1:10" x14ac:dyDescent="0.35">
      <c r="A76" s="20">
        <v>2</v>
      </c>
      <c r="B76" s="311" t="s">
        <v>77</v>
      </c>
      <c r="C76" s="311"/>
      <c r="D76" s="311"/>
      <c r="E76" s="311"/>
      <c r="F76" s="311"/>
      <c r="G76" s="311" t="s">
        <v>34</v>
      </c>
      <c r="H76" s="311"/>
      <c r="I76" s="311"/>
      <c r="J76" s="311"/>
    </row>
    <row r="77" spans="1:10" x14ac:dyDescent="0.35">
      <c r="A77" s="23" t="s">
        <v>43</v>
      </c>
      <c r="B77" s="300" t="s">
        <v>44</v>
      </c>
      <c r="C77" s="300"/>
      <c r="D77" s="300"/>
      <c r="E77" s="300"/>
      <c r="F77" s="300"/>
      <c r="G77" s="321">
        <f>I44</f>
        <v>221.1194414</v>
      </c>
      <c r="H77" s="321"/>
      <c r="I77" s="321"/>
      <c r="J77" s="321"/>
    </row>
    <row r="78" spans="1:10" x14ac:dyDescent="0.35">
      <c r="A78" s="23" t="s">
        <v>50</v>
      </c>
      <c r="B78" s="300" t="s">
        <v>51</v>
      </c>
      <c r="C78" s="300"/>
      <c r="D78" s="300"/>
      <c r="E78" s="300"/>
      <c r="F78" s="300"/>
      <c r="G78" s="321">
        <f>I58</f>
        <v>813.79278643520001</v>
      </c>
      <c r="H78" s="321"/>
      <c r="I78" s="321"/>
      <c r="J78" s="321"/>
    </row>
    <row r="79" spans="1:10" x14ac:dyDescent="0.35">
      <c r="A79" s="23" t="s">
        <v>66</v>
      </c>
      <c r="B79" s="300" t="s">
        <v>67</v>
      </c>
      <c r="C79" s="300"/>
      <c r="D79" s="300"/>
      <c r="E79" s="300"/>
      <c r="F79" s="300"/>
      <c r="G79" s="321">
        <f>I72</f>
        <v>657.17173958000012</v>
      </c>
      <c r="H79" s="321"/>
      <c r="I79" s="321"/>
      <c r="J79" s="321"/>
    </row>
    <row r="80" spans="1:10" x14ac:dyDescent="0.35">
      <c r="A80" s="311" t="s">
        <v>39</v>
      </c>
      <c r="B80" s="311"/>
      <c r="C80" s="311"/>
      <c r="D80" s="311"/>
      <c r="E80" s="311"/>
      <c r="F80" s="311"/>
      <c r="G80" s="323">
        <f>SUM(G77:J79)</f>
        <v>1692.0839674152</v>
      </c>
      <c r="H80" s="323"/>
      <c r="I80" s="323"/>
      <c r="J80" s="323"/>
    </row>
    <row r="81" spans="1:10" x14ac:dyDescent="0.35">
      <c r="A81" s="319"/>
      <c r="B81" s="319"/>
      <c r="C81" s="319"/>
      <c r="D81" s="319"/>
      <c r="E81" s="319"/>
      <c r="F81" s="319"/>
      <c r="G81" s="319"/>
      <c r="H81" s="319"/>
      <c r="I81" s="319"/>
      <c r="J81" s="319"/>
    </row>
    <row r="82" spans="1:10" x14ac:dyDescent="0.35">
      <c r="A82" s="303"/>
      <c r="B82" s="303"/>
      <c r="C82" s="303"/>
      <c r="D82" s="303"/>
      <c r="E82" s="303"/>
      <c r="F82" s="303"/>
      <c r="G82" s="303"/>
      <c r="H82" s="303"/>
      <c r="I82" s="303"/>
      <c r="J82" s="303"/>
    </row>
    <row r="83" spans="1:10" x14ac:dyDescent="0.35">
      <c r="A83" s="287" t="s">
        <v>78</v>
      </c>
      <c r="B83" s="287"/>
      <c r="C83" s="287"/>
      <c r="D83" s="287"/>
      <c r="E83" s="287"/>
      <c r="F83" s="287"/>
      <c r="G83" s="287"/>
      <c r="H83" s="287"/>
      <c r="I83" s="287"/>
      <c r="J83" s="287"/>
    </row>
    <row r="84" spans="1:10" x14ac:dyDescent="0.35">
      <c r="A84" s="361" t="s">
        <v>79</v>
      </c>
      <c r="B84" s="361"/>
      <c r="C84" s="361"/>
      <c r="D84" s="361"/>
      <c r="E84" s="361"/>
      <c r="F84" s="361"/>
      <c r="G84" s="362">
        <f>G34</f>
        <v>1990.2739999999999</v>
      </c>
      <c r="H84" s="362"/>
      <c r="I84" s="362"/>
      <c r="J84" s="362"/>
    </row>
    <row r="85" spans="1:10" x14ac:dyDescent="0.35">
      <c r="A85" s="363"/>
      <c r="B85" s="363"/>
      <c r="C85" s="363"/>
      <c r="D85" s="363"/>
      <c r="E85" s="363"/>
      <c r="F85" s="363"/>
      <c r="G85" s="309"/>
      <c r="H85" s="309"/>
      <c r="I85" s="309"/>
      <c r="J85" s="309"/>
    </row>
    <row r="86" spans="1:10" x14ac:dyDescent="0.35">
      <c r="A86" s="10">
        <v>3</v>
      </c>
      <c r="B86" s="322" t="s">
        <v>80</v>
      </c>
      <c r="C86" s="322"/>
      <c r="D86" s="322"/>
      <c r="E86" s="322"/>
      <c r="F86" s="322"/>
      <c r="G86" s="364" t="s">
        <v>45</v>
      </c>
      <c r="H86" s="364"/>
      <c r="I86" s="322" t="s">
        <v>34</v>
      </c>
      <c r="J86" s="322"/>
    </row>
    <row r="87" spans="1:10" x14ac:dyDescent="0.35">
      <c r="A87" s="14" t="s">
        <v>3</v>
      </c>
      <c r="B87" s="359" t="s">
        <v>81</v>
      </c>
      <c r="C87" s="359"/>
      <c r="D87" s="359"/>
      <c r="E87" s="359"/>
      <c r="F87" s="359"/>
      <c r="G87" s="30">
        <v>0.05</v>
      </c>
      <c r="H87" s="24">
        <f>(1/12)*G87</f>
        <v>4.1666666666666666E-3</v>
      </c>
      <c r="I87" s="333">
        <f>G84*H87</f>
        <v>8.2928083333333333</v>
      </c>
      <c r="J87" s="333"/>
    </row>
    <row r="88" spans="1:10" x14ac:dyDescent="0.35">
      <c r="A88" s="14" t="s">
        <v>5</v>
      </c>
      <c r="B88" s="359" t="s">
        <v>82</v>
      </c>
      <c r="C88" s="359"/>
      <c r="D88" s="359"/>
      <c r="E88" s="359"/>
      <c r="F88" s="359"/>
      <c r="G88" s="329">
        <f>H87*0.08</f>
        <v>3.3333333333333332E-4</v>
      </c>
      <c r="H88" s="329"/>
      <c r="I88" s="360">
        <f>G84*G88</f>
        <v>0.66342466666666655</v>
      </c>
      <c r="J88" s="360"/>
    </row>
    <row r="89" spans="1:10" x14ac:dyDescent="0.35">
      <c r="A89" s="14" t="s">
        <v>8</v>
      </c>
      <c r="B89" s="359" t="s">
        <v>203</v>
      </c>
      <c r="C89" s="359"/>
      <c r="D89" s="359"/>
      <c r="E89" s="359"/>
      <c r="F89" s="359"/>
      <c r="G89" s="30">
        <v>0.9</v>
      </c>
      <c r="H89" s="24">
        <f>(1+2/12+(1/3*1/12))*0.08*0.4*G89</f>
        <v>3.4400000000000007E-2</v>
      </c>
      <c r="I89" s="365">
        <f>G84*H89</f>
        <v>68.465425600000003</v>
      </c>
      <c r="J89" s="366"/>
    </row>
    <row r="90" spans="1:10" x14ac:dyDescent="0.35">
      <c r="A90" s="14" t="s">
        <v>10</v>
      </c>
      <c r="B90" s="359" t="s">
        <v>83</v>
      </c>
      <c r="C90" s="359"/>
      <c r="D90" s="359"/>
      <c r="E90" s="359"/>
      <c r="F90" s="359"/>
      <c r="G90" s="329">
        <f>((7/30) + (7/30*0.1))/ 24</f>
        <v>1.0694444444444444E-2</v>
      </c>
      <c r="H90" s="329"/>
      <c r="I90" s="365">
        <f>G84*G90</f>
        <v>21.28487472222222</v>
      </c>
      <c r="J90" s="366"/>
    </row>
    <row r="91" spans="1:10" x14ac:dyDescent="0.35">
      <c r="A91" s="14" t="s">
        <v>56</v>
      </c>
      <c r="B91" s="359" t="s">
        <v>84</v>
      </c>
      <c r="C91" s="359"/>
      <c r="D91" s="359"/>
      <c r="E91" s="359"/>
      <c r="F91" s="359"/>
      <c r="G91" s="329">
        <f>G90*G58</f>
        <v>3.9355555555555559E-3</v>
      </c>
      <c r="H91" s="329"/>
      <c r="I91" s="365">
        <f>G84*G91</f>
        <v>7.8328338977777783</v>
      </c>
      <c r="J91" s="366"/>
    </row>
    <row r="92" spans="1:10" x14ac:dyDescent="0.35">
      <c r="A92" s="14" t="s">
        <v>58</v>
      </c>
      <c r="B92" s="359" t="s">
        <v>204</v>
      </c>
      <c r="C92" s="359"/>
      <c r="D92" s="359"/>
      <c r="E92" s="359"/>
      <c r="F92" s="359"/>
      <c r="G92" s="367">
        <f>G90*0.08*0.4</f>
        <v>3.4222222222222228E-4</v>
      </c>
      <c r="H92" s="367"/>
      <c r="I92" s="368">
        <f>G84*G92</f>
        <v>0.68111599111111121</v>
      </c>
      <c r="J92" s="369"/>
    </row>
    <row r="93" spans="1:10" x14ac:dyDescent="0.35">
      <c r="A93" s="322" t="s">
        <v>39</v>
      </c>
      <c r="B93" s="322"/>
      <c r="C93" s="322"/>
      <c r="D93" s="322"/>
      <c r="E93" s="322"/>
      <c r="F93" s="322"/>
      <c r="G93" s="372">
        <f>SUM(H87,G88,H89,G90,G91,G92)</f>
        <v>5.3872222222222224E-2</v>
      </c>
      <c r="H93" s="372"/>
      <c r="I93" s="345">
        <f>SUM(I87:J92)</f>
        <v>107.2204832111111</v>
      </c>
      <c r="J93" s="345"/>
    </row>
    <row r="94" spans="1:10" x14ac:dyDescent="0.35">
      <c r="A94" s="373"/>
      <c r="B94" s="373"/>
      <c r="C94" s="373"/>
      <c r="D94" s="373"/>
      <c r="E94" s="373"/>
      <c r="F94" s="373"/>
      <c r="G94" s="373"/>
      <c r="H94" s="373"/>
      <c r="I94" s="373"/>
      <c r="J94" s="373"/>
    </row>
    <row r="95" spans="1:10" x14ac:dyDescent="0.35">
      <c r="A95" s="287" t="s">
        <v>85</v>
      </c>
      <c r="B95" s="287"/>
      <c r="C95" s="287"/>
      <c r="D95" s="287"/>
      <c r="E95" s="287"/>
      <c r="F95" s="287"/>
      <c r="G95" s="287"/>
      <c r="H95" s="287"/>
      <c r="I95" s="287"/>
      <c r="J95" s="287"/>
    </row>
    <row r="96" spans="1:10" x14ac:dyDescent="0.35">
      <c r="A96" s="12"/>
      <c r="B96" s="288"/>
      <c r="C96" s="288"/>
      <c r="D96" s="288"/>
      <c r="E96" s="288"/>
      <c r="F96" s="288"/>
      <c r="G96" s="288"/>
      <c r="H96" s="288"/>
      <c r="I96" s="288"/>
      <c r="J96" s="288"/>
    </row>
    <row r="97" spans="1:10" x14ac:dyDescent="0.35">
      <c r="A97" s="326" t="s">
        <v>86</v>
      </c>
      <c r="B97" s="326"/>
      <c r="C97" s="326"/>
      <c r="D97" s="326"/>
      <c r="E97" s="326"/>
      <c r="F97" s="326"/>
      <c r="G97" s="326"/>
      <c r="H97" s="326"/>
      <c r="I97" s="326"/>
      <c r="J97" s="326"/>
    </row>
    <row r="98" spans="1:10" x14ac:dyDescent="0.35">
      <c r="A98" s="361" t="s">
        <v>87</v>
      </c>
      <c r="B98" s="361"/>
      <c r="C98" s="361"/>
      <c r="D98" s="361"/>
      <c r="E98" s="361"/>
      <c r="F98" s="361"/>
      <c r="G98" s="370">
        <f>G34</f>
        <v>1990.2739999999999</v>
      </c>
      <c r="H98" s="371"/>
      <c r="I98" s="371"/>
      <c r="J98" s="371"/>
    </row>
    <row r="99" spans="1:10" x14ac:dyDescent="0.35">
      <c r="A99" s="16"/>
      <c r="B99" s="16"/>
      <c r="C99" s="16"/>
      <c r="D99" s="16"/>
      <c r="E99" s="16"/>
      <c r="F99" s="16"/>
      <c r="G99" s="17"/>
      <c r="H99" s="17"/>
      <c r="I99" s="17"/>
      <c r="J99" s="17"/>
    </row>
    <row r="100" spans="1:10" x14ac:dyDescent="0.35">
      <c r="A100" s="15" t="s">
        <v>88</v>
      </c>
      <c r="B100" s="339" t="s">
        <v>89</v>
      </c>
      <c r="C100" s="339"/>
      <c r="D100" s="339"/>
      <c r="E100" s="339"/>
      <c r="F100" s="339"/>
      <c r="G100" s="322" t="s">
        <v>90</v>
      </c>
      <c r="H100" s="322"/>
      <c r="I100" s="311" t="s">
        <v>34</v>
      </c>
      <c r="J100" s="311"/>
    </row>
    <row r="101" spans="1:10" x14ac:dyDescent="0.35">
      <c r="A101" s="23" t="s">
        <v>3</v>
      </c>
      <c r="B101" s="300" t="s">
        <v>91</v>
      </c>
      <c r="C101" s="300"/>
      <c r="D101" s="300"/>
      <c r="E101" s="300"/>
      <c r="F101" s="300"/>
      <c r="G101" s="329">
        <f>1/12</f>
        <v>8.3333333333333329E-2</v>
      </c>
      <c r="H101" s="329"/>
      <c r="I101" s="321">
        <f>G101*G98</f>
        <v>165.85616666666664</v>
      </c>
      <c r="J101" s="321"/>
    </row>
    <row r="102" spans="1:10" x14ac:dyDescent="0.35">
      <c r="A102" s="14" t="s">
        <v>5</v>
      </c>
      <c r="B102" s="325" t="s">
        <v>92</v>
      </c>
      <c r="C102" s="325"/>
      <c r="D102" s="325"/>
      <c r="E102" s="325"/>
      <c r="F102" s="325"/>
      <c r="G102" s="374">
        <f>(1/30)/12</f>
        <v>2.7777777777777779E-3</v>
      </c>
      <c r="H102" s="374"/>
      <c r="I102" s="321">
        <f>G98*G102</f>
        <v>5.5285388888888889</v>
      </c>
      <c r="J102" s="321"/>
    </row>
    <row r="103" spans="1:10" x14ac:dyDescent="0.35">
      <c r="A103" s="14" t="s">
        <v>8</v>
      </c>
      <c r="B103" s="325" t="s">
        <v>93</v>
      </c>
      <c r="C103" s="325"/>
      <c r="D103" s="325"/>
      <c r="E103" s="325"/>
      <c r="F103" s="325"/>
      <c r="G103" s="374">
        <f>(5/30)/12*0.015</f>
        <v>2.0833333333333332E-4</v>
      </c>
      <c r="H103" s="374"/>
      <c r="I103" s="321">
        <f>G98*G103</f>
        <v>0.41464041666666662</v>
      </c>
      <c r="J103" s="321"/>
    </row>
    <row r="104" spans="1:10" x14ac:dyDescent="0.35">
      <c r="A104" s="14" t="s">
        <v>10</v>
      </c>
      <c r="B104" s="325" t="s">
        <v>94</v>
      </c>
      <c r="C104" s="325"/>
      <c r="D104" s="325"/>
      <c r="E104" s="325"/>
      <c r="F104" s="325"/>
      <c r="G104" s="374">
        <f>1/12*0.0078</f>
        <v>6.4999999999999997E-4</v>
      </c>
      <c r="H104" s="374"/>
      <c r="I104" s="321">
        <f>G98*G104</f>
        <v>1.2936780999999999</v>
      </c>
      <c r="J104" s="321"/>
    </row>
    <row r="105" spans="1:10" x14ac:dyDescent="0.35">
      <c r="A105" s="14" t="s">
        <v>56</v>
      </c>
      <c r="B105" s="325" t="s">
        <v>95</v>
      </c>
      <c r="C105" s="325"/>
      <c r="D105" s="325"/>
      <c r="E105" s="325"/>
      <c r="F105" s="325"/>
      <c r="G105" s="374">
        <f>((1/12)+(1/3*1/12))*0.02607*6/12</f>
        <v>1.4483333333333334E-3</v>
      </c>
      <c r="H105" s="374"/>
      <c r="I105" s="321">
        <f>G98*G105</f>
        <v>2.8825801766666665</v>
      </c>
      <c r="J105" s="321"/>
    </row>
    <row r="106" spans="1:10" x14ac:dyDescent="0.35">
      <c r="A106" s="14" t="s">
        <v>58</v>
      </c>
      <c r="B106" s="325" t="s">
        <v>96</v>
      </c>
      <c r="C106" s="325"/>
      <c r="D106" s="325"/>
      <c r="E106" s="325"/>
      <c r="F106" s="325"/>
      <c r="G106" s="374">
        <f>(5/30/12)</f>
        <v>1.3888888888888888E-2</v>
      </c>
      <c r="H106" s="374"/>
      <c r="I106" s="321">
        <f>G98*G106</f>
        <v>27.642694444444441</v>
      </c>
      <c r="J106" s="321"/>
    </row>
    <row r="107" spans="1:10" x14ac:dyDescent="0.35">
      <c r="A107" s="375" t="s">
        <v>97</v>
      </c>
      <c r="B107" s="375"/>
      <c r="C107" s="375"/>
      <c r="D107" s="375"/>
      <c r="E107" s="375"/>
      <c r="F107" s="375"/>
      <c r="G107" s="376">
        <f>SUM(G101:H106)</f>
        <v>0.10230666666666666</v>
      </c>
      <c r="H107" s="376"/>
      <c r="I107" s="377">
        <f>SUM(I101:J106)</f>
        <v>203.61829869333326</v>
      </c>
      <c r="J107" s="377"/>
    </row>
    <row r="108" spans="1:10" x14ac:dyDescent="0.35">
      <c r="A108" s="69" t="s">
        <v>60</v>
      </c>
      <c r="B108" s="378" t="s">
        <v>98</v>
      </c>
      <c r="C108" s="378"/>
      <c r="D108" s="378"/>
      <c r="E108" s="378"/>
      <c r="F108" s="379"/>
      <c r="G108" s="380">
        <f>(G107-G105)*(2/12+(1/3*1/12))</f>
        <v>1.961134259259259E-2</v>
      </c>
      <c r="H108" s="379"/>
      <c r="I108" s="381">
        <f>G98*G108</f>
        <v>39.031945267129622</v>
      </c>
      <c r="J108" s="382"/>
    </row>
    <row r="109" spans="1:10" x14ac:dyDescent="0.35">
      <c r="A109" s="388" t="s">
        <v>99</v>
      </c>
      <c r="B109" s="389"/>
      <c r="C109" s="389"/>
      <c r="D109" s="389"/>
      <c r="E109" s="389"/>
      <c r="F109" s="390"/>
      <c r="G109" s="391">
        <f>SUM(G107:H108)</f>
        <v>0.12191800925925925</v>
      </c>
      <c r="H109" s="392"/>
      <c r="I109" s="393">
        <f>SUM(I107:J108)</f>
        <v>242.65024396046289</v>
      </c>
      <c r="J109" s="394"/>
    </row>
    <row r="110" spans="1:10" x14ac:dyDescent="0.35">
      <c r="A110" s="69" t="s">
        <v>62</v>
      </c>
      <c r="B110" s="395" t="s">
        <v>100</v>
      </c>
      <c r="C110" s="395"/>
      <c r="D110" s="395"/>
      <c r="E110" s="395"/>
      <c r="F110" s="396"/>
      <c r="G110" s="380">
        <f>G109*G58</f>
        <v>4.486582740740741E-2</v>
      </c>
      <c r="H110" s="397"/>
      <c r="I110" s="381">
        <f>G98*G110</f>
        <v>89.295289777450378</v>
      </c>
      <c r="J110" s="382"/>
    </row>
    <row r="111" spans="1:10" x14ac:dyDescent="0.35">
      <c r="A111" s="383" t="s">
        <v>39</v>
      </c>
      <c r="B111" s="378"/>
      <c r="C111" s="378"/>
      <c r="D111" s="378"/>
      <c r="E111" s="378"/>
      <c r="F111" s="379"/>
      <c r="G111" s="384">
        <f>SUM(G109:H110)</f>
        <v>0.16678383666666666</v>
      </c>
      <c r="H111" s="385"/>
      <c r="I111" s="386">
        <f>G98*G111</f>
        <v>331.94553373791331</v>
      </c>
      <c r="J111" s="387"/>
    </row>
    <row r="112" spans="1:10" x14ac:dyDescent="0.35">
      <c r="A112" s="88"/>
      <c r="B112" s="404"/>
      <c r="C112" s="404"/>
      <c r="D112" s="404"/>
      <c r="E112" s="404"/>
      <c r="F112" s="404"/>
      <c r="G112" s="404"/>
      <c r="H112" s="404"/>
      <c r="I112" s="404"/>
      <c r="J112" s="404"/>
    </row>
    <row r="113" spans="1:10" x14ac:dyDescent="0.35">
      <c r="A113" s="400" t="s">
        <v>101</v>
      </c>
      <c r="B113" s="400"/>
      <c r="C113" s="400"/>
      <c r="D113" s="400"/>
      <c r="E113" s="400"/>
      <c r="F113" s="400"/>
      <c r="G113" s="400"/>
      <c r="H113" s="400"/>
      <c r="I113" s="400"/>
      <c r="J113" s="400"/>
    </row>
    <row r="114" spans="1:10" x14ac:dyDescent="0.35">
      <c r="A114" s="401"/>
      <c r="B114" s="401"/>
      <c r="C114" s="401"/>
      <c r="D114" s="401"/>
      <c r="E114" s="401"/>
      <c r="F114" s="401"/>
      <c r="G114" s="402"/>
      <c r="H114" s="402"/>
      <c r="I114" s="402"/>
      <c r="J114" s="402"/>
    </row>
    <row r="115" spans="1:10" x14ac:dyDescent="0.35">
      <c r="A115" s="67" t="s">
        <v>102</v>
      </c>
      <c r="B115" s="311" t="s">
        <v>103</v>
      </c>
      <c r="C115" s="311"/>
      <c r="D115" s="311"/>
      <c r="E115" s="311"/>
      <c r="F115" s="311"/>
      <c r="G115" s="311" t="s">
        <v>34</v>
      </c>
      <c r="H115" s="311"/>
      <c r="I115" s="311"/>
      <c r="J115" s="311"/>
    </row>
    <row r="116" spans="1:10" x14ac:dyDescent="0.35">
      <c r="A116" s="66" t="s">
        <v>3</v>
      </c>
      <c r="B116" s="300" t="s">
        <v>104</v>
      </c>
      <c r="C116" s="300"/>
      <c r="D116" s="300"/>
      <c r="E116" s="300"/>
      <c r="F116" s="300"/>
      <c r="G116" s="333">
        <v>0</v>
      </c>
      <c r="H116" s="333"/>
      <c r="I116" s="333"/>
      <c r="J116" s="333"/>
    </row>
    <row r="117" spans="1:10" x14ac:dyDescent="0.35">
      <c r="A117" s="311" t="s">
        <v>39</v>
      </c>
      <c r="B117" s="311"/>
      <c r="C117" s="311"/>
      <c r="D117" s="311"/>
      <c r="E117" s="311"/>
      <c r="F117" s="311"/>
      <c r="G117" s="345">
        <f>SUM(G116)</f>
        <v>0</v>
      </c>
      <c r="H117" s="345"/>
      <c r="I117" s="345"/>
      <c r="J117" s="345"/>
    </row>
    <row r="118" spans="1:10" x14ac:dyDescent="0.35">
      <c r="A118" s="88"/>
      <c r="B118" s="398"/>
      <c r="C118" s="398"/>
      <c r="D118" s="398"/>
      <c r="E118" s="398"/>
      <c r="F118" s="398"/>
      <c r="G118" s="398"/>
      <c r="H118" s="398"/>
      <c r="I118" s="398"/>
      <c r="J118" s="398"/>
    </row>
    <row r="119" spans="1:10" x14ac:dyDescent="0.35">
      <c r="A119" s="399" t="s">
        <v>105</v>
      </c>
      <c r="B119" s="399"/>
      <c r="C119" s="399"/>
      <c r="D119" s="399"/>
      <c r="E119" s="399"/>
      <c r="F119" s="399"/>
      <c r="G119" s="399"/>
      <c r="H119" s="399"/>
      <c r="I119" s="399"/>
      <c r="J119" s="399"/>
    </row>
    <row r="120" spans="1:10" x14ac:dyDescent="0.35">
      <c r="A120" s="88"/>
      <c r="B120" s="404"/>
      <c r="C120" s="404"/>
      <c r="D120" s="404"/>
      <c r="E120" s="404"/>
      <c r="F120" s="404"/>
      <c r="G120" s="405"/>
      <c r="H120" s="405"/>
      <c r="I120" s="405"/>
      <c r="J120" s="405"/>
    </row>
    <row r="121" spans="1:10" x14ac:dyDescent="0.35">
      <c r="A121" s="67">
        <v>4</v>
      </c>
      <c r="B121" s="311" t="s">
        <v>106</v>
      </c>
      <c r="C121" s="311"/>
      <c r="D121" s="311"/>
      <c r="E121" s="311"/>
      <c r="F121" s="311"/>
      <c r="G121" s="311" t="s">
        <v>34</v>
      </c>
      <c r="H121" s="311"/>
      <c r="I121" s="311"/>
      <c r="J121" s="311"/>
    </row>
    <row r="122" spans="1:10" x14ac:dyDescent="0.35">
      <c r="A122" s="66" t="s">
        <v>88</v>
      </c>
      <c r="B122" s="300" t="s">
        <v>107</v>
      </c>
      <c r="C122" s="300"/>
      <c r="D122" s="300"/>
      <c r="E122" s="300"/>
      <c r="F122" s="300"/>
      <c r="G122" s="321">
        <f>I111</f>
        <v>331.94553373791331</v>
      </c>
      <c r="H122" s="321"/>
      <c r="I122" s="321"/>
      <c r="J122" s="321"/>
    </row>
    <row r="123" spans="1:10" x14ac:dyDescent="0.35">
      <c r="A123" s="66" t="s">
        <v>102</v>
      </c>
      <c r="B123" s="403" t="s">
        <v>108</v>
      </c>
      <c r="C123" s="403"/>
      <c r="D123" s="403"/>
      <c r="E123" s="403"/>
      <c r="F123" s="403"/>
      <c r="G123" s="321">
        <f>G117</f>
        <v>0</v>
      </c>
      <c r="H123" s="321"/>
      <c r="I123" s="321"/>
      <c r="J123" s="321"/>
    </row>
    <row r="124" spans="1:10" x14ac:dyDescent="0.35">
      <c r="A124" s="311" t="s">
        <v>39</v>
      </c>
      <c r="B124" s="311"/>
      <c r="C124" s="311"/>
      <c r="D124" s="311"/>
      <c r="E124" s="311"/>
      <c r="F124" s="311"/>
      <c r="G124" s="323">
        <f>SUM(G122:J123)</f>
        <v>331.94553373791331</v>
      </c>
      <c r="H124" s="323"/>
      <c r="I124" s="323"/>
      <c r="J124" s="323"/>
    </row>
    <row r="125" spans="1:10" x14ac:dyDescent="0.35">
      <c r="A125" s="88"/>
      <c r="B125" s="404"/>
      <c r="C125" s="404"/>
      <c r="D125" s="404"/>
      <c r="E125" s="404"/>
      <c r="F125" s="404"/>
      <c r="G125" s="404"/>
      <c r="H125" s="404"/>
      <c r="I125" s="404"/>
      <c r="J125" s="404"/>
    </row>
    <row r="126" spans="1:10" x14ac:dyDescent="0.35">
      <c r="A126" s="88"/>
      <c r="B126" s="398"/>
      <c r="C126" s="398"/>
      <c r="D126" s="398"/>
      <c r="E126" s="398"/>
      <c r="F126" s="398"/>
      <c r="G126" s="398"/>
      <c r="H126" s="398"/>
      <c r="I126" s="398"/>
      <c r="J126" s="398"/>
    </row>
    <row r="127" spans="1:10" x14ac:dyDescent="0.35">
      <c r="A127" s="407" t="s">
        <v>109</v>
      </c>
      <c r="B127" s="407"/>
      <c r="C127" s="407"/>
      <c r="D127" s="407"/>
      <c r="E127" s="407"/>
      <c r="F127" s="407"/>
      <c r="G127" s="407"/>
      <c r="H127" s="407"/>
      <c r="I127" s="407"/>
      <c r="J127" s="407"/>
    </row>
    <row r="128" spans="1:10" x14ac:dyDescent="0.35">
      <c r="A128" s="89"/>
      <c r="B128" s="408"/>
      <c r="C128" s="408"/>
      <c r="D128" s="408"/>
      <c r="E128" s="408"/>
      <c r="F128" s="408"/>
      <c r="G128" s="408"/>
      <c r="H128" s="408"/>
      <c r="I128" s="408"/>
      <c r="J128" s="408"/>
    </row>
    <row r="129" spans="1:10" x14ac:dyDescent="0.35">
      <c r="A129" s="68">
        <v>5</v>
      </c>
      <c r="B129" s="406" t="s">
        <v>110</v>
      </c>
      <c r="C129" s="406"/>
      <c r="D129" s="406"/>
      <c r="E129" s="406"/>
      <c r="F129" s="406"/>
      <c r="G129" s="347" t="s">
        <v>34</v>
      </c>
      <c r="H129" s="347"/>
      <c r="I129" s="347"/>
      <c r="J129" s="347"/>
    </row>
    <row r="130" spans="1:10" x14ac:dyDescent="0.35">
      <c r="A130" s="22" t="s">
        <v>3</v>
      </c>
      <c r="B130" s="346" t="s">
        <v>111</v>
      </c>
      <c r="C130" s="346"/>
      <c r="D130" s="346"/>
      <c r="E130" s="346"/>
      <c r="F130" s="346"/>
      <c r="G130" s="352">
        <f>Uniformes!F24</f>
        <v>41.54076666666667</v>
      </c>
      <c r="H130" s="352"/>
      <c r="I130" s="352"/>
      <c r="J130" s="352"/>
    </row>
    <row r="131" spans="1:10" x14ac:dyDescent="0.35">
      <c r="A131" s="22" t="s">
        <v>5</v>
      </c>
      <c r="B131" s="284" t="s">
        <v>202</v>
      </c>
      <c r="C131" s="285"/>
      <c r="D131" s="285"/>
      <c r="E131" s="285"/>
      <c r="F131" s="286"/>
      <c r="G131" s="281">
        <f>Equipamentos!F88</f>
        <v>17.875596264705891</v>
      </c>
      <c r="H131" s="282"/>
      <c r="I131" s="282"/>
      <c r="J131" s="283"/>
    </row>
    <row r="132" spans="1:10" x14ac:dyDescent="0.35">
      <c r="A132" s="347" t="s">
        <v>64</v>
      </c>
      <c r="B132" s="347"/>
      <c r="C132" s="347"/>
      <c r="D132" s="347"/>
      <c r="E132" s="347"/>
      <c r="F132" s="347"/>
      <c r="G132" s="413">
        <f>SUM(G130:J131)</f>
        <v>59.416362931372561</v>
      </c>
      <c r="H132" s="413"/>
      <c r="I132" s="413"/>
      <c r="J132" s="413"/>
    </row>
    <row r="133" spans="1:10" x14ac:dyDescent="0.35">
      <c r="A133" s="90"/>
      <c r="B133" s="414"/>
      <c r="C133" s="414"/>
      <c r="D133" s="414"/>
      <c r="E133" s="414"/>
      <c r="F133" s="414"/>
      <c r="G133" s="414"/>
      <c r="H133" s="414"/>
      <c r="I133" s="414"/>
      <c r="J133" s="414"/>
    </row>
    <row r="134" spans="1:10" x14ac:dyDescent="0.35">
      <c r="A134" s="407" t="s">
        <v>112</v>
      </c>
      <c r="B134" s="407"/>
      <c r="C134" s="407"/>
      <c r="D134" s="407"/>
      <c r="E134" s="407"/>
      <c r="F134" s="407"/>
      <c r="G134" s="407"/>
      <c r="H134" s="407"/>
      <c r="I134" s="407"/>
      <c r="J134" s="407"/>
    </row>
    <row r="135" spans="1:10" x14ac:dyDescent="0.35">
      <c r="A135" s="409" t="s">
        <v>113</v>
      </c>
      <c r="B135" s="409"/>
      <c r="C135" s="409"/>
      <c r="D135" s="409"/>
      <c r="E135" s="409"/>
      <c r="F135" s="409"/>
      <c r="G135" s="410">
        <f>G34+G80+I93+G124+G132</f>
        <v>4180.9403472955964</v>
      </c>
      <c r="H135" s="411"/>
      <c r="I135" s="411"/>
      <c r="J135" s="411"/>
    </row>
    <row r="136" spans="1:10" x14ac:dyDescent="0.35">
      <c r="A136" s="409" t="s">
        <v>114</v>
      </c>
      <c r="B136" s="409"/>
      <c r="C136" s="409"/>
      <c r="D136" s="409"/>
      <c r="E136" s="409"/>
      <c r="F136" s="409"/>
      <c r="G136" s="410">
        <f>G135+I139</f>
        <v>4283.3733858043388</v>
      </c>
      <c r="H136" s="411"/>
      <c r="I136" s="411"/>
      <c r="J136" s="411"/>
    </row>
    <row r="137" spans="1:10" x14ac:dyDescent="0.35">
      <c r="A137" s="409" t="s">
        <v>115</v>
      </c>
      <c r="B137" s="409"/>
      <c r="C137" s="409"/>
      <c r="D137" s="409"/>
      <c r="E137" s="409"/>
      <c r="F137" s="409"/>
      <c r="G137" s="412">
        <f>(G136+I140)/(1-G141)</f>
        <v>5097.0894494166159</v>
      </c>
      <c r="H137" s="412"/>
      <c r="I137" s="412"/>
      <c r="J137" s="412"/>
    </row>
    <row r="138" spans="1:10" x14ac:dyDescent="0.35">
      <c r="A138" s="21">
        <v>6</v>
      </c>
      <c r="B138" s="406" t="s">
        <v>116</v>
      </c>
      <c r="C138" s="406"/>
      <c r="D138" s="406"/>
      <c r="E138" s="406"/>
      <c r="F138" s="406"/>
      <c r="G138" s="420" t="s">
        <v>45</v>
      </c>
      <c r="H138" s="420"/>
      <c r="I138" s="420" t="s">
        <v>34</v>
      </c>
      <c r="J138" s="420"/>
    </row>
    <row r="139" spans="1:10" x14ac:dyDescent="0.35">
      <c r="A139" s="22" t="s">
        <v>3</v>
      </c>
      <c r="B139" s="346" t="s">
        <v>117</v>
      </c>
      <c r="C139" s="346"/>
      <c r="D139" s="346"/>
      <c r="E139" s="346"/>
      <c r="F139" s="346"/>
      <c r="G139" s="415">
        <v>2.4500000000000001E-2</v>
      </c>
      <c r="H139" s="415"/>
      <c r="I139" s="416">
        <f>G135*G139</f>
        <v>102.43303850874211</v>
      </c>
      <c r="J139" s="346"/>
    </row>
    <row r="140" spans="1:10" x14ac:dyDescent="0.35">
      <c r="A140" s="22" t="s">
        <v>5</v>
      </c>
      <c r="B140" s="346" t="s">
        <v>118</v>
      </c>
      <c r="C140" s="346"/>
      <c r="D140" s="346"/>
      <c r="E140" s="346"/>
      <c r="F140" s="346"/>
      <c r="G140" s="415">
        <v>2.0400000000000001E-2</v>
      </c>
      <c r="H140" s="415"/>
      <c r="I140" s="416">
        <f>G136*G140</f>
        <v>87.380817070408511</v>
      </c>
      <c r="J140" s="346"/>
    </row>
    <row r="141" spans="1:10" x14ac:dyDescent="0.35">
      <c r="A141" s="22" t="s">
        <v>8</v>
      </c>
      <c r="B141" s="346" t="s">
        <v>119</v>
      </c>
      <c r="C141" s="346"/>
      <c r="D141" s="346"/>
      <c r="E141" s="346"/>
      <c r="F141" s="346"/>
      <c r="G141" s="417">
        <f>SUM(G142:H144)</f>
        <v>0.14250000000000002</v>
      </c>
      <c r="H141" s="417"/>
      <c r="I141" s="418">
        <f>G137*G141</f>
        <v>726.33524654186783</v>
      </c>
      <c r="J141" s="419"/>
    </row>
    <row r="142" spans="1:10" x14ac:dyDescent="0.35">
      <c r="A142" s="27" t="s">
        <v>120</v>
      </c>
      <c r="B142" s="421" t="s">
        <v>121</v>
      </c>
      <c r="C142" s="421"/>
      <c r="D142" s="421"/>
      <c r="E142" s="421"/>
      <c r="F142" s="421"/>
      <c r="G142" s="422">
        <f>'Item 1.1 (Encarregado)'!G142:H142</f>
        <v>7.5999999999999998E-2</v>
      </c>
      <c r="H142" s="422"/>
      <c r="I142" s="423">
        <f>G137*G142</f>
        <v>387.37879815566282</v>
      </c>
      <c r="J142" s="421"/>
    </row>
    <row r="143" spans="1:10" x14ac:dyDescent="0.35">
      <c r="A143" s="27" t="s">
        <v>122</v>
      </c>
      <c r="B143" s="421" t="s">
        <v>123</v>
      </c>
      <c r="C143" s="421"/>
      <c r="D143" s="421"/>
      <c r="E143" s="421"/>
      <c r="F143" s="421"/>
      <c r="G143" s="422">
        <f>'Item 1.1 (Encarregado)'!G143:H143</f>
        <v>1.6500000000000001E-2</v>
      </c>
      <c r="H143" s="422"/>
      <c r="I143" s="423">
        <f>G137*G143</f>
        <v>84.101975915374169</v>
      </c>
      <c r="J143" s="421"/>
    </row>
    <row r="144" spans="1:10" x14ac:dyDescent="0.35">
      <c r="A144" s="27" t="s">
        <v>124</v>
      </c>
      <c r="B144" s="421" t="s">
        <v>125</v>
      </c>
      <c r="C144" s="421"/>
      <c r="D144" s="421"/>
      <c r="E144" s="421"/>
      <c r="F144" s="421"/>
      <c r="G144" s="422">
        <v>0.05</v>
      </c>
      <c r="H144" s="422"/>
      <c r="I144" s="423">
        <f>G137*G144</f>
        <v>254.85447247083081</v>
      </c>
      <c r="J144" s="421"/>
    </row>
    <row r="145" spans="1:13" x14ac:dyDescent="0.35">
      <c r="A145" s="347" t="s">
        <v>64</v>
      </c>
      <c r="B145" s="347"/>
      <c r="C145" s="347"/>
      <c r="D145" s="347"/>
      <c r="E145" s="347"/>
      <c r="F145" s="347"/>
      <c r="G145" s="424"/>
      <c r="H145" s="424"/>
      <c r="I145" s="416">
        <f>SUM(I139:J141)</f>
        <v>916.14910212101847</v>
      </c>
      <c r="J145" s="346"/>
    </row>
    <row r="146" spans="1:13" x14ac:dyDescent="0.35">
      <c r="A146" s="19"/>
      <c r="B146" s="426"/>
      <c r="C146" s="426"/>
      <c r="D146" s="426"/>
      <c r="E146" s="426"/>
      <c r="F146" s="426"/>
      <c r="G146" s="426"/>
      <c r="H146" s="426"/>
      <c r="I146" s="426"/>
      <c r="J146" s="426"/>
    </row>
    <row r="147" spans="1:13" x14ac:dyDescent="0.35">
      <c r="A147" s="427" t="s">
        <v>126</v>
      </c>
      <c r="B147" s="427"/>
      <c r="C147" s="427"/>
      <c r="D147" s="427"/>
      <c r="E147" s="427"/>
      <c r="F147" s="427"/>
      <c r="G147" s="427"/>
      <c r="H147" s="427"/>
      <c r="I147" s="427"/>
      <c r="J147" s="427"/>
    </row>
    <row r="148" spans="1:13" x14ac:dyDescent="0.35">
      <c r="A148" s="18"/>
      <c r="B148" s="428"/>
      <c r="C148" s="428"/>
      <c r="D148" s="428"/>
      <c r="E148" s="428"/>
      <c r="F148" s="428"/>
      <c r="G148" s="428"/>
      <c r="H148" s="428"/>
      <c r="I148" s="428"/>
      <c r="J148" s="428"/>
    </row>
    <row r="149" spans="1:13" x14ac:dyDescent="0.35">
      <c r="A149" s="21"/>
      <c r="B149" s="347" t="s">
        <v>127</v>
      </c>
      <c r="C149" s="347"/>
      <c r="D149" s="347"/>
      <c r="E149" s="347"/>
      <c r="F149" s="347"/>
      <c r="G149" s="347" t="s">
        <v>34</v>
      </c>
      <c r="H149" s="347"/>
      <c r="I149" s="347"/>
      <c r="J149" s="347"/>
    </row>
    <row r="150" spans="1:13" x14ac:dyDescent="0.35">
      <c r="A150" s="21" t="s">
        <v>3</v>
      </c>
      <c r="B150" s="346" t="s">
        <v>32</v>
      </c>
      <c r="C150" s="346"/>
      <c r="D150" s="346"/>
      <c r="E150" s="346"/>
      <c r="F150" s="346"/>
      <c r="G150" s="352">
        <f>G34</f>
        <v>1990.2739999999999</v>
      </c>
      <c r="H150" s="352"/>
      <c r="I150" s="352"/>
      <c r="J150" s="352"/>
    </row>
    <row r="151" spans="1:13" x14ac:dyDescent="0.35">
      <c r="A151" s="21" t="s">
        <v>5</v>
      </c>
      <c r="B151" s="346" t="s">
        <v>40</v>
      </c>
      <c r="C151" s="346"/>
      <c r="D151" s="346"/>
      <c r="E151" s="346"/>
      <c r="F151" s="346"/>
      <c r="G151" s="352">
        <f>G80</f>
        <v>1692.0839674152</v>
      </c>
      <c r="H151" s="352"/>
      <c r="I151" s="352"/>
      <c r="J151" s="352"/>
    </row>
    <row r="152" spans="1:13" x14ac:dyDescent="0.35">
      <c r="A152" s="21" t="s">
        <v>8</v>
      </c>
      <c r="B152" s="346" t="s">
        <v>78</v>
      </c>
      <c r="C152" s="346"/>
      <c r="D152" s="346"/>
      <c r="E152" s="346"/>
      <c r="F152" s="346"/>
      <c r="G152" s="352">
        <f>I93</f>
        <v>107.2204832111111</v>
      </c>
      <c r="H152" s="352"/>
      <c r="I152" s="352"/>
      <c r="J152" s="352"/>
    </row>
    <row r="153" spans="1:13" x14ac:dyDescent="0.35">
      <c r="A153" s="21" t="s">
        <v>10</v>
      </c>
      <c r="B153" s="346" t="s">
        <v>85</v>
      </c>
      <c r="C153" s="346"/>
      <c r="D153" s="346"/>
      <c r="E153" s="346"/>
      <c r="F153" s="346"/>
      <c r="G153" s="352">
        <f>G124</f>
        <v>331.94553373791331</v>
      </c>
      <c r="H153" s="352"/>
      <c r="I153" s="352"/>
      <c r="J153" s="352"/>
    </row>
    <row r="154" spans="1:13" x14ac:dyDescent="0.35">
      <c r="A154" s="21" t="s">
        <v>56</v>
      </c>
      <c r="B154" s="346" t="s">
        <v>109</v>
      </c>
      <c r="C154" s="346"/>
      <c r="D154" s="346"/>
      <c r="E154" s="346"/>
      <c r="F154" s="346"/>
      <c r="G154" s="352">
        <f>G132</f>
        <v>59.416362931372561</v>
      </c>
      <c r="H154" s="352"/>
      <c r="I154" s="352"/>
      <c r="J154" s="352"/>
    </row>
    <row r="155" spans="1:13" x14ac:dyDescent="0.35">
      <c r="A155" s="347" t="s">
        <v>128</v>
      </c>
      <c r="B155" s="347"/>
      <c r="C155" s="347"/>
      <c r="D155" s="347"/>
      <c r="E155" s="347"/>
      <c r="F155" s="347"/>
      <c r="G155" s="413">
        <f>SUM(G150:J154)</f>
        <v>4180.9403472955964</v>
      </c>
      <c r="H155" s="413"/>
      <c r="I155" s="413"/>
      <c r="J155" s="413"/>
    </row>
    <row r="156" spans="1:13" x14ac:dyDescent="0.35">
      <c r="A156" s="21" t="s">
        <v>58</v>
      </c>
      <c r="B156" s="346" t="s">
        <v>129</v>
      </c>
      <c r="C156" s="346"/>
      <c r="D156" s="346"/>
      <c r="E156" s="346"/>
      <c r="F156" s="346"/>
      <c r="G156" s="352">
        <f>I145</f>
        <v>916.14910212101847</v>
      </c>
      <c r="H156" s="352"/>
      <c r="I156" s="352"/>
      <c r="J156" s="352"/>
    </row>
    <row r="157" spans="1:13" x14ac:dyDescent="0.35">
      <c r="A157" s="347" t="s">
        <v>130</v>
      </c>
      <c r="B157" s="347"/>
      <c r="C157" s="347"/>
      <c r="D157" s="347"/>
      <c r="E157" s="347"/>
      <c r="F157" s="347"/>
      <c r="G157" s="413">
        <f>SUM(G155:J156)</f>
        <v>5097.089449416615</v>
      </c>
      <c r="H157" s="413"/>
      <c r="I157" s="413"/>
      <c r="J157" s="413"/>
    </row>
    <row r="158" spans="1:13" x14ac:dyDescent="0.35">
      <c r="A158" s="347" t="s">
        <v>131</v>
      </c>
      <c r="B158" s="347"/>
      <c r="C158" s="347"/>
      <c r="D158" s="347"/>
      <c r="E158" s="347"/>
      <c r="F158" s="347"/>
      <c r="G158" s="433">
        <v>1</v>
      </c>
      <c r="H158" s="433"/>
      <c r="I158" s="433"/>
      <c r="J158" s="433"/>
    </row>
    <row r="159" spans="1:13" x14ac:dyDescent="0.35">
      <c r="A159" s="437" t="s">
        <v>215</v>
      </c>
      <c r="B159" s="437"/>
      <c r="C159" s="437"/>
      <c r="D159" s="437"/>
      <c r="E159" s="437"/>
      <c r="F159" s="437"/>
      <c r="G159" s="438">
        <f>G157*G158</f>
        <v>5097.089449416615</v>
      </c>
      <c r="H159" s="438"/>
      <c r="I159" s="438"/>
      <c r="J159" s="438"/>
      <c r="M159" s="176"/>
    </row>
    <row r="160" spans="1:13" x14ac:dyDescent="0.35">
      <c r="A160" s="437" t="s">
        <v>216</v>
      </c>
      <c r="B160" s="437"/>
      <c r="C160" s="437"/>
      <c r="D160" s="437"/>
      <c r="E160" s="437"/>
      <c r="F160" s="437"/>
      <c r="G160" s="438">
        <f>G159*12</f>
        <v>61165.07339299938</v>
      </c>
      <c r="H160" s="438"/>
      <c r="I160" s="438"/>
      <c r="J160" s="438"/>
    </row>
    <row r="163" spans="8:8" x14ac:dyDescent="0.35">
      <c r="H163" s="29"/>
    </row>
  </sheetData>
  <sheetProtection algorithmName="SHA-512" hashValue="lK69Z1ftbt1LsPJJUG7Ecys+t/+EU83bMx5gXqRQdqZmLqQIy3WC8qsVmJNyJXoPS9f88TXtqRy08U+AfZppFg==" saltValue="yjiTT2Fzi3rTxsEj9zmEFg==" spinCount="100000" sheet="1" objects="1" scenarios="1"/>
  <mergeCells count="348">
    <mergeCell ref="A1:J1"/>
    <mergeCell ref="A2:J2"/>
    <mergeCell ref="B3:F3"/>
    <mergeCell ref="G3:H3"/>
    <mergeCell ref="I3:J3"/>
    <mergeCell ref="A4:J4"/>
    <mergeCell ref="B10:F10"/>
    <mergeCell ref="G10:J10"/>
    <mergeCell ref="B11:F11"/>
    <mergeCell ref="G11:J11"/>
    <mergeCell ref="B12:F12"/>
    <mergeCell ref="G12:J12"/>
    <mergeCell ref="A5:J5"/>
    <mergeCell ref="A6:J6"/>
    <mergeCell ref="A7:J7"/>
    <mergeCell ref="A8:J8"/>
    <mergeCell ref="B9:F9"/>
    <mergeCell ref="G9:J9"/>
    <mergeCell ref="A17:C17"/>
    <mergeCell ref="D17:E17"/>
    <mergeCell ref="F17:J17"/>
    <mergeCell ref="A18:J18"/>
    <mergeCell ref="A19:J19"/>
    <mergeCell ref="B20:F20"/>
    <mergeCell ref="G20:H20"/>
    <mergeCell ref="I20:J20"/>
    <mergeCell ref="A13:J13"/>
    <mergeCell ref="A14:J14"/>
    <mergeCell ref="A15:J15"/>
    <mergeCell ref="A16:C16"/>
    <mergeCell ref="D16:E16"/>
    <mergeCell ref="F16:J16"/>
    <mergeCell ref="B24:F24"/>
    <mergeCell ref="G24:J24"/>
    <mergeCell ref="B25:F25"/>
    <mergeCell ref="G25:J25"/>
    <mergeCell ref="A26:J26"/>
    <mergeCell ref="A27:J27"/>
    <mergeCell ref="B21:F21"/>
    <mergeCell ref="G21:J21"/>
    <mergeCell ref="B22:F22"/>
    <mergeCell ref="G22:J22"/>
    <mergeCell ref="B23:F23"/>
    <mergeCell ref="G23:J23"/>
    <mergeCell ref="B32:F32"/>
    <mergeCell ref="G32:J32"/>
    <mergeCell ref="B33:F33"/>
    <mergeCell ref="G33:J33"/>
    <mergeCell ref="A34:F34"/>
    <mergeCell ref="G34:J34"/>
    <mergeCell ref="B29:F29"/>
    <mergeCell ref="G29:J29"/>
    <mergeCell ref="B30:F30"/>
    <mergeCell ref="G30:J30"/>
    <mergeCell ref="B31:F31"/>
    <mergeCell ref="G31:J31"/>
    <mergeCell ref="A38:J38"/>
    <mergeCell ref="A39:F39"/>
    <mergeCell ref="G39:J39"/>
    <mergeCell ref="B40:F40"/>
    <mergeCell ref="G40:H40"/>
    <mergeCell ref="I40:J40"/>
    <mergeCell ref="B35:F35"/>
    <mergeCell ref="G35:H35"/>
    <mergeCell ref="I35:J35"/>
    <mergeCell ref="A36:J36"/>
    <mergeCell ref="B37:F37"/>
    <mergeCell ref="G37:H37"/>
    <mergeCell ref="I37:J37"/>
    <mergeCell ref="B43:F43"/>
    <mergeCell ref="G43:H43"/>
    <mergeCell ref="I43:J43"/>
    <mergeCell ref="A44:F44"/>
    <mergeCell ref="G44:H44"/>
    <mergeCell ref="I44:J44"/>
    <mergeCell ref="B41:F41"/>
    <mergeCell ref="G41:H41"/>
    <mergeCell ref="I41:J41"/>
    <mergeCell ref="B42:F42"/>
    <mergeCell ref="G42:H42"/>
    <mergeCell ref="I42:J42"/>
    <mergeCell ref="B50:F50"/>
    <mergeCell ref="G50:H50"/>
    <mergeCell ref="I50:J50"/>
    <mergeCell ref="B51:F51"/>
    <mergeCell ref="G51:H51"/>
    <mergeCell ref="I51:J51"/>
    <mergeCell ref="A45:J45"/>
    <mergeCell ref="A46:J46"/>
    <mergeCell ref="A47:F47"/>
    <mergeCell ref="G47:J47"/>
    <mergeCell ref="A48:J48"/>
    <mergeCell ref="B49:F49"/>
    <mergeCell ref="G49:H49"/>
    <mergeCell ref="I49:J49"/>
    <mergeCell ref="B54:F54"/>
    <mergeCell ref="G54:H54"/>
    <mergeCell ref="I54:J54"/>
    <mergeCell ref="B55:F55"/>
    <mergeCell ref="G55:H55"/>
    <mergeCell ref="I55:J55"/>
    <mergeCell ref="B52:F52"/>
    <mergeCell ref="G52:H52"/>
    <mergeCell ref="I52:J52"/>
    <mergeCell ref="B53:F53"/>
    <mergeCell ref="G53:H53"/>
    <mergeCell ref="I53:J53"/>
    <mergeCell ref="A58:F58"/>
    <mergeCell ref="G58:H58"/>
    <mergeCell ref="I58:J58"/>
    <mergeCell ref="A59:J59"/>
    <mergeCell ref="A60:J60"/>
    <mergeCell ref="B61:F61"/>
    <mergeCell ref="G61:H61"/>
    <mergeCell ref="I61:J61"/>
    <mergeCell ref="B56:F56"/>
    <mergeCell ref="G56:H56"/>
    <mergeCell ref="I56:J56"/>
    <mergeCell ref="B57:F57"/>
    <mergeCell ref="G57:H57"/>
    <mergeCell ref="I57:J57"/>
    <mergeCell ref="B64:F64"/>
    <mergeCell ref="G64:H64"/>
    <mergeCell ref="I64:J64"/>
    <mergeCell ref="B65:F65"/>
    <mergeCell ref="G65:H65"/>
    <mergeCell ref="I65:J65"/>
    <mergeCell ref="B62:F62"/>
    <mergeCell ref="G62:H62"/>
    <mergeCell ref="I62:J62"/>
    <mergeCell ref="B63:F63"/>
    <mergeCell ref="G63:H63"/>
    <mergeCell ref="I63:J63"/>
    <mergeCell ref="B68:F68"/>
    <mergeCell ref="G68:H68"/>
    <mergeCell ref="I68:J68"/>
    <mergeCell ref="B69:F69"/>
    <mergeCell ref="G69:H69"/>
    <mergeCell ref="I69:J69"/>
    <mergeCell ref="B66:F66"/>
    <mergeCell ref="G66:H66"/>
    <mergeCell ref="I66:J66"/>
    <mergeCell ref="B67:F67"/>
    <mergeCell ref="G67:H67"/>
    <mergeCell ref="I67:J67"/>
    <mergeCell ref="A72:H72"/>
    <mergeCell ref="I72:J72"/>
    <mergeCell ref="A73:J73"/>
    <mergeCell ref="A74:J74"/>
    <mergeCell ref="A75:J75"/>
    <mergeCell ref="B76:F76"/>
    <mergeCell ref="G76:J76"/>
    <mergeCell ref="B70:F70"/>
    <mergeCell ref="G70:H70"/>
    <mergeCell ref="I70:J70"/>
    <mergeCell ref="B71:F71"/>
    <mergeCell ref="G71:H71"/>
    <mergeCell ref="I71:J71"/>
    <mergeCell ref="A80:F80"/>
    <mergeCell ref="G80:J80"/>
    <mergeCell ref="A81:J81"/>
    <mergeCell ref="A82:J82"/>
    <mergeCell ref="A83:J83"/>
    <mergeCell ref="A84:F84"/>
    <mergeCell ref="G84:J84"/>
    <mergeCell ref="B77:F77"/>
    <mergeCell ref="G77:J77"/>
    <mergeCell ref="B78:F78"/>
    <mergeCell ref="G78:J78"/>
    <mergeCell ref="B79:F79"/>
    <mergeCell ref="G79:J79"/>
    <mergeCell ref="B88:F88"/>
    <mergeCell ref="G88:H88"/>
    <mergeCell ref="I88:J88"/>
    <mergeCell ref="B89:F89"/>
    <mergeCell ref="I89:J89"/>
    <mergeCell ref="B90:F90"/>
    <mergeCell ref="G90:H90"/>
    <mergeCell ref="I90:J90"/>
    <mergeCell ref="A85:F85"/>
    <mergeCell ref="G85:J85"/>
    <mergeCell ref="B86:F86"/>
    <mergeCell ref="G86:H86"/>
    <mergeCell ref="I86:J86"/>
    <mergeCell ref="B87:F87"/>
    <mergeCell ref="I87:J87"/>
    <mergeCell ref="A93:F93"/>
    <mergeCell ref="G93:H93"/>
    <mergeCell ref="I93:J93"/>
    <mergeCell ref="A94:J94"/>
    <mergeCell ref="A95:J95"/>
    <mergeCell ref="B96:F96"/>
    <mergeCell ref="G96:H96"/>
    <mergeCell ref="I96:J96"/>
    <mergeCell ref="B91:F91"/>
    <mergeCell ref="G91:H91"/>
    <mergeCell ref="I91:J91"/>
    <mergeCell ref="B92:F92"/>
    <mergeCell ref="G92:H92"/>
    <mergeCell ref="I92:J92"/>
    <mergeCell ref="B101:F101"/>
    <mergeCell ref="G101:H101"/>
    <mergeCell ref="I101:J101"/>
    <mergeCell ref="B102:F102"/>
    <mergeCell ref="G102:H102"/>
    <mergeCell ref="I102:J102"/>
    <mergeCell ref="A97:J97"/>
    <mergeCell ref="A98:F98"/>
    <mergeCell ref="G98:J98"/>
    <mergeCell ref="B100:F100"/>
    <mergeCell ref="G100:H100"/>
    <mergeCell ref="I100:J100"/>
    <mergeCell ref="B105:F105"/>
    <mergeCell ref="G105:H105"/>
    <mergeCell ref="I105:J105"/>
    <mergeCell ref="B106:F106"/>
    <mergeCell ref="G106:H106"/>
    <mergeCell ref="I106:J106"/>
    <mergeCell ref="B103:F103"/>
    <mergeCell ref="G103:H103"/>
    <mergeCell ref="I103:J103"/>
    <mergeCell ref="B104:F104"/>
    <mergeCell ref="G104:H104"/>
    <mergeCell ref="I104:J104"/>
    <mergeCell ref="A109:F109"/>
    <mergeCell ref="G109:H109"/>
    <mergeCell ref="I109:J109"/>
    <mergeCell ref="B110:F110"/>
    <mergeCell ref="G110:H110"/>
    <mergeCell ref="I110:J110"/>
    <mergeCell ref="A107:F107"/>
    <mergeCell ref="G107:H107"/>
    <mergeCell ref="I107:J107"/>
    <mergeCell ref="B108:F108"/>
    <mergeCell ref="G108:H108"/>
    <mergeCell ref="I108:J108"/>
    <mergeCell ref="A113:J113"/>
    <mergeCell ref="A114:F114"/>
    <mergeCell ref="G114:J114"/>
    <mergeCell ref="B115:F115"/>
    <mergeCell ref="G115:J115"/>
    <mergeCell ref="B116:F116"/>
    <mergeCell ref="G116:J116"/>
    <mergeCell ref="A111:F111"/>
    <mergeCell ref="G111:H111"/>
    <mergeCell ref="I111:J111"/>
    <mergeCell ref="B112:F112"/>
    <mergeCell ref="G112:H112"/>
    <mergeCell ref="I112:J112"/>
    <mergeCell ref="B120:F120"/>
    <mergeCell ref="G120:J120"/>
    <mergeCell ref="B121:F121"/>
    <mergeCell ref="G121:J121"/>
    <mergeCell ref="B122:F122"/>
    <mergeCell ref="G122:J122"/>
    <mergeCell ref="A117:F117"/>
    <mergeCell ref="G117:J117"/>
    <mergeCell ref="B118:F118"/>
    <mergeCell ref="G118:H118"/>
    <mergeCell ref="I118:J118"/>
    <mergeCell ref="A119:J119"/>
    <mergeCell ref="B126:F126"/>
    <mergeCell ref="G126:H126"/>
    <mergeCell ref="I126:J126"/>
    <mergeCell ref="A127:J127"/>
    <mergeCell ref="B128:F128"/>
    <mergeCell ref="G128:H128"/>
    <mergeCell ref="I128:J128"/>
    <mergeCell ref="B123:F123"/>
    <mergeCell ref="G123:J123"/>
    <mergeCell ref="A124:F124"/>
    <mergeCell ref="G124:J124"/>
    <mergeCell ref="B125:F125"/>
    <mergeCell ref="G125:H125"/>
    <mergeCell ref="I125:J125"/>
    <mergeCell ref="A132:F132"/>
    <mergeCell ref="G132:J132"/>
    <mergeCell ref="B133:F133"/>
    <mergeCell ref="G133:H133"/>
    <mergeCell ref="I133:J133"/>
    <mergeCell ref="A134:J134"/>
    <mergeCell ref="B129:F129"/>
    <mergeCell ref="G129:J129"/>
    <mergeCell ref="B130:F130"/>
    <mergeCell ref="G130:J130"/>
    <mergeCell ref="B131:F131"/>
    <mergeCell ref="G131:J131"/>
    <mergeCell ref="B138:F138"/>
    <mergeCell ref="G138:H138"/>
    <mergeCell ref="I138:J138"/>
    <mergeCell ref="B139:F139"/>
    <mergeCell ref="G139:H139"/>
    <mergeCell ref="I139:J139"/>
    <mergeCell ref="A135:F135"/>
    <mergeCell ref="G135:J135"/>
    <mergeCell ref="A136:F136"/>
    <mergeCell ref="G136:J136"/>
    <mergeCell ref="A137:F137"/>
    <mergeCell ref="G137:J137"/>
    <mergeCell ref="B142:F142"/>
    <mergeCell ref="G142:H142"/>
    <mergeCell ref="I142:J142"/>
    <mergeCell ref="B143:F143"/>
    <mergeCell ref="G143:H143"/>
    <mergeCell ref="I143:J143"/>
    <mergeCell ref="B140:F140"/>
    <mergeCell ref="G140:H140"/>
    <mergeCell ref="I140:J140"/>
    <mergeCell ref="B141:F141"/>
    <mergeCell ref="G141:H141"/>
    <mergeCell ref="I141:J141"/>
    <mergeCell ref="B146:F146"/>
    <mergeCell ref="G146:H146"/>
    <mergeCell ref="I146:J146"/>
    <mergeCell ref="A147:J147"/>
    <mergeCell ref="B148:F148"/>
    <mergeCell ref="G148:H148"/>
    <mergeCell ref="I148:J148"/>
    <mergeCell ref="B144:F144"/>
    <mergeCell ref="G144:H144"/>
    <mergeCell ref="I144:J144"/>
    <mergeCell ref="A145:F145"/>
    <mergeCell ref="G145:H145"/>
    <mergeCell ref="I145:J145"/>
    <mergeCell ref="B152:F152"/>
    <mergeCell ref="G152:J152"/>
    <mergeCell ref="B153:F153"/>
    <mergeCell ref="G153:J153"/>
    <mergeCell ref="B154:F154"/>
    <mergeCell ref="G154:J154"/>
    <mergeCell ref="B149:F149"/>
    <mergeCell ref="G149:J149"/>
    <mergeCell ref="B150:F150"/>
    <mergeCell ref="G150:J150"/>
    <mergeCell ref="B151:F151"/>
    <mergeCell ref="G151:J151"/>
    <mergeCell ref="A159:F159"/>
    <mergeCell ref="G159:J159"/>
    <mergeCell ref="A160:F160"/>
    <mergeCell ref="G160:J160"/>
    <mergeCell ref="A158:F158"/>
    <mergeCell ref="G158:J158"/>
    <mergeCell ref="A155:F155"/>
    <mergeCell ref="G155:J155"/>
    <mergeCell ref="B156:F156"/>
    <mergeCell ref="G156:J156"/>
    <mergeCell ref="A157:F157"/>
    <mergeCell ref="G157:J157"/>
  </mergeCells>
  <conditionalFormatting sqref="G159:J159">
    <cfRule type="cellIs" dxfId="7" priority="1" operator="greaterThan">
      <formula>5097.08944941662</formula>
    </cfRule>
  </conditionalFormatting>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25C87-C19C-4817-974F-45397E75B5A0}">
  <sheetPr>
    <tabColor theme="9" tint="0.59999389629810485"/>
  </sheetPr>
  <dimension ref="A1:M167"/>
  <sheetViews>
    <sheetView topLeftCell="A133" workbookViewId="0">
      <selection activeCell="H167" sqref="H167"/>
    </sheetView>
  </sheetViews>
  <sheetFormatPr defaultRowHeight="14.5" x14ac:dyDescent="0.35"/>
  <cols>
    <col min="2" max="2" width="13.26953125" customWidth="1"/>
    <col min="3" max="3" width="13.36328125" customWidth="1"/>
    <col min="4" max="4" width="12.6328125" customWidth="1"/>
    <col min="5" max="5" width="13.36328125" customWidth="1"/>
    <col min="6" max="6" width="12.90625" customWidth="1"/>
    <col min="8" max="8" width="11.54296875" bestFit="1" customWidth="1"/>
    <col min="9" max="9" width="13" bestFit="1" customWidth="1"/>
    <col min="10" max="10" width="9.90625" bestFit="1" customWidth="1"/>
    <col min="13" max="13" width="8.1796875" customWidth="1"/>
  </cols>
  <sheetData>
    <row r="1" spans="1:10" x14ac:dyDescent="0.35">
      <c r="A1" s="287" t="s">
        <v>0</v>
      </c>
      <c r="B1" s="287"/>
      <c r="C1" s="287"/>
      <c r="D1" s="287"/>
      <c r="E1" s="287"/>
      <c r="F1" s="287"/>
      <c r="G1" s="287"/>
      <c r="H1" s="287"/>
      <c r="I1" s="287"/>
      <c r="J1" s="287"/>
    </row>
    <row r="2" spans="1:10" x14ac:dyDescent="0.35">
      <c r="A2" s="287" t="s">
        <v>1</v>
      </c>
      <c r="B2" s="287"/>
      <c r="C2" s="287"/>
      <c r="D2" s="287"/>
      <c r="E2" s="287"/>
      <c r="F2" s="287"/>
      <c r="G2" s="287"/>
      <c r="H2" s="287"/>
      <c r="I2" s="287"/>
      <c r="J2" s="287"/>
    </row>
    <row r="3" spans="1:10" x14ac:dyDescent="0.35">
      <c r="A3" s="12"/>
      <c r="B3" s="288"/>
      <c r="C3" s="288"/>
      <c r="D3" s="288"/>
      <c r="E3" s="288"/>
      <c r="F3" s="288"/>
      <c r="G3" s="288"/>
      <c r="H3" s="288"/>
      <c r="I3" s="288"/>
      <c r="J3" s="288"/>
    </row>
    <row r="4" spans="1:10" x14ac:dyDescent="0.35">
      <c r="A4" s="280" t="s">
        <v>209</v>
      </c>
      <c r="B4" s="280"/>
      <c r="C4" s="280"/>
      <c r="D4" s="280"/>
      <c r="E4" s="280"/>
      <c r="F4" s="280"/>
      <c r="G4" s="280"/>
      <c r="H4" s="280"/>
      <c r="I4" s="280"/>
      <c r="J4" s="280"/>
    </row>
    <row r="5" spans="1:10" x14ac:dyDescent="0.35">
      <c r="A5" s="280" t="s">
        <v>140</v>
      </c>
      <c r="B5" s="280"/>
      <c r="C5" s="280"/>
      <c r="D5" s="280"/>
      <c r="E5" s="280"/>
      <c r="F5" s="280"/>
      <c r="G5" s="280"/>
      <c r="H5" s="280"/>
      <c r="I5" s="280"/>
      <c r="J5" s="280"/>
    </row>
    <row r="6" spans="1:10" x14ac:dyDescent="0.35">
      <c r="A6" s="303"/>
      <c r="B6" s="303"/>
      <c r="C6" s="303"/>
      <c r="D6" s="303"/>
      <c r="E6" s="303"/>
      <c r="F6" s="303"/>
      <c r="G6" s="303"/>
      <c r="H6" s="303"/>
      <c r="I6" s="303"/>
      <c r="J6" s="303"/>
    </row>
    <row r="7" spans="1:10" x14ac:dyDescent="0.35">
      <c r="A7" s="287" t="s">
        <v>2</v>
      </c>
      <c r="B7" s="287"/>
      <c r="C7" s="287"/>
      <c r="D7" s="287"/>
      <c r="E7" s="287"/>
      <c r="F7" s="287"/>
      <c r="G7" s="287"/>
      <c r="H7" s="287"/>
      <c r="I7" s="287"/>
      <c r="J7" s="287"/>
    </row>
    <row r="8" spans="1:10" x14ac:dyDescent="0.35">
      <c r="A8" s="308"/>
      <c r="B8" s="308"/>
      <c r="C8" s="308"/>
      <c r="D8" s="308"/>
      <c r="E8" s="308"/>
      <c r="F8" s="308"/>
      <c r="G8" s="308"/>
      <c r="H8" s="308"/>
      <c r="I8" s="308"/>
      <c r="J8" s="308"/>
    </row>
    <row r="9" spans="1:10" x14ac:dyDescent="0.35">
      <c r="A9" s="57" t="s">
        <v>3</v>
      </c>
      <c r="B9" s="310" t="s">
        <v>4</v>
      </c>
      <c r="C9" s="310"/>
      <c r="D9" s="310"/>
      <c r="E9" s="310"/>
      <c r="F9" s="310"/>
      <c r="G9" s="311"/>
      <c r="H9" s="311"/>
      <c r="I9" s="311"/>
      <c r="J9" s="311"/>
    </row>
    <row r="10" spans="1:10" x14ac:dyDescent="0.35">
      <c r="A10" s="57" t="s">
        <v>5</v>
      </c>
      <c r="B10" s="310" t="s">
        <v>6</v>
      </c>
      <c r="C10" s="310"/>
      <c r="D10" s="310"/>
      <c r="E10" s="310"/>
      <c r="F10" s="310"/>
      <c r="G10" s="311" t="s">
        <v>217</v>
      </c>
      <c r="H10" s="311"/>
      <c r="I10" s="311"/>
      <c r="J10" s="311"/>
    </row>
    <row r="11" spans="1:10" x14ac:dyDescent="0.35">
      <c r="A11" s="57" t="s">
        <v>8</v>
      </c>
      <c r="B11" s="310" t="s">
        <v>9</v>
      </c>
      <c r="C11" s="310"/>
      <c r="D11" s="310"/>
      <c r="E11" s="310"/>
      <c r="F11" s="310"/>
      <c r="G11" s="297" t="s">
        <v>136</v>
      </c>
      <c r="H11" s="298"/>
      <c r="I11" s="298"/>
      <c r="J11" s="299"/>
    </row>
    <row r="12" spans="1:10" x14ac:dyDescent="0.35">
      <c r="A12" s="57" t="s">
        <v>10</v>
      </c>
      <c r="B12" s="310" t="s">
        <v>11</v>
      </c>
      <c r="C12" s="310"/>
      <c r="D12" s="310"/>
      <c r="E12" s="310"/>
      <c r="F12" s="310"/>
      <c r="G12" s="311" t="s">
        <v>12</v>
      </c>
      <c r="H12" s="311"/>
      <c r="I12" s="311"/>
      <c r="J12" s="311"/>
    </row>
    <row r="13" spans="1:10" x14ac:dyDescent="0.35">
      <c r="A13" s="308"/>
      <c r="B13" s="308"/>
      <c r="C13" s="308"/>
      <c r="D13" s="308"/>
      <c r="E13" s="308"/>
      <c r="F13" s="308"/>
      <c r="G13" s="308"/>
      <c r="H13" s="308"/>
      <c r="I13" s="308"/>
      <c r="J13" s="308"/>
    </row>
    <row r="14" spans="1:10" x14ac:dyDescent="0.35">
      <c r="A14" s="287" t="s">
        <v>13</v>
      </c>
      <c r="B14" s="287"/>
      <c r="C14" s="287"/>
      <c r="D14" s="287"/>
      <c r="E14" s="287"/>
      <c r="F14" s="287"/>
      <c r="G14" s="287"/>
      <c r="H14" s="287"/>
      <c r="I14" s="287"/>
      <c r="J14" s="287"/>
    </row>
    <row r="15" spans="1:10" x14ac:dyDescent="0.35">
      <c r="A15" s="308"/>
      <c r="B15" s="308"/>
      <c r="C15" s="308"/>
      <c r="D15" s="308"/>
      <c r="E15" s="308"/>
      <c r="F15" s="308"/>
      <c r="G15" s="308"/>
      <c r="H15" s="308"/>
      <c r="I15" s="308"/>
      <c r="J15" s="308"/>
    </row>
    <row r="16" spans="1:10" x14ac:dyDescent="0.35">
      <c r="A16" s="301" t="s">
        <v>14</v>
      </c>
      <c r="B16" s="301"/>
      <c r="C16" s="301"/>
      <c r="D16" s="311" t="s">
        <v>15</v>
      </c>
      <c r="E16" s="311"/>
      <c r="F16" s="311" t="s">
        <v>16</v>
      </c>
      <c r="G16" s="311"/>
      <c r="H16" s="311"/>
      <c r="I16" s="311"/>
      <c r="J16" s="311"/>
    </row>
    <row r="17" spans="1:10" x14ac:dyDescent="0.35">
      <c r="A17" s="304" t="s">
        <v>205</v>
      </c>
      <c r="B17" s="304"/>
      <c r="C17" s="304"/>
      <c r="D17" s="305" t="s">
        <v>18</v>
      </c>
      <c r="E17" s="306"/>
      <c r="F17" s="307">
        <v>1078.5</v>
      </c>
      <c r="G17" s="307"/>
      <c r="H17" s="307"/>
      <c r="I17" s="307"/>
      <c r="J17" s="307"/>
    </row>
    <row r="18" spans="1:10" x14ac:dyDescent="0.35">
      <c r="A18" s="308"/>
      <c r="B18" s="308"/>
      <c r="C18" s="308"/>
      <c r="D18" s="308"/>
      <c r="E18" s="308"/>
      <c r="F18" s="308"/>
      <c r="G18" s="308"/>
      <c r="H18" s="308"/>
      <c r="I18" s="308"/>
      <c r="J18" s="308"/>
    </row>
    <row r="19" spans="1:10" x14ac:dyDescent="0.35">
      <c r="A19" s="287" t="s">
        <v>19</v>
      </c>
      <c r="B19" s="287"/>
      <c r="C19" s="287"/>
      <c r="D19" s="287"/>
      <c r="E19" s="287"/>
      <c r="F19" s="287"/>
      <c r="G19" s="287"/>
      <c r="H19" s="287"/>
      <c r="I19" s="287"/>
      <c r="J19" s="287"/>
    </row>
    <row r="20" spans="1:10" x14ac:dyDescent="0.35">
      <c r="A20" s="12"/>
      <c r="B20" s="309"/>
      <c r="C20" s="309"/>
      <c r="D20" s="309"/>
      <c r="E20" s="309"/>
      <c r="F20" s="309"/>
      <c r="G20" s="309"/>
      <c r="H20" s="309"/>
      <c r="I20" s="309"/>
      <c r="J20" s="309"/>
    </row>
    <row r="21" spans="1:10" x14ac:dyDescent="0.35">
      <c r="A21" s="20" t="s">
        <v>20</v>
      </c>
      <c r="B21" s="300" t="s">
        <v>21</v>
      </c>
      <c r="C21" s="300"/>
      <c r="D21" s="300"/>
      <c r="E21" s="300"/>
      <c r="F21" s="300"/>
      <c r="G21" s="301" t="s">
        <v>29</v>
      </c>
      <c r="H21" s="301"/>
      <c r="I21" s="301"/>
      <c r="J21" s="301"/>
    </row>
    <row r="22" spans="1:10" x14ac:dyDescent="0.35">
      <c r="A22" s="20" t="s">
        <v>22</v>
      </c>
      <c r="B22" s="300" t="s">
        <v>23</v>
      </c>
      <c r="C22" s="300"/>
      <c r="D22" s="300"/>
      <c r="E22" s="300"/>
      <c r="F22" s="300"/>
      <c r="G22" s="301" t="s">
        <v>206</v>
      </c>
      <c r="H22" s="301"/>
      <c r="I22" s="301"/>
      <c r="J22" s="301"/>
    </row>
    <row r="23" spans="1:10" x14ac:dyDescent="0.35">
      <c r="A23" s="20" t="s">
        <v>25</v>
      </c>
      <c r="B23" s="300" t="s">
        <v>26</v>
      </c>
      <c r="C23" s="300"/>
      <c r="D23" s="300"/>
      <c r="E23" s="300"/>
      <c r="F23" s="300"/>
      <c r="G23" s="312">
        <v>1412.62</v>
      </c>
      <c r="H23" s="312"/>
      <c r="I23" s="312"/>
      <c r="J23" s="312"/>
    </row>
    <row r="24" spans="1:10" x14ac:dyDescent="0.35">
      <c r="A24" s="20" t="s">
        <v>27</v>
      </c>
      <c r="B24" s="300" t="s">
        <v>28</v>
      </c>
      <c r="C24" s="300"/>
      <c r="D24" s="300"/>
      <c r="E24" s="300"/>
      <c r="F24" s="300"/>
      <c r="G24" s="301" t="s">
        <v>207</v>
      </c>
      <c r="H24" s="301"/>
      <c r="I24" s="301"/>
      <c r="J24" s="301"/>
    </row>
    <row r="25" spans="1:10" x14ac:dyDescent="0.35">
      <c r="A25" s="20" t="s">
        <v>30</v>
      </c>
      <c r="B25" s="300" t="s">
        <v>31</v>
      </c>
      <c r="C25" s="300"/>
      <c r="D25" s="300"/>
      <c r="E25" s="300"/>
      <c r="F25" s="300"/>
      <c r="G25" s="302">
        <v>45292</v>
      </c>
      <c r="H25" s="302"/>
      <c r="I25" s="302"/>
      <c r="J25" s="302"/>
    </row>
    <row r="26" spans="1:10" x14ac:dyDescent="0.35">
      <c r="A26" s="319"/>
      <c r="B26" s="319"/>
      <c r="C26" s="319"/>
      <c r="D26" s="319"/>
      <c r="E26" s="319"/>
      <c r="F26" s="319"/>
      <c r="G26" s="319"/>
      <c r="H26" s="319"/>
      <c r="I26" s="319"/>
      <c r="J26" s="319"/>
    </row>
    <row r="27" spans="1:10" x14ac:dyDescent="0.35">
      <c r="A27" s="287" t="s">
        <v>32</v>
      </c>
      <c r="B27" s="287"/>
      <c r="C27" s="287"/>
      <c r="D27" s="287"/>
      <c r="E27" s="287"/>
      <c r="F27" s="287"/>
      <c r="G27" s="287"/>
      <c r="H27" s="287"/>
      <c r="I27" s="287"/>
      <c r="J27" s="287"/>
    </row>
    <row r="28" spans="1:10" x14ac:dyDescent="0.35">
      <c r="A28" s="12"/>
      <c r="B28" s="13"/>
      <c r="C28" s="13"/>
      <c r="D28" s="13"/>
      <c r="E28" s="13"/>
      <c r="F28" s="13"/>
      <c r="G28" s="13"/>
      <c r="H28" s="13"/>
      <c r="I28" s="13"/>
      <c r="J28" s="13"/>
    </row>
    <row r="29" spans="1:10" x14ac:dyDescent="0.35">
      <c r="A29" s="10">
        <v>1</v>
      </c>
      <c r="B29" s="322" t="s">
        <v>33</v>
      </c>
      <c r="C29" s="322"/>
      <c r="D29" s="322"/>
      <c r="E29" s="322"/>
      <c r="F29" s="322"/>
      <c r="G29" s="324" t="s">
        <v>34</v>
      </c>
      <c r="H29" s="324"/>
      <c r="I29" s="324"/>
      <c r="J29" s="324"/>
    </row>
    <row r="30" spans="1:10" x14ac:dyDescent="0.35">
      <c r="A30" s="14" t="s">
        <v>3</v>
      </c>
      <c r="B30" s="325" t="s">
        <v>35</v>
      </c>
      <c r="C30" s="325"/>
      <c r="D30" s="325"/>
      <c r="E30" s="325"/>
      <c r="F30" s="325"/>
      <c r="G30" s="321">
        <f>G23</f>
        <v>1412.62</v>
      </c>
      <c r="H30" s="321"/>
      <c r="I30" s="321"/>
      <c r="J30" s="321"/>
    </row>
    <row r="31" spans="1:10" x14ac:dyDescent="0.35">
      <c r="A31" s="14" t="s">
        <v>5</v>
      </c>
      <c r="B31" s="325" t="s">
        <v>36</v>
      </c>
      <c r="C31" s="325"/>
      <c r="D31" s="325"/>
      <c r="E31" s="325"/>
      <c r="F31" s="325"/>
      <c r="G31" s="321">
        <f>G30*0%</f>
        <v>0</v>
      </c>
      <c r="H31" s="321"/>
      <c r="I31" s="321"/>
      <c r="J31" s="321"/>
    </row>
    <row r="32" spans="1:10" x14ac:dyDescent="0.35">
      <c r="A32" s="14" t="s">
        <v>8</v>
      </c>
      <c r="B32" s="313" t="s">
        <v>37</v>
      </c>
      <c r="C32" s="314"/>
      <c r="D32" s="314"/>
      <c r="E32" s="314"/>
      <c r="F32" s="315"/>
      <c r="G32" s="316">
        <f>1412*20%</f>
        <v>282.40000000000003</v>
      </c>
      <c r="H32" s="317"/>
      <c r="I32" s="317"/>
      <c r="J32" s="318"/>
    </row>
    <row r="33" spans="1:10" x14ac:dyDescent="0.35">
      <c r="A33" s="14" t="s">
        <v>10</v>
      </c>
      <c r="B33" s="320" t="s">
        <v>38</v>
      </c>
      <c r="C33" s="320"/>
      <c r="D33" s="320"/>
      <c r="E33" s="320"/>
      <c r="F33" s="320"/>
      <c r="G33" s="321">
        <v>0</v>
      </c>
      <c r="H33" s="321"/>
      <c r="I33" s="321"/>
      <c r="J33" s="321"/>
    </row>
    <row r="34" spans="1:10" x14ac:dyDescent="0.35">
      <c r="A34" s="322" t="s">
        <v>39</v>
      </c>
      <c r="B34" s="322"/>
      <c r="C34" s="322"/>
      <c r="D34" s="322"/>
      <c r="E34" s="322"/>
      <c r="F34" s="322"/>
      <c r="G34" s="323">
        <f>SUM(G30:J33)</f>
        <v>1695.02</v>
      </c>
      <c r="H34" s="323"/>
      <c r="I34" s="323"/>
      <c r="J34" s="323"/>
    </row>
    <row r="35" spans="1:10" x14ac:dyDescent="0.35">
      <c r="A35" s="12"/>
      <c r="B35" s="288"/>
      <c r="C35" s="288"/>
      <c r="D35" s="288"/>
      <c r="E35" s="288"/>
      <c r="F35" s="288"/>
      <c r="G35" s="288"/>
      <c r="H35" s="288"/>
      <c r="I35" s="288"/>
      <c r="J35" s="288"/>
    </row>
    <row r="36" spans="1:10" x14ac:dyDescent="0.35">
      <c r="A36" s="287" t="s">
        <v>40</v>
      </c>
      <c r="B36" s="287"/>
      <c r="C36" s="287"/>
      <c r="D36" s="287"/>
      <c r="E36" s="287"/>
      <c r="F36" s="287"/>
      <c r="G36" s="287"/>
      <c r="H36" s="287"/>
      <c r="I36" s="287"/>
      <c r="J36" s="287"/>
    </row>
    <row r="37" spans="1:10" x14ac:dyDescent="0.35">
      <c r="A37" s="12"/>
      <c r="B37" s="288"/>
      <c r="C37" s="288"/>
      <c r="D37" s="288"/>
      <c r="E37" s="288"/>
      <c r="F37" s="288"/>
      <c r="G37" s="288"/>
      <c r="H37" s="288"/>
      <c r="I37" s="288"/>
      <c r="J37" s="288"/>
    </row>
    <row r="38" spans="1:10" x14ac:dyDescent="0.35">
      <c r="A38" s="326" t="s">
        <v>41</v>
      </c>
      <c r="B38" s="326"/>
      <c r="C38" s="326"/>
      <c r="D38" s="326"/>
      <c r="E38" s="326"/>
      <c r="F38" s="326"/>
      <c r="G38" s="326"/>
      <c r="H38" s="326"/>
      <c r="I38" s="326"/>
      <c r="J38" s="326"/>
    </row>
    <row r="39" spans="1:10" x14ac:dyDescent="0.35">
      <c r="A39" s="327" t="s">
        <v>42</v>
      </c>
      <c r="B39" s="327"/>
      <c r="C39" s="327"/>
      <c r="D39" s="327"/>
      <c r="E39" s="327"/>
      <c r="F39" s="327"/>
      <c r="G39" s="328">
        <f>G34</f>
        <v>1695.02</v>
      </c>
      <c r="H39" s="328"/>
      <c r="I39" s="328"/>
      <c r="J39" s="328"/>
    </row>
    <row r="40" spans="1:10" x14ac:dyDescent="0.35">
      <c r="A40" s="12"/>
      <c r="B40" s="309"/>
      <c r="C40" s="309"/>
      <c r="D40" s="309"/>
      <c r="E40" s="309"/>
      <c r="F40" s="309"/>
      <c r="G40" s="309"/>
      <c r="H40" s="309"/>
      <c r="I40" s="309"/>
      <c r="J40" s="309"/>
    </row>
    <row r="41" spans="1:10" x14ac:dyDescent="0.35">
      <c r="A41" s="20" t="s">
        <v>43</v>
      </c>
      <c r="B41" s="311" t="s">
        <v>44</v>
      </c>
      <c r="C41" s="311"/>
      <c r="D41" s="311"/>
      <c r="E41" s="311"/>
      <c r="F41" s="311"/>
      <c r="G41" s="311" t="s">
        <v>45</v>
      </c>
      <c r="H41" s="311"/>
      <c r="I41" s="322" t="s">
        <v>34</v>
      </c>
      <c r="J41" s="322"/>
    </row>
    <row r="42" spans="1:10" x14ac:dyDescent="0.35">
      <c r="A42" s="23" t="s">
        <v>3</v>
      </c>
      <c r="B42" s="300" t="s">
        <v>46</v>
      </c>
      <c r="C42" s="300"/>
      <c r="D42" s="300"/>
      <c r="E42" s="300"/>
      <c r="F42" s="300"/>
      <c r="G42" s="331">
        <v>8.3299999999999999E-2</v>
      </c>
      <c r="H42" s="331"/>
      <c r="I42" s="330">
        <f>G39*G42</f>
        <v>141.195166</v>
      </c>
      <c r="J42" s="330"/>
    </row>
    <row r="43" spans="1:10" x14ac:dyDescent="0.35">
      <c r="A43" s="23" t="s">
        <v>5</v>
      </c>
      <c r="B43" s="300" t="s">
        <v>47</v>
      </c>
      <c r="C43" s="300"/>
      <c r="D43" s="300"/>
      <c r="E43" s="300"/>
      <c r="F43" s="300"/>
      <c r="G43" s="329">
        <v>2.7799999999999998E-2</v>
      </c>
      <c r="H43" s="329"/>
      <c r="I43" s="330">
        <f>G39*G43</f>
        <v>47.121555999999998</v>
      </c>
      <c r="J43" s="330"/>
    </row>
    <row r="44" spans="1:10" x14ac:dyDescent="0.35">
      <c r="A44" s="311" t="s">
        <v>39</v>
      </c>
      <c r="B44" s="311"/>
      <c r="C44" s="311"/>
      <c r="D44" s="311"/>
      <c r="E44" s="311"/>
      <c r="F44" s="311"/>
      <c r="G44" s="331">
        <f>SUM(G42:H43)</f>
        <v>0.1111</v>
      </c>
      <c r="H44" s="304"/>
      <c r="I44" s="332">
        <f>SUM(I42:J43)</f>
        <v>188.316722</v>
      </c>
      <c r="J44" s="332"/>
    </row>
    <row r="45" spans="1:10" x14ac:dyDescent="0.35">
      <c r="A45" s="288"/>
      <c r="B45" s="288"/>
      <c r="C45" s="288"/>
      <c r="D45" s="288"/>
      <c r="E45" s="288"/>
      <c r="F45" s="288"/>
      <c r="G45" s="288"/>
      <c r="H45" s="288"/>
      <c r="I45" s="288"/>
      <c r="J45" s="288"/>
    </row>
    <row r="46" spans="1:10" x14ac:dyDescent="0.35">
      <c r="A46" s="334" t="s">
        <v>48</v>
      </c>
      <c r="B46" s="334"/>
      <c r="C46" s="334"/>
      <c r="D46" s="334"/>
      <c r="E46" s="334"/>
      <c r="F46" s="334"/>
      <c r="G46" s="334"/>
      <c r="H46" s="334"/>
      <c r="I46" s="334"/>
      <c r="J46" s="334"/>
    </row>
    <row r="47" spans="1:10" x14ac:dyDescent="0.35">
      <c r="A47" s="335" t="s">
        <v>49</v>
      </c>
      <c r="B47" s="335"/>
      <c r="C47" s="335"/>
      <c r="D47" s="335"/>
      <c r="E47" s="335"/>
      <c r="F47" s="335"/>
      <c r="G47" s="336">
        <f>G34+I44</f>
        <v>1883.336722</v>
      </c>
      <c r="H47" s="336"/>
      <c r="I47" s="336"/>
      <c r="J47" s="336"/>
    </row>
    <row r="48" spans="1:10" x14ac:dyDescent="0.35">
      <c r="A48" s="337"/>
      <c r="B48" s="337"/>
      <c r="C48" s="337"/>
      <c r="D48" s="337"/>
      <c r="E48" s="337"/>
      <c r="F48" s="337"/>
      <c r="G48" s="337"/>
      <c r="H48" s="337"/>
      <c r="I48" s="337"/>
      <c r="J48" s="337"/>
    </row>
    <row r="49" spans="1:10" x14ac:dyDescent="0.35">
      <c r="A49" s="28" t="s">
        <v>50</v>
      </c>
      <c r="B49" s="338" t="s">
        <v>51</v>
      </c>
      <c r="C49" s="338"/>
      <c r="D49" s="338"/>
      <c r="E49" s="338"/>
      <c r="F49" s="338"/>
      <c r="G49" s="339" t="s">
        <v>45</v>
      </c>
      <c r="H49" s="339"/>
      <c r="I49" s="340" t="s">
        <v>34</v>
      </c>
      <c r="J49" s="340"/>
    </row>
    <row r="50" spans="1:10" x14ac:dyDescent="0.35">
      <c r="A50" s="23" t="s">
        <v>3</v>
      </c>
      <c r="B50" s="300" t="s">
        <v>52</v>
      </c>
      <c r="C50" s="300"/>
      <c r="D50" s="300"/>
      <c r="E50" s="300"/>
      <c r="F50" s="300"/>
      <c r="G50" s="331">
        <v>0.2</v>
      </c>
      <c r="H50" s="331"/>
      <c r="I50" s="333">
        <f>G47*G50</f>
        <v>376.66734440000005</v>
      </c>
      <c r="J50" s="333"/>
    </row>
    <row r="51" spans="1:10" x14ac:dyDescent="0.35">
      <c r="A51" s="23" t="s">
        <v>5</v>
      </c>
      <c r="B51" s="300" t="s">
        <v>53</v>
      </c>
      <c r="C51" s="300"/>
      <c r="D51" s="300"/>
      <c r="E51" s="300"/>
      <c r="F51" s="300"/>
      <c r="G51" s="331">
        <v>2.5000000000000001E-2</v>
      </c>
      <c r="H51" s="331"/>
      <c r="I51" s="333">
        <f>G47*G51</f>
        <v>47.083418050000006</v>
      </c>
      <c r="J51" s="333"/>
    </row>
    <row r="52" spans="1:10" x14ac:dyDescent="0.35">
      <c r="A52" s="23" t="s">
        <v>8</v>
      </c>
      <c r="B52" s="341" t="s">
        <v>54</v>
      </c>
      <c r="C52" s="341"/>
      <c r="D52" s="341"/>
      <c r="E52" s="341"/>
      <c r="F52" s="341"/>
      <c r="G52" s="342">
        <v>0.03</v>
      </c>
      <c r="H52" s="343"/>
      <c r="I52" s="333">
        <f>G47*G52</f>
        <v>56.500101659999999</v>
      </c>
      <c r="J52" s="333"/>
    </row>
    <row r="53" spans="1:10" x14ac:dyDescent="0.35">
      <c r="A53" s="23" t="s">
        <v>10</v>
      </c>
      <c r="B53" s="300" t="s">
        <v>55</v>
      </c>
      <c r="C53" s="300"/>
      <c r="D53" s="300"/>
      <c r="E53" s="300"/>
      <c r="F53" s="300"/>
      <c r="G53" s="331">
        <v>1.4999999999999999E-2</v>
      </c>
      <c r="H53" s="331"/>
      <c r="I53" s="333">
        <f>G47*G53</f>
        <v>28.250050829999999</v>
      </c>
      <c r="J53" s="333"/>
    </row>
    <row r="54" spans="1:10" x14ac:dyDescent="0.35">
      <c r="A54" s="23" t="s">
        <v>56</v>
      </c>
      <c r="B54" s="300" t="s">
        <v>57</v>
      </c>
      <c r="C54" s="300"/>
      <c r="D54" s="300"/>
      <c r="E54" s="300"/>
      <c r="F54" s="300"/>
      <c r="G54" s="331">
        <v>0.01</v>
      </c>
      <c r="H54" s="331"/>
      <c r="I54" s="333">
        <f>G47*G54</f>
        <v>18.83336722</v>
      </c>
      <c r="J54" s="333"/>
    </row>
    <row r="55" spans="1:10" x14ac:dyDescent="0.35">
      <c r="A55" s="23" t="s">
        <v>58</v>
      </c>
      <c r="B55" s="300" t="s">
        <v>59</v>
      </c>
      <c r="C55" s="300"/>
      <c r="D55" s="300"/>
      <c r="E55" s="300"/>
      <c r="F55" s="300"/>
      <c r="G55" s="331">
        <v>6.0000000000000001E-3</v>
      </c>
      <c r="H55" s="331"/>
      <c r="I55" s="333">
        <f>G47*G55</f>
        <v>11.300020332000001</v>
      </c>
      <c r="J55" s="333"/>
    </row>
    <row r="56" spans="1:10" x14ac:dyDescent="0.35">
      <c r="A56" s="23" t="s">
        <v>60</v>
      </c>
      <c r="B56" s="300" t="s">
        <v>61</v>
      </c>
      <c r="C56" s="300"/>
      <c r="D56" s="300"/>
      <c r="E56" s="300"/>
      <c r="F56" s="300"/>
      <c r="G56" s="331">
        <v>2E-3</v>
      </c>
      <c r="H56" s="331"/>
      <c r="I56" s="333">
        <f>G47*G56</f>
        <v>3.7666734440000003</v>
      </c>
      <c r="J56" s="333"/>
    </row>
    <row r="57" spans="1:10" x14ac:dyDescent="0.35">
      <c r="A57" s="23" t="s">
        <v>62</v>
      </c>
      <c r="B57" s="300" t="s">
        <v>63</v>
      </c>
      <c r="C57" s="300"/>
      <c r="D57" s="300"/>
      <c r="E57" s="300"/>
      <c r="F57" s="300"/>
      <c r="G57" s="331">
        <v>0.08</v>
      </c>
      <c r="H57" s="331"/>
      <c r="I57" s="333">
        <f>G47*G57</f>
        <v>150.66693776</v>
      </c>
      <c r="J57" s="333"/>
    </row>
    <row r="58" spans="1:10" x14ac:dyDescent="0.35">
      <c r="A58" s="311" t="s">
        <v>64</v>
      </c>
      <c r="B58" s="311"/>
      <c r="C58" s="311"/>
      <c r="D58" s="311"/>
      <c r="E58" s="311"/>
      <c r="F58" s="311"/>
      <c r="G58" s="344">
        <f>SUM(G50:H57)</f>
        <v>0.36800000000000005</v>
      </c>
      <c r="H58" s="311"/>
      <c r="I58" s="345">
        <f>SUM(I50:J57)</f>
        <v>693.06791369600012</v>
      </c>
      <c r="J58" s="345"/>
    </row>
    <row r="59" spans="1:10" x14ac:dyDescent="0.35">
      <c r="A59" s="319"/>
      <c r="B59" s="319"/>
      <c r="C59" s="319"/>
      <c r="D59" s="319"/>
      <c r="E59" s="319"/>
      <c r="F59" s="319"/>
      <c r="G59" s="319"/>
      <c r="H59" s="319"/>
      <c r="I59" s="319"/>
      <c r="J59" s="319"/>
    </row>
    <row r="60" spans="1:10" x14ac:dyDescent="0.35">
      <c r="A60" s="326" t="s">
        <v>65</v>
      </c>
      <c r="B60" s="326"/>
      <c r="C60" s="326"/>
      <c r="D60" s="326"/>
      <c r="E60" s="326"/>
      <c r="F60" s="326"/>
      <c r="G60" s="326"/>
      <c r="H60" s="326"/>
      <c r="I60" s="326"/>
      <c r="J60" s="326"/>
    </row>
    <row r="61" spans="1:10" x14ac:dyDescent="0.35">
      <c r="A61" s="12"/>
      <c r="B61" s="309"/>
      <c r="C61" s="309"/>
      <c r="D61" s="309"/>
      <c r="E61" s="309"/>
      <c r="F61" s="309"/>
      <c r="G61" s="309"/>
      <c r="H61" s="309"/>
      <c r="I61" s="309"/>
      <c r="J61" s="309"/>
    </row>
    <row r="62" spans="1:10" x14ac:dyDescent="0.35">
      <c r="A62" s="21" t="s">
        <v>66</v>
      </c>
      <c r="B62" s="347" t="s">
        <v>67</v>
      </c>
      <c r="C62" s="347"/>
      <c r="D62" s="347"/>
      <c r="E62" s="347"/>
      <c r="F62" s="347"/>
      <c r="G62" s="295" t="s">
        <v>138</v>
      </c>
      <c r="H62" s="296"/>
      <c r="I62" s="353" t="s">
        <v>34</v>
      </c>
      <c r="J62" s="354"/>
    </row>
    <row r="63" spans="1:10" x14ac:dyDescent="0.35">
      <c r="A63" s="22" t="s">
        <v>3</v>
      </c>
      <c r="B63" s="346" t="s">
        <v>68</v>
      </c>
      <c r="C63" s="346"/>
      <c r="D63" s="346"/>
      <c r="E63" s="346"/>
      <c r="F63" s="346"/>
      <c r="G63" s="291">
        <v>0.06</v>
      </c>
      <c r="H63" s="292"/>
      <c r="I63" s="281">
        <f>(2*4.7*21.25)-(G63*G30)</f>
        <v>114.99280000000002</v>
      </c>
      <c r="J63" s="283"/>
    </row>
    <row r="64" spans="1:10" x14ac:dyDescent="0.35">
      <c r="A64" s="22" t="s">
        <v>5</v>
      </c>
      <c r="B64" s="346" t="s">
        <v>69</v>
      </c>
      <c r="C64" s="346"/>
      <c r="D64" s="346"/>
      <c r="E64" s="346"/>
      <c r="F64" s="346"/>
      <c r="G64" s="291">
        <v>3.5000000000000003E-2</v>
      </c>
      <c r="H64" s="292"/>
      <c r="I64" s="352">
        <f>(20*22)-(20*22*G64)</f>
        <v>424.6</v>
      </c>
      <c r="J64" s="352"/>
    </row>
    <row r="65" spans="1:10" x14ac:dyDescent="0.35">
      <c r="A65" s="22" t="s">
        <v>8</v>
      </c>
      <c r="B65" s="346" t="s">
        <v>70</v>
      </c>
      <c r="C65" s="346"/>
      <c r="D65" s="346"/>
      <c r="E65" s="346"/>
      <c r="F65" s="346"/>
      <c r="G65" s="289" t="s">
        <v>139</v>
      </c>
      <c r="H65" s="290"/>
      <c r="I65" s="352">
        <v>99.84</v>
      </c>
      <c r="J65" s="352"/>
    </row>
    <row r="66" spans="1:10" x14ac:dyDescent="0.35">
      <c r="A66" s="22" t="s">
        <v>10</v>
      </c>
      <c r="B66" s="346" t="s">
        <v>71</v>
      </c>
      <c r="C66" s="346"/>
      <c r="D66" s="346"/>
      <c r="E66" s="346"/>
      <c r="F66" s="346"/>
      <c r="G66" s="289" t="s">
        <v>139</v>
      </c>
      <c r="H66" s="290"/>
      <c r="I66" s="352">
        <v>5</v>
      </c>
      <c r="J66" s="352"/>
    </row>
    <row r="67" spans="1:10" x14ac:dyDescent="0.35">
      <c r="A67" s="22" t="s">
        <v>56</v>
      </c>
      <c r="B67" s="346" t="s">
        <v>72</v>
      </c>
      <c r="C67" s="346"/>
      <c r="D67" s="346"/>
      <c r="E67" s="346"/>
      <c r="F67" s="346"/>
      <c r="G67" s="289" t="s">
        <v>139</v>
      </c>
      <c r="H67" s="290"/>
      <c r="I67" s="352">
        <v>10</v>
      </c>
      <c r="J67" s="352"/>
    </row>
    <row r="68" spans="1:10" x14ac:dyDescent="0.35">
      <c r="A68" s="22" t="s">
        <v>58</v>
      </c>
      <c r="B68" s="346" t="s">
        <v>73</v>
      </c>
      <c r="C68" s="346"/>
      <c r="D68" s="346"/>
      <c r="E68" s="346"/>
      <c r="F68" s="346"/>
      <c r="G68" s="289" t="s">
        <v>139</v>
      </c>
      <c r="H68" s="290"/>
      <c r="I68" s="352">
        <v>8</v>
      </c>
      <c r="J68" s="352"/>
    </row>
    <row r="69" spans="1:10" x14ac:dyDescent="0.35">
      <c r="A69" s="22" t="s">
        <v>60</v>
      </c>
      <c r="B69" s="349" t="s">
        <v>74</v>
      </c>
      <c r="C69" s="350"/>
      <c r="D69" s="350"/>
      <c r="E69" s="350"/>
      <c r="F69" s="351"/>
      <c r="G69" s="293">
        <v>2.6069999999999999E-2</v>
      </c>
      <c r="H69" s="294"/>
      <c r="I69" s="352">
        <f xml:space="preserve"> (282.5*4*G69)/24</f>
        <v>1.2274624999999999</v>
      </c>
      <c r="J69" s="352"/>
    </row>
    <row r="70" spans="1:10" x14ac:dyDescent="0.35">
      <c r="A70" s="22" t="s">
        <v>62</v>
      </c>
      <c r="B70" s="349" t="s">
        <v>75</v>
      </c>
      <c r="C70" s="350"/>
      <c r="D70" s="350"/>
      <c r="E70" s="350"/>
      <c r="F70" s="351"/>
      <c r="G70" s="291">
        <v>1.0416E-2</v>
      </c>
      <c r="H70" s="292"/>
      <c r="I70" s="352">
        <f>((1412.62)*G70)/24</f>
        <v>0.61307707999999994</v>
      </c>
      <c r="J70" s="352"/>
    </row>
    <row r="71" spans="1:10" x14ac:dyDescent="0.35">
      <c r="A71" s="22" t="s">
        <v>20</v>
      </c>
      <c r="B71" s="300" t="s">
        <v>38</v>
      </c>
      <c r="C71" s="300"/>
      <c r="D71" s="300"/>
      <c r="E71" s="300"/>
      <c r="F71" s="300"/>
      <c r="G71" s="289" t="s">
        <v>139</v>
      </c>
      <c r="H71" s="290"/>
      <c r="I71" s="321">
        <v>0</v>
      </c>
      <c r="J71" s="321"/>
    </row>
    <row r="72" spans="1:10" x14ac:dyDescent="0.35">
      <c r="A72" s="355" t="s">
        <v>39</v>
      </c>
      <c r="B72" s="356"/>
      <c r="C72" s="356"/>
      <c r="D72" s="356"/>
      <c r="E72" s="356"/>
      <c r="F72" s="356"/>
      <c r="G72" s="356"/>
      <c r="H72" s="357"/>
      <c r="I72" s="323">
        <f>SUM(I63:J71)</f>
        <v>664.27333958000008</v>
      </c>
      <c r="J72" s="323"/>
    </row>
    <row r="73" spans="1:10" x14ac:dyDescent="0.35">
      <c r="A73" s="348"/>
      <c r="B73" s="348"/>
      <c r="C73" s="348"/>
      <c r="D73" s="348"/>
      <c r="E73" s="348"/>
      <c r="F73" s="348"/>
      <c r="G73" s="348"/>
      <c r="H73" s="348"/>
      <c r="I73" s="348"/>
      <c r="J73" s="348"/>
    </row>
    <row r="74" spans="1:10" x14ac:dyDescent="0.35">
      <c r="A74" s="326" t="s">
        <v>76</v>
      </c>
      <c r="B74" s="326"/>
      <c r="C74" s="326"/>
      <c r="D74" s="326"/>
      <c r="E74" s="326"/>
      <c r="F74" s="326"/>
      <c r="G74" s="326"/>
      <c r="H74" s="326"/>
      <c r="I74" s="326"/>
      <c r="J74" s="326"/>
    </row>
    <row r="75" spans="1:10" x14ac:dyDescent="0.35">
      <c r="A75" s="358"/>
      <c r="B75" s="358"/>
      <c r="C75" s="358"/>
      <c r="D75" s="358"/>
      <c r="E75" s="358"/>
      <c r="F75" s="358"/>
      <c r="G75" s="358"/>
      <c r="H75" s="358"/>
      <c r="I75" s="358"/>
      <c r="J75" s="358"/>
    </row>
    <row r="76" spans="1:10" x14ac:dyDescent="0.35">
      <c r="A76" s="20">
        <v>2</v>
      </c>
      <c r="B76" s="311" t="s">
        <v>77</v>
      </c>
      <c r="C76" s="311"/>
      <c r="D76" s="311"/>
      <c r="E76" s="311"/>
      <c r="F76" s="311"/>
      <c r="G76" s="311" t="s">
        <v>34</v>
      </c>
      <c r="H76" s="311"/>
      <c r="I76" s="311"/>
      <c r="J76" s="311"/>
    </row>
    <row r="77" spans="1:10" x14ac:dyDescent="0.35">
      <c r="A77" s="23" t="s">
        <v>43</v>
      </c>
      <c r="B77" s="300" t="s">
        <v>44</v>
      </c>
      <c r="C77" s="300"/>
      <c r="D77" s="300"/>
      <c r="E77" s="300"/>
      <c r="F77" s="300"/>
      <c r="G77" s="321">
        <f>I44</f>
        <v>188.316722</v>
      </c>
      <c r="H77" s="321"/>
      <c r="I77" s="321"/>
      <c r="J77" s="321"/>
    </row>
    <row r="78" spans="1:10" x14ac:dyDescent="0.35">
      <c r="A78" s="23" t="s">
        <v>50</v>
      </c>
      <c r="B78" s="300" t="s">
        <v>51</v>
      </c>
      <c r="C78" s="300"/>
      <c r="D78" s="300"/>
      <c r="E78" s="300"/>
      <c r="F78" s="300"/>
      <c r="G78" s="321">
        <f>I58</f>
        <v>693.06791369600012</v>
      </c>
      <c r="H78" s="321"/>
      <c r="I78" s="321"/>
      <c r="J78" s="321"/>
    </row>
    <row r="79" spans="1:10" x14ac:dyDescent="0.35">
      <c r="A79" s="23" t="s">
        <v>66</v>
      </c>
      <c r="B79" s="300" t="s">
        <v>67</v>
      </c>
      <c r="C79" s="300"/>
      <c r="D79" s="300"/>
      <c r="E79" s="300"/>
      <c r="F79" s="300"/>
      <c r="G79" s="321">
        <f>I72</f>
        <v>664.27333958000008</v>
      </c>
      <c r="H79" s="321"/>
      <c r="I79" s="321"/>
      <c r="J79" s="321"/>
    </row>
    <row r="80" spans="1:10" x14ac:dyDescent="0.35">
      <c r="A80" s="311" t="s">
        <v>39</v>
      </c>
      <c r="B80" s="311"/>
      <c r="C80" s="311"/>
      <c r="D80" s="311"/>
      <c r="E80" s="311"/>
      <c r="F80" s="311"/>
      <c r="G80" s="323">
        <f>SUM(G77:J79)</f>
        <v>1545.6579752760003</v>
      </c>
      <c r="H80" s="323"/>
      <c r="I80" s="323"/>
      <c r="J80" s="323"/>
    </row>
    <row r="81" spans="1:10" x14ac:dyDescent="0.35">
      <c r="A81" s="319"/>
      <c r="B81" s="319"/>
      <c r="C81" s="319"/>
      <c r="D81" s="319"/>
      <c r="E81" s="319"/>
      <c r="F81" s="319"/>
      <c r="G81" s="319"/>
      <c r="H81" s="319"/>
      <c r="I81" s="319"/>
      <c r="J81" s="319"/>
    </row>
    <row r="82" spans="1:10" x14ac:dyDescent="0.35">
      <c r="A82" s="303"/>
      <c r="B82" s="303"/>
      <c r="C82" s="303"/>
      <c r="D82" s="303"/>
      <c r="E82" s="303"/>
      <c r="F82" s="303"/>
      <c r="G82" s="303"/>
      <c r="H82" s="303"/>
      <c r="I82" s="303"/>
      <c r="J82" s="303"/>
    </row>
    <row r="83" spans="1:10" x14ac:dyDescent="0.35">
      <c r="A83" s="287" t="s">
        <v>78</v>
      </c>
      <c r="B83" s="287"/>
      <c r="C83" s="287"/>
      <c r="D83" s="287"/>
      <c r="E83" s="287"/>
      <c r="F83" s="287"/>
      <c r="G83" s="287"/>
      <c r="H83" s="287"/>
      <c r="I83" s="287"/>
      <c r="J83" s="287"/>
    </row>
    <row r="84" spans="1:10" x14ac:dyDescent="0.35">
      <c r="A84" s="361" t="s">
        <v>79</v>
      </c>
      <c r="B84" s="361"/>
      <c r="C84" s="361"/>
      <c r="D84" s="361"/>
      <c r="E84" s="361"/>
      <c r="F84" s="361"/>
      <c r="G84" s="362">
        <f>G34</f>
        <v>1695.02</v>
      </c>
      <c r="H84" s="362"/>
      <c r="I84" s="362"/>
      <c r="J84" s="362"/>
    </row>
    <row r="85" spans="1:10" x14ac:dyDescent="0.35">
      <c r="A85" s="363"/>
      <c r="B85" s="363"/>
      <c r="C85" s="363"/>
      <c r="D85" s="363"/>
      <c r="E85" s="363"/>
      <c r="F85" s="363"/>
      <c r="G85" s="309"/>
      <c r="H85" s="309"/>
      <c r="I85" s="309"/>
      <c r="J85" s="309"/>
    </row>
    <row r="86" spans="1:10" x14ac:dyDescent="0.35">
      <c r="A86" s="10">
        <v>3</v>
      </c>
      <c r="B86" s="322" t="s">
        <v>80</v>
      </c>
      <c r="C86" s="322"/>
      <c r="D86" s="322"/>
      <c r="E86" s="322"/>
      <c r="F86" s="322"/>
      <c r="G86" s="364" t="s">
        <v>45</v>
      </c>
      <c r="H86" s="364"/>
      <c r="I86" s="322" t="s">
        <v>34</v>
      </c>
      <c r="J86" s="322"/>
    </row>
    <row r="87" spans="1:10" x14ac:dyDescent="0.35">
      <c r="A87" s="14" t="s">
        <v>3</v>
      </c>
      <c r="B87" s="359" t="s">
        <v>81</v>
      </c>
      <c r="C87" s="359"/>
      <c r="D87" s="359"/>
      <c r="E87" s="359"/>
      <c r="F87" s="359"/>
      <c r="G87" s="30">
        <v>0.05</v>
      </c>
      <c r="H87" s="24">
        <f>(1/12)*G87</f>
        <v>4.1666666666666666E-3</v>
      </c>
      <c r="I87" s="333">
        <f>G84*H87</f>
        <v>7.0625833333333334</v>
      </c>
      <c r="J87" s="333"/>
    </row>
    <row r="88" spans="1:10" x14ac:dyDescent="0.35">
      <c r="A88" s="14" t="s">
        <v>5</v>
      </c>
      <c r="B88" s="359" t="s">
        <v>82</v>
      </c>
      <c r="C88" s="359"/>
      <c r="D88" s="359"/>
      <c r="E88" s="359"/>
      <c r="F88" s="359"/>
      <c r="G88" s="329">
        <f>H87*0.08</f>
        <v>3.3333333333333332E-4</v>
      </c>
      <c r="H88" s="329"/>
      <c r="I88" s="360">
        <f>G84*G88</f>
        <v>0.56500666666666666</v>
      </c>
      <c r="J88" s="360"/>
    </row>
    <row r="89" spans="1:10" x14ac:dyDescent="0.35">
      <c r="A89" s="14" t="s">
        <v>8</v>
      </c>
      <c r="B89" s="359" t="s">
        <v>203</v>
      </c>
      <c r="C89" s="359"/>
      <c r="D89" s="359"/>
      <c r="E89" s="359"/>
      <c r="F89" s="359"/>
      <c r="G89" s="30">
        <v>0.9</v>
      </c>
      <c r="H89" s="24">
        <f>(1+2/12+(1/3*1/12))*0.08*0.4*G89</f>
        <v>3.4400000000000007E-2</v>
      </c>
      <c r="I89" s="365">
        <f>G84*H89</f>
        <v>58.308688000000011</v>
      </c>
      <c r="J89" s="366"/>
    </row>
    <row r="90" spans="1:10" x14ac:dyDescent="0.35">
      <c r="A90" s="14" t="s">
        <v>10</v>
      </c>
      <c r="B90" s="359" t="s">
        <v>83</v>
      </c>
      <c r="C90" s="359"/>
      <c r="D90" s="359"/>
      <c r="E90" s="359"/>
      <c r="F90" s="359"/>
      <c r="G90" s="329">
        <f>((7/30) + (7/30*0.1))/ 24</f>
        <v>1.0694444444444444E-2</v>
      </c>
      <c r="H90" s="329"/>
      <c r="I90" s="365">
        <f>G84*G90</f>
        <v>18.127297222222222</v>
      </c>
      <c r="J90" s="366"/>
    </row>
    <row r="91" spans="1:10" x14ac:dyDescent="0.35">
      <c r="A91" s="14" t="s">
        <v>56</v>
      </c>
      <c r="B91" s="359" t="s">
        <v>84</v>
      </c>
      <c r="C91" s="359"/>
      <c r="D91" s="359"/>
      <c r="E91" s="359"/>
      <c r="F91" s="359"/>
      <c r="G91" s="329">
        <f>G90*G58</f>
        <v>3.9355555555555559E-3</v>
      </c>
      <c r="H91" s="329"/>
      <c r="I91" s="365">
        <f>G84*G91</f>
        <v>6.6708453777777779</v>
      </c>
      <c r="J91" s="366"/>
    </row>
    <row r="92" spans="1:10" x14ac:dyDescent="0.35">
      <c r="A92" s="14" t="s">
        <v>58</v>
      </c>
      <c r="B92" s="359" t="s">
        <v>204</v>
      </c>
      <c r="C92" s="359"/>
      <c r="D92" s="359"/>
      <c r="E92" s="359"/>
      <c r="F92" s="359"/>
      <c r="G92" s="367">
        <f>G90*0.08*0.4</f>
        <v>3.4222222222222228E-4</v>
      </c>
      <c r="H92" s="367"/>
      <c r="I92" s="368">
        <f>G84*G92</f>
        <v>0.58007351111111116</v>
      </c>
      <c r="J92" s="369"/>
    </row>
    <row r="93" spans="1:10" x14ac:dyDescent="0.35">
      <c r="A93" s="322" t="s">
        <v>39</v>
      </c>
      <c r="B93" s="322"/>
      <c r="C93" s="322"/>
      <c r="D93" s="322"/>
      <c r="E93" s="322"/>
      <c r="F93" s="322"/>
      <c r="G93" s="372">
        <f>SUM(H87,G88,H89,G90,G91,G92)</f>
        <v>5.3872222222222224E-2</v>
      </c>
      <c r="H93" s="372"/>
      <c r="I93" s="345">
        <f>SUM(I87:J92)</f>
        <v>91.314494111111131</v>
      </c>
      <c r="J93" s="345"/>
    </row>
    <row r="94" spans="1:10" x14ac:dyDescent="0.35">
      <c r="A94" s="373"/>
      <c r="B94" s="373"/>
      <c r="C94" s="373"/>
      <c r="D94" s="373"/>
      <c r="E94" s="373"/>
      <c r="F94" s="373"/>
      <c r="G94" s="373"/>
      <c r="H94" s="373"/>
      <c r="I94" s="373"/>
      <c r="J94" s="373"/>
    </row>
    <row r="95" spans="1:10" x14ac:dyDescent="0.35">
      <c r="A95" s="287" t="s">
        <v>85</v>
      </c>
      <c r="B95" s="287"/>
      <c r="C95" s="287"/>
      <c r="D95" s="287"/>
      <c r="E95" s="287"/>
      <c r="F95" s="287"/>
      <c r="G95" s="287"/>
      <c r="H95" s="287"/>
      <c r="I95" s="287"/>
      <c r="J95" s="287"/>
    </row>
    <row r="96" spans="1:10" x14ac:dyDescent="0.35">
      <c r="A96" s="12"/>
      <c r="B96" s="288"/>
      <c r="C96" s="288"/>
      <c r="D96" s="288"/>
      <c r="E96" s="288"/>
      <c r="F96" s="288"/>
      <c r="G96" s="288"/>
      <c r="H96" s="288"/>
      <c r="I96" s="288"/>
      <c r="J96" s="288"/>
    </row>
    <row r="97" spans="1:10" x14ac:dyDescent="0.35">
      <c r="A97" s="326" t="s">
        <v>86</v>
      </c>
      <c r="B97" s="326"/>
      <c r="C97" s="326"/>
      <c r="D97" s="326"/>
      <c r="E97" s="326"/>
      <c r="F97" s="326"/>
      <c r="G97" s="326"/>
      <c r="H97" s="326"/>
      <c r="I97" s="326"/>
      <c r="J97" s="326"/>
    </row>
    <row r="98" spans="1:10" x14ac:dyDescent="0.35">
      <c r="A98" s="361" t="s">
        <v>87</v>
      </c>
      <c r="B98" s="361"/>
      <c r="C98" s="361"/>
      <c r="D98" s="361"/>
      <c r="E98" s="361"/>
      <c r="F98" s="361"/>
      <c r="G98" s="370">
        <f>G34</f>
        <v>1695.02</v>
      </c>
      <c r="H98" s="371"/>
      <c r="I98" s="371"/>
      <c r="J98" s="371"/>
    </row>
    <row r="99" spans="1:10" x14ac:dyDescent="0.35">
      <c r="A99" s="16"/>
      <c r="B99" s="16"/>
      <c r="C99" s="16"/>
      <c r="D99" s="16"/>
      <c r="E99" s="16"/>
      <c r="F99" s="16"/>
      <c r="G99" s="17"/>
      <c r="H99" s="17"/>
      <c r="I99" s="17"/>
      <c r="J99" s="17"/>
    </row>
    <row r="100" spans="1:10" x14ac:dyDescent="0.35">
      <c r="A100" s="15" t="s">
        <v>88</v>
      </c>
      <c r="B100" s="339" t="s">
        <v>89</v>
      </c>
      <c r="C100" s="339"/>
      <c r="D100" s="339"/>
      <c r="E100" s="339"/>
      <c r="F100" s="339"/>
      <c r="G100" s="322" t="s">
        <v>90</v>
      </c>
      <c r="H100" s="322"/>
      <c r="I100" s="311" t="s">
        <v>34</v>
      </c>
      <c r="J100" s="311"/>
    </row>
    <row r="101" spans="1:10" x14ac:dyDescent="0.35">
      <c r="A101" s="23" t="s">
        <v>3</v>
      </c>
      <c r="B101" s="300" t="s">
        <v>91</v>
      </c>
      <c r="C101" s="300"/>
      <c r="D101" s="300"/>
      <c r="E101" s="300"/>
      <c r="F101" s="300"/>
      <c r="G101" s="329">
        <f>1/12</f>
        <v>8.3333333333333329E-2</v>
      </c>
      <c r="H101" s="329"/>
      <c r="I101" s="321">
        <f>G101*G98</f>
        <v>141.25166666666667</v>
      </c>
      <c r="J101" s="321"/>
    </row>
    <row r="102" spans="1:10" x14ac:dyDescent="0.35">
      <c r="A102" s="14" t="s">
        <v>5</v>
      </c>
      <c r="B102" s="325" t="s">
        <v>92</v>
      </c>
      <c r="C102" s="325"/>
      <c r="D102" s="325"/>
      <c r="E102" s="325"/>
      <c r="F102" s="325"/>
      <c r="G102" s="374">
        <f>(1/30)/12</f>
        <v>2.7777777777777779E-3</v>
      </c>
      <c r="H102" s="374"/>
      <c r="I102" s="321">
        <f>G98*G102</f>
        <v>4.708388888888889</v>
      </c>
      <c r="J102" s="321"/>
    </row>
    <row r="103" spans="1:10" x14ac:dyDescent="0.35">
      <c r="A103" s="14" t="s">
        <v>8</v>
      </c>
      <c r="B103" s="325" t="s">
        <v>93</v>
      </c>
      <c r="C103" s="325"/>
      <c r="D103" s="325"/>
      <c r="E103" s="325"/>
      <c r="F103" s="325"/>
      <c r="G103" s="374">
        <f>(5/30)/12*0.015</f>
        <v>2.0833333333333332E-4</v>
      </c>
      <c r="H103" s="374"/>
      <c r="I103" s="321">
        <f>G98*G103</f>
        <v>0.35312916666666666</v>
      </c>
      <c r="J103" s="321"/>
    </row>
    <row r="104" spans="1:10" x14ac:dyDescent="0.35">
      <c r="A104" s="14" t="s">
        <v>10</v>
      </c>
      <c r="B104" s="325" t="s">
        <v>94</v>
      </c>
      <c r="C104" s="325"/>
      <c r="D104" s="325"/>
      <c r="E104" s="325"/>
      <c r="F104" s="325"/>
      <c r="G104" s="374">
        <f>1/12*0.0078</f>
        <v>6.4999999999999997E-4</v>
      </c>
      <c r="H104" s="374"/>
      <c r="I104" s="321">
        <f>G98*G104</f>
        <v>1.101763</v>
      </c>
      <c r="J104" s="321"/>
    </row>
    <row r="105" spans="1:10" x14ac:dyDescent="0.35">
      <c r="A105" s="14" t="s">
        <v>56</v>
      </c>
      <c r="B105" s="325" t="s">
        <v>95</v>
      </c>
      <c r="C105" s="325"/>
      <c r="D105" s="325"/>
      <c r="E105" s="325"/>
      <c r="F105" s="325"/>
      <c r="G105" s="374">
        <f>((1/12)+(1/3*1/12))*0.02607*6/12</f>
        <v>1.4483333333333334E-3</v>
      </c>
      <c r="H105" s="374"/>
      <c r="I105" s="321">
        <f>G98*G105</f>
        <v>2.4549539666666669</v>
      </c>
      <c r="J105" s="321"/>
    </row>
    <row r="106" spans="1:10" x14ac:dyDescent="0.35">
      <c r="A106" s="14" t="s">
        <v>58</v>
      </c>
      <c r="B106" s="325" t="s">
        <v>96</v>
      </c>
      <c r="C106" s="325"/>
      <c r="D106" s="325"/>
      <c r="E106" s="325"/>
      <c r="F106" s="325"/>
      <c r="G106" s="374">
        <f>(5/30/12)</f>
        <v>1.3888888888888888E-2</v>
      </c>
      <c r="H106" s="374"/>
      <c r="I106" s="321">
        <f>G98*G106</f>
        <v>23.541944444444443</v>
      </c>
      <c r="J106" s="321"/>
    </row>
    <row r="107" spans="1:10" x14ac:dyDescent="0.35">
      <c r="A107" s="375" t="s">
        <v>97</v>
      </c>
      <c r="B107" s="375"/>
      <c r="C107" s="375"/>
      <c r="D107" s="375"/>
      <c r="E107" s="375"/>
      <c r="F107" s="375"/>
      <c r="G107" s="376">
        <f>SUM(G101:H106)</f>
        <v>0.10230666666666666</v>
      </c>
      <c r="H107" s="376"/>
      <c r="I107" s="377">
        <f>SUM(I101:J106)</f>
        <v>173.41184613333334</v>
      </c>
      <c r="J107" s="377"/>
    </row>
    <row r="108" spans="1:10" x14ac:dyDescent="0.35">
      <c r="A108" s="69" t="s">
        <v>60</v>
      </c>
      <c r="B108" s="378" t="s">
        <v>98</v>
      </c>
      <c r="C108" s="378"/>
      <c r="D108" s="378"/>
      <c r="E108" s="378"/>
      <c r="F108" s="379"/>
      <c r="G108" s="380">
        <f>(G107-G105)*(2/12+(1/3*1/12))</f>
        <v>1.961134259259259E-2</v>
      </c>
      <c r="H108" s="379"/>
      <c r="I108" s="381">
        <f>G98*G108</f>
        <v>33.241617921296289</v>
      </c>
      <c r="J108" s="382"/>
    </row>
    <row r="109" spans="1:10" x14ac:dyDescent="0.35">
      <c r="A109" s="388" t="s">
        <v>99</v>
      </c>
      <c r="B109" s="389"/>
      <c r="C109" s="389"/>
      <c r="D109" s="389"/>
      <c r="E109" s="389"/>
      <c r="F109" s="390"/>
      <c r="G109" s="391">
        <f>SUM(G107:H108)</f>
        <v>0.12191800925925925</v>
      </c>
      <c r="H109" s="392"/>
      <c r="I109" s="393">
        <f>SUM(I107:J108)</f>
        <v>206.65346405462964</v>
      </c>
      <c r="J109" s="394"/>
    </row>
    <row r="110" spans="1:10" x14ac:dyDescent="0.35">
      <c r="A110" s="69" t="s">
        <v>62</v>
      </c>
      <c r="B110" s="395" t="s">
        <v>100</v>
      </c>
      <c r="C110" s="395"/>
      <c r="D110" s="395"/>
      <c r="E110" s="395"/>
      <c r="F110" s="396"/>
      <c r="G110" s="380">
        <f>G109*G58</f>
        <v>4.486582740740741E-2</v>
      </c>
      <c r="H110" s="397"/>
      <c r="I110" s="381">
        <f>G98*G110</f>
        <v>76.048474772103702</v>
      </c>
      <c r="J110" s="382"/>
    </row>
    <row r="111" spans="1:10" x14ac:dyDescent="0.35">
      <c r="A111" s="383" t="s">
        <v>39</v>
      </c>
      <c r="B111" s="378"/>
      <c r="C111" s="378"/>
      <c r="D111" s="378"/>
      <c r="E111" s="378"/>
      <c r="F111" s="379"/>
      <c r="G111" s="384">
        <f>SUM(G109:H110)</f>
        <v>0.16678383666666666</v>
      </c>
      <c r="H111" s="385"/>
      <c r="I111" s="386">
        <f>G98*G111</f>
        <v>282.70193882673334</v>
      </c>
      <c r="J111" s="387"/>
    </row>
    <row r="112" spans="1:10" x14ac:dyDescent="0.35">
      <c r="A112" s="88"/>
      <c r="B112" s="404"/>
      <c r="C112" s="404"/>
      <c r="D112" s="404"/>
      <c r="E112" s="404"/>
      <c r="F112" s="404"/>
      <c r="G112" s="404"/>
      <c r="H112" s="404"/>
      <c r="I112" s="404"/>
      <c r="J112" s="404"/>
    </row>
    <row r="113" spans="1:10" x14ac:dyDescent="0.35">
      <c r="A113" s="400" t="s">
        <v>101</v>
      </c>
      <c r="B113" s="400"/>
      <c r="C113" s="400"/>
      <c r="D113" s="400"/>
      <c r="E113" s="400"/>
      <c r="F113" s="400"/>
      <c r="G113" s="400"/>
      <c r="H113" s="400"/>
      <c r="I113" s="400"/>
      <c r="J113" s="400"/>
    </row>
    <row r="114" spans="1:10" x14ac:dyDescent="0.35">
      <c r="A114" s="401"/>
      <c r="B114" s="401"/>
      <c r="C114" s="401"/>
      <c r="D114" s="401"/>
      <c r="E114" s="401"/>
      <c r="F114" s="401"/>
      <c r="G114" s="402"/>
      <c r="H114" s="402"/>
      <c r="I114" s="402"/>
      <c r="J114" s="402"/>
    </row>
    <row r="115" spans="1:10" x14ac:dyDescent="0.35">
      <c r="A115" s="67" t="s">
        <v>102</v>
      </c>
      <c r="B115" s="311" t="s">
        <v>103</v>
      </c>
      <c r="C115" s="311"/>
      <c r="D115" s="311"/>
      <c r="E115" s="311"/>
      <c r="F115" s="311"/>
      <c r="G115" s="311" t="s">
        <v>34</v>
      </c>
      <c r="H115" s="311"/>
      <c r="I115" s="311"/>
      <c r="J115" s="311"/>
    </row>
    <row r="116" spans="1:10" x14ac:dyDescent="0.35">
      <c r="A116" s="66" t="s">
        <v>3</v>
      </c>
      <c r="B116" s="300" t="s">
        <v>104</v>
      </c>
      <c r="C116" s="300"/>
      <c r="D116" s="300"/>
      <c r="E116" s="300"/>
      <c r="F116" s="300"/>
      <c r="G116" s="333">
        <v>0</v>
      </c>
      <c r="H116" s="333"/>
      <c r="I116" s="333"/>
      <c r="J116" s="333"/>
    </row>
    <row r="117" spans="1:10" x14ac:dyDescent="0.35">
      <c r="A117" s="311" t="s">
        <v>39</v>
      </c>
      <c r="B117" s="311"/>
      <c r="C117" s="311"/>
      <c r="D117" s="311"/>
      <c r="E117" s="311"/>
      <c r="F117" s="311"/>
      <c r="G117" s="345">
        <f>SUM(G116)</f>
        <v>0</v>
      </c>
      <c r="H117" s="345"/>
      <c r="I117" s="345"/>
      <c r="J117" s="345"/>
    </row>
    <row r="118" spans="1:10" x14ac:dyDescent="0.35">
      <c r="A118" s="88"/>
      <c r="B118" s="398"/>
      <c r="C118" s="398"/>
      <c r="D118" s="398"/>
      <c r="E118" s="398"/>
      <c r="F118" s="398"/>
      <c r="G118" s="398"/>
      <c r="H118" s="398"/>
      <c r="I118" s="398"/>
      <c r="J118" s="398"/>
    </row>
    <row r="119" spans="1:10" x14ac:dyDescent="0.35">
      <c r="A119" s="399" t="s">
        <v>105</v>
      </c>
      <c r="B119" s="399"/>
      <c r="C119" s="399"/>
      <c r="D119" s="399"/>
      <c r="E119" s="399"/>
      <c r="F119" s="399"/>
      <c r="G119" s="399"/>
      <c r="H119" s="399"/>
      <c r="I119" s="399"/>
      <c r="J119" s="399"/>
    </row>
    <row r="120" spans="1:10" x14ac:dyDescent="0.35">
      <c r="A120" s="88"/>
      <c r="B120" s="404"/>
      <c r="C120" s="404"/>
      <c r="D120" s="404"/>
      <c r="E120" s="404"/>
      <c r="F120" s="404"/>
      <c r="G120" s="405"/>
      <c r="H120" s="405"/>
      <c r="I120" s="405"/>
      <c r="J120" s="405"/>
    </row>
    <row r="121" spans="1:10" x14ac:dyDescent="0.35">
      <c r="A121" s="67">
        <v>4</v>
      </c>
      <c r="B121" s="311" t="s">
        <v>106</v>
      </c>
      <c r="C121" s="311"/>
      <c r="D121" s="311"/>
      <c r="E121" s="311"/>
      <c r="F121" s="311"/>
      <c r="G121" s="311" t="s">
        <v>34</v>
      </c>
      <c r="H121" s="311"/>
      <c r="I121" s="311"/>
      <c r="J121" s="311"/>
    </row>
    <row r="122" spans="1:10" x14ac:dyDescent="0.35">
      <c r="A122" s="66" t="s">
        <v>88</v>
      </c>
      <c r="B122" s="300" t="s">
        <v>107</v>
      </c>
      <c r="C122" s="300"/>
      <c r="D122" s="300"/>
      <c r="E122" s="300"/>
      <c r="F122" s="300"/>
      <c r="G122" s="321">
        <f>I111</f>
        <v>282.70193882673334</v>
      </c>
      <c r="H122" s="321"/>
      <c r="I122" s="321"/>
      <c r="J122" s="321"/>
    </row>
    <row r="123" spans="1:10" x14ac:dyDescent="0.35">
      <c r="A123" s="66" t="s">
        <v>102</v>
      </c>
      <c r="B123" s="403" t="s">
        <v>108</v>
      </c>
      <c r="C123" s="403"/>
      <c r="D123" s="403"/>
      <c r="E123" s="403"/>
      <c r="F123" s="403"/>
      <c r="G123" s="321">
        <f>G117</f>
        <v>0</v>
      </c>
      <c r="H123" s="321"/>
      <c r="I123" s="321"/>
      <c r="J123" s="321"/>
    </row>
    <row r="124" spans="1:10" x14ac:dyDescent="0.35">
      <c r="A124" s="311" t="s">
        <v>39</v>
      </c>
      <c r="B124" s="311"/>
      <c r="C124" s="311"/>
      <c r="D124" s="311"/>
      <c r="E124" s="311"/>
      <c r="F124" s="311"/>
      <c r="G124" s="323">
        <f>SUM(G122:J123)</f>
        <v>282.70193882673334</v>
      </c>
      <c r="H124" s="323"/>
      <c r="I124" s="323"/>
      <c r="J124" s="323"/>
    </row>
    <row r="125" spans="1:10" x14ac:dyDescent="0.35">
      <c r="A125" s="88"/>
      <c r="B125" s="404"/>
      <c r="C125" s="404"/>
      <c r="D125" s="404"/>
      <c r="E125" s="404"/>
      <c r="F125" s="404"/>
      <c r="G125" s="404"/>
      <c r="H125" s="404"/>
      <c r="I125" s="404"/>
      <c r="J125" s="404"/>
    </row>
    <row r="126" spans="1:10" x14ac:dyDescent="0.35">
      <c r="A126" s="88"/>
      <c r="B126" s="398"/>
      <c r="C126" s="398"/>
      <c r="D126" s="398"/>
      <c r="E126" s="398"/>
      <c r="F126" s="398"/>
      <c r="G126" s="398"/>
      <c r="H126" s="398"/>
      <c r="I126" s="398"/>
      <c r="J126" s="398"/>
    </row>
    <row r="127" spans="1:10" x14ac:dyDescent="0.35">
      <c r="A127" s="407" t="s">
        <v>109</v>
      </c>
      <c r="B127" s="407"/>
      <c r="C127" s="407"/>
      <c r="D127" s="407"/>
      <c r="E127" s="407"/>
      <c r="F127" s="407"/>
      <c r="G127" s="407"/>
      <c r="H127" s="407"/>
      <c r="I127" s="407"/>
      <c r="J127" s="407"/>
    </row>
    <row r="128" spans="1:10" x14ac:dyDescent="0.35">
      <c r="A128" s="89"/>
      <c r="B128" s="408"/>
      <c r="C128" s="408"/>
      <c r="D128" s="408"/>
      <c r="E128" s="408"/>
      <c r="F128" s="408"/>
      <c r="G128" s="408"/>
      <c r="H128" s="408"/>
      <c r="I128" s="408"/>
      <c r="J128" s="408"/>
    </row>
    <row r="129" spans="1:10" x14ac:dyDescent="0.35">
      <c r="A129" s="68">
        <v>5</v>
      </c>
      <c r="B129" s="406" t="s">
        <v>110</v>
      </c>
      <c r="C129" s="406"/>
      <c r="D129" s="406"/>
      <c r="E129" s="406"/>
      <c r="F129" s="406"/>
      <c r="G129" s="347" t="s">
        <v>34</v>
      </c>
      <c r="H129" s="347"/>
      <c r="I129" s="347"/>
      <c r="J129" s="347"/>
    </row>
    <row r="130" spans="1:10" x14ac:dyDescent="0.35">
      <c r="A130" s="22" t="s">
        <v>3</v>
      </c>
      <c r="B130" s="346" t="s">
        <v>111</v>
      </c>
      <c r="C130" s="346"/>
      <c r="D130" s="346"/>
      <c r="E130" s="346"/>
      <c r="F130" s="346"/>
      <c r="G130" s="352">
        <f>Uniformes!F24</f>
        <v>41.54076666666667</v>
      </c>
      <c r="H130" s="352"/>
      <c r="I130" s="352"/>
      <c r="J130" s="352"/>
    </row>
    <row r="131" spans="1:10" x14ac:dyDescent="0.35">
      <c r="A131" s="22" t="s">
        <v>5</v>
      </c>
      <c r="B131" s="284" t="s">
        <v>202</v>
      </c>
      <c r="C131" s="285"/>
      <c r="D131" s="285"/>
      <c r="E131" s="285"/>
      <c r="F131" s="286"/>
      <c r="G131" s="281">
        <f>Equipamentos!H88</f>
        <v>9.2756478750000007</v>
      </c>
      <c r="H131" s="282"/>
      <c r="I131" s="282"/>
      <c r="J131" s="283"/>
    </row>
    <row r="132" spans="1:10" x14ac:dyDescent="0.35">
      <c r="A132" s="347" t="s">
        <v>64</v>
      </c>
      <c r="B132" s="347"/>
      <c r="C132" s="347"/>
      <c r="D132" s="347"/>
      <c r="E132" s="347"/>
      <c r="F132" s="347"/>
      <c r="G132" s="413">
        <f>SUM(G130:J131)</f>
        <v>50.816414541666674</v>
      </c>
      <c r="H132" s="413"/>
      <c r="I132" s="413"/>
      <c r="J132" s="413"/>
    </row>
    <row r="133" spans="1:10" x14ac:dyDescent="0.35">
      <c r="A133" s="90"/>
      <c r="B133" s="414"/>
      <c r="C133" s="414"/>
      <c r="D133" s="414"/>
      <c r="E133" s="414"/>
      <c r="F133" s="414"/>
      <c r="G133" s="414"/>
      <c r="H133" s="414"/>
      <c r="I133" s="414"/>
      <c r="J133" s="414"/>
    </row>
    <row r="134" spans="1:10" x14ac:dyDescent="0.35">
      <c r="A134" s="407" t="s">
        <v>112</v>
      </c>
      <c r="B134" s="407"/>
      <c r="C134" s="407"/>
      <c r="D134" s="407"/>
      <c r="E134" s="407"/>
      <c r="F134" s="407"/>
      <c r="G134" s="407"/>
      <c r="H134" s="407"/>
      <c r="I134" s="407"/>
      <c r="J134" s="407"/>
    </row>
    <row r="135" spans="1:10" x14ac:dyDescent="0.35">
      <c r="A135" s="409" t="s">
        <v>113</v>
      </c>
      <c r="B135" s="409"/>
      <c r="C135" s="409"/>
      <c r="D135" s="409"/>
      <c r="E135" s="409"/>
      <c r="F135" s="409"/>
      <c r="G135" s="410">
        <f>G34+G80+I93+G124+G132</f>
        <v>3665.510822755512</v>
      </c>
      <c r="H135" s="411"/>
      <c r="I135" s="411"/>
      <c r="J135" s="411"/>
    </row>
    <row r="136" spans="1:10" x14ac:dyDescent="0.35">
      <c r="A136" s="409" t="s">
        <v>114</v>
      </c>
      <c r="B136" s="409"/>
      <c r="C136" s="409"/>
      <c r="D136" s="409"/>
      <c r="E136" s="409"/>
      <c r="F136" s="409"/>
      <c r="G136" s="410">
        <f>G135+I139</f>
        <v>3765.5792682167375</v>
      </c>
      <c r="H136" s="411"/>
      <c r="I136" s="411"/>
      <c r="J136" s="411"/>
    </row>
    <row r="137" spans="1:10" x14ac:dyDescent="0.35">
      <c r="A137" s="409" t="s">
        <v>115</v>
      </c>
      <c r="B137" s="409"/>
      <c r="C137" s="409"/>
      <c r="D137" s="409"/>
      <c r="E137" s="409"/>
      <c r="F137" s="409"/>
      <c r="G137" s="412">
        <f>(G136+I140)/(1-G141)</f>
        <v>4510.3515642978564</v>
      </c>
      <c r="H137" s="412"/>
      <c r="I137" s="412"/>
      <c r="J137" s="412"/>
    </row>
    <row r="138" spans="1:10" x14ac:dyDescent="0.35">
      <c r="A138" s="21">
        <v>6</v>
      </c>
      <c r="B138" s="406" t="s">
        <v>116</v>
      </c>
      <c r="C138" s="406"/>
      <c r="D138" s="406"/>
      <c r="E138" s="406"/>
      <c r="F138" s="406"/>
      <c r="G138" s="420" t="s">
        <v>45</v>
      </c>
      <c r="H138" s="420"/>
      <c r="I138" s="420" t="s">
        <v>34</v>
      </c>
      <c r="J138" s="420"/>
    </row>
    <row r="139" spans="1:10" x14ac:dyDescent="0.35">
      <c r="A139" s="22" t="s">
        <v>3</v>
      </c>
      <c r="B139" s="346" t="s">
        <v>117</v>
      </c>
      <c r="C139" s="346"/>
      <c r="D139" s="346"/>
      <c r="E139" s="346"/>
      <c r="F139" s="346"/>
      <c r="G139" s="415">
        <v>2.7300000000000001E-2</v>
      </c>
      <c r="H139" s="415"/>
      <c r="I139" s="416">
        <f>G135*G139</f>
        <v>100.06844546122548</v>
      </c>
      <c r="J139" s="346"/>
    </row>
    <row r="140" spans="1:10" x14ac:dyDescent="0.35">
      <c r="A140" s="22" t="s">
        <v>5</v>
      </c>
      <c r="B140" s="346" t="s">
        <v>118</v>
      </c>
      <c r="C140" s="346"/>
      <c r="D140" s="346"/>
      <c r="E140" s="346"/>
      <c r="F140" s="346"/>
      <c r="G140" s="415">
        <v>2.7099999999999999E-2</v>
      </c>
      <c r="H140" s="415"/>
      <c r="I140" s="416">
        <f>G136*G140</f>
        <v>102.04719816867359</v>
      </c>
      <c r="J140" s="346"/>
    </row>
    <row r="141" spans="1:10" x14ac:dyDescent="0.35">
      <c r="A141" s="22" t="s">
        <v>8</v>
      </c>
      <c r="B141" s="346" t="s">
        <v>119</v>
      </c>
      <c r="C141" s="346"/>
      <c r="D141" s="346"/>
      <c r="E141" s="346"/>
      <c r="F141" s="346"/>
      <c r="G141" s="417">
        <f>SUM(G142:H144)</f>
        <v>0.14250000000000002</v>
      </c>
      <c r="H141" s="417"/>
      <c r="I141" s="418">
        <f>G137*G141</f>
        <v>642.72509791244465</v>
      </c>
      <c r="J141" s="419"/>
    </row>
    <row r="142" spans="1:10" x14ac:dyDescent="0.35">
      <c r="A142" s="27" t="s">
        <v>120</v>
      </c>
      <c r="B142" s="421" t="s">
        <v>121</v>
      </c>
      <c r="C142" s="421"/>
      <c r="D142" s="421"/>
      <c r="E142" s="421"/>
      <c r="F142" s="421"/>
      <c r="G142" s="422">
        <f>'Item 1.1 (Encarregado)'!G142:H142</f>
        <v>7.5999999999999998E-2</v>
      </c>
      <c r="H142" s="422"/>
      <c r="I142" s="423">
        <f>G137*G142</f>
        <v>342.78671888663706</v>
      </c>
      <c r="J142" s="421"/>
    </row>
    <row r="143" spans="1:10" x14ac:dyDescent="0.35">
      <c r="A143" s="27" t="s">
        <v>122</v>
      </c>
      <c r="B143" s="421" t="s">
        <v>123</v>
      </c>
      <c r="C143" s="421"/>
      <c r="D143" s="421"/>
      <c r="E143" s="421"/>
      <c r="F143" s="421"/>
      <c r="G143" s="422">
        <f>'Item 1.1 (Encarregado)'!G143:H143</f>
        <v>1.6500000000000001E-2</v>
      </c>
      <c r="H143" s="422"/>
      <c r="I143" s="423">
        <f>G137*G143</f>
        <v>74.420800810914628</v>
      </c>
      <c r="J143" s="421"/>
    </row>
    <row r="144" spans="1:10" x14ac:dyDescent="0.35">
      <c r="A144" s="27" t="s">
        <v>124</v>
      </c>
      <c r="B144" s="421" t="s">
        <v>125</v>
      </c>
      <c r="C144" s="421"/>
      <c r="D144" s="421"/>
      <c r="E144" s="421"/>
      <c r="F144" s="421"/>
      <c r="G144" s="422">
        <v>0.05</v>
      </c>
      <c r="H144" s="422"/>
      <c r="I144" s="423">
        <f>G137*G144</f>
        <v>225.51757821489284</v>
      </c>
      <c r="J144" s="421"/>
    </row>
    <row r="145" spans="1:13" x14ac:dyDescent="0.35">
      <c r="A145" s="347" t="s">
        <v>64</v>
      </c>
      <c r="B145" s="347"/>
      <c r="C145" s="347"/>
      <c r="D145" s="347"/>
      <c r="E145" s="347"/>
      <c r="F145" s="347"/>
      <c r="G145" s="424"/>
      <c r="H145" s="424"/>
      <c r="I145" s="416">
        <f>SUM(I139:J141)</f>
        <v>844.84074154234372</v>
      </c>
      <c r="J145" s="346"/>
    </row>
    <row r="146" spans="1:13" x14ac:dyDescent="0.35">
      <c r="A146" s="19"/>
      <c r="B146" s="426"/>
      <c r="C146" s="426"/>
      <c r="D146" s="426"/>
      <c r="E146" s="426"/>
      <c r="F146" s="426"/>
      <c r="G146" s="426"/>
      <c r="H146" s="426"/>
      <c r="I146" s="426"/>
      <c r="J146" s="426"/>
    </row>
    <row r="147" spans="1:13" x14ac:dyDescent="0.35">
      <c r="A147" s="427" t="s">
        <v>126</v>
      </c>
      <c r="B147" s="427"/>
      <c r="C147" s="427"/>
      <c r="D147" s="427"/>
      <c r="E147" s="427"/>
      <c r="F147" s="427"/>
      <c r="G147" s="427"/>
      <c r="H147" s="427"/>
      <c r="I147" s="427"/>
      <c r="J147" s="427"/>
    </row>
    <row r="148" spans="1:13" x14ac:dyDescent="0.35">
      <c r="A148" s="18"/>
      <c r="B148" s="428"/>
      <c r="C148" s="428"/>
      <c r="D148" s="428"/>
      <c r="E148" s="428"/>
      <c r="F148" s="428"/>
      <c r="G148" s="428"/>
      <c r="H148" s="428"/>
      <c r="I148" s="428"/>
      <c r="J148" s="428"/>
    </row>
    <row r="149" spans="1:13" x14ac:dyDescent="0.35">
      <c r="A149" s="21"/>
      <c r="B149" s="347" t="s">
        <v>127</v>
      </c>
      <c r="C149" s="347"/>
      <c r="D149" s="347"/>
      <c r="E149" s="347"/>
      <c r="F149" s="347"/>
      <c r="G149" s="347" t="s">
        <v>34</v>
      </c>
      <c r="H149" s="347"/>
      <c r="I149" s="347"/>
      <c r="J149" s="347"/>
    </row>
    <row r="150" spans="1:13" x14ac:dyDescent="0.35">
      <c r="A150" s="21" t="s">
        <v>3</v>
      </c>
      <c r="B150" s="346" t="s">
        <v>32</v>
      </c>
      <c r="C150" s="346"/>
      <c r="D150" s="346"/>
      <c r="E150" s="346"/>
      <c r="F150" s="346"/>
      <c r="G150" s="352">
        <f>G34</f>
        <v>1695.02</v>
      </c>
      <c r="H150" s="352"/>
      <c r="I150" s="352"/>
      <c r="J150" s="352"/>
    </row>
    <row r="151" spans="1:13" x14ac:dyDescent="0.35">
      <c r="A151" s="21" t="s">
        <v>5</v>
      </c>
      <c r="B151" s="346" t="s">
        <v>40</v>
      </c>
      <c r="C151" s="346"/>
      <c r="D151" s="346"/>
      <c r="E151" s="346"/>
      <c r="F151" s="346"/>
      <c r="G151" s="352">
        <f>G80</f>
        <v>1545.6579752760003</v>
      </c>
      <c r="H151" s="352"/>
      <c r="I151" s="352"/>
      <c r="J151" s="352"/>
    </row>
    <row r="152" spans="1:13" x14ac:dyDescent="0.35">
      <c r="A152" s="21" t="s">
        <v>8</v>
      </c>
      <c r="B152" s="346" t="s">
        <v>78</v>
      </c>
      <c r="C152" s="346"/>
      <c r="D152" s="346"/>
      <c r="E152" s="346"/>
      <c r="F152" s="346"/>
      <c r="G152" s="352">
        <f>I93</f>
        <v>91.314494111111131</v>
      </c>
      <c r="H152" s="352"/>
      <c r="I152" s="352"/>
      <c r="J152" s="352"/>
    </row>
    <row r="153" spans="1:13" x14ac:dyDescent="0.35">
      <c r="A153" s="21" t="s">
        <v>10</v>
      </c>
      <c r="B153" s="346" t="s">
        <v>85</v>
      </c>
      <c r="C153" s="346"/>
      <c r="D153" s="346"/>
      <c r="E153" s="346"/>
      <c r="F153" s="346"/>
      <c r="G153" s="352">
        <f>G124</f>
        <v>282.70193882673334</v>
      </c>
      <c r="H153" s="352"/>
      <c r="I153" s="352"/>
      <c r="J153" s="352"/>
    </row>
    <row r="154" spans="1:13" x14ac:dyDescent="0.35">
      <c r="A154" s="21" t="s">
        <v>56</v>
      </c>
      <c r="B154" s="346" t="s">
        <v>109</v>
      </c>
      <c r="C154" s="346"/>
      <c r="D154" s="346"/>
      <c r="E154" s="346"/>
      <c r="F154" s="346"/>
      <c r="G154" s="352">
        <f>G132</f>
        <v>50.816414541666674</v>
      </c>
      <c r="H154" s="352"/>
      <c r="I154" s="352"/>
      <c r="J154" s="352"/>
    </row>
    <row r="155" spans="1:13" x14ac:dyDescent="0.35">
      <c r="A155" s="347" t="s">
        <v>128</v>
      </c>
      <c r="B155" s="347"/>
      <c r="C155" s="347"/>
      <c r="D155" s="347"/>
      <c r="E155" s="347"/>
      <c r="F155" s="347"/>
      <c r="G155" s="413">
        <f>SUM(G150:J154)</f>
        <v>3665.510822755512</v>
      </c>
      <c r="H155" s="413"/>
      <c r="I155" s="413"/>
      <c r="J155" s="413"/>
    </row>
    <row r="156" spans="1:13" x14ac:dyDescent="0.35">
      <c r="A156" s="21" t="s">
        <v>58</v>
      </c>
      <c r="B156" s="346" t="s">
        <v>129</v>
      </c>
      <c r="C156" s="346"/>
      <c r="D156" s="346"/>
      <c r="E156" s="346"/>
      <c r="F156" s="346"/>
      <c r="G156" s="352">
        <f>I145</f>
        <v>844.84074154234372</v>
      </c>
      <c r="H156" s="352"/>
      <c r="I156" s="352"/>
      <c r="J156" s="352"/>
    </row>
    <row r="157" spans="1:13" x14ac:dyDescent="0.35">
      <c r="A157" s="347" t="s">
        <v>130</v>
      </c>
      <c r="B157" s="347"/>
      <c r="C157" s="347"/>
      <c r="D157" s="347"/>
      <c r="E157" s="347"/>
      <c r="F157" s="347"/>
      <c r="G157" s="413">
        <f>SUM(G155:J156)</f>
        <v>4510.3515642978555</v>
      </c>
      <c r="H157" s="413"/>
      <c r="I157" s="413"/>
      <c r="J157" s="413"/>
      <c r="M157" s="176"/>
    </row>
    <row r="158" spans="1:13" x14ac:dyDescent="0.35">
      <c r="A158" s="347" t="s">
        <v>131</v>
      </c>
      <c r="B158" s="347"/>
      <c r="C158" s="347"/>
      <c r="D158" s="347"/>
      <c r="E158" s="347"/>
      <c r="F158" s="347"/>
      <c r="G158" s="436">
        <v>2</v>
      </c>
      <c r="H158" s="436"/>
      <c r="I158" s="436"/>
      <c r="J158" s="436"/>
    </row>
    <row r="159" spans="1:13" x14ac:dyDescent="0.35">
      <c r="A159" s="11"/>
      <c r="B159" s="11"/>
      <c r="C159" s="11"/>
      <c r="D159" s="11"/>
      <c r="E159" s="11"/>
      <c r="F159" s="11"/>
      <c r="G159" s="11"/>
      <c r="H159" s="11"/>
      <c r="I159" s="11"/>
      <c r="J159" s="11"/>
    </row>
    <row r="160" spans="1:13" x14ac:dyDescent="0.35">
      <c r="A160" s="434" t="s">
        <v>132</v>
      </c>
      <c r="B160" s="434"/>
      <c r="C160" s="434"/>
      <c r="D160" s="434"/>
      <c r="E160" s="434"/>
      <c r="F160" s="434"/>
      <c r="G160" s="434"/>
      <c r="H160" s="434"/>
      <c r="I160" s="434"/>
      <c r="J160" s="434"/>
    </row>
    <row r="161" spans="1:10" x14ac:dyDescent="0.35">
      <c r="A161" s="429" t="s">
        <v>133</v>
      </c>
      <c r="B161" s="429"/>
      <c r="C161" s="429" t="s">
        <v>208</v>
      </c>
      <c r="D161" s="429"/>
      <c r="E161" s="429"/>
      <c r="F161" s="429"/>
      <c r="G161" s="429" t="s">
        <v>134</v>
      </c>
      <c r="H161" s="429"/>
      <c r="I161" s="429" t="s">
        <v>135</v>
      </c>
      <c r="J161" s="429"/>
    </row>
    <row r="162" spans="1:10" x14ac:dyDescent="0.35">
      <c r="A162" s="435">
        <f>G158</f>
        <v>2</v>
      </c>
      <c r="B162" s="429"/>
      <c r="C162" s="430">
        <f>1/(F17/A162)</f>
        <v>1.8544274455261937E-3</v>
      </c>
      <c r="D162" s="430"/>
      <c r="E162" s="430"/>
      <c r="F162" s="430"/>
      <c r="G162" s="431">
        <f>G157</f>
        <v>4510.3515642978555</v>
      </c>
      <c r="H162" s="429"/>
      <c r="I162" s="432">
        <f>G162*C162</f>
        <v>8.3641197298059442</v>
      </c>
      <c r="J162" s="432"/>
    </row>
    <row r="166" spans="1:10" x14ac:dyDescent="0.35">
      <c r="H166" s="29"/>
    </row>
    <row r="167" spans="1:10" x14ac:dyDescent="0.35">
      <c r="H167" s="29"/>
    </row>
  </sheetData>
  <sheetProtection algorithmName="SHA-512" hashValue="R4Ohy78KP0h/MhyW8v6Rt6cspP5c5B1rtawn8ybp7TuRsCTuuCMifgs7zD7V1mGAGf6CUaNyycX8fmSBJqSrSA==" saltValue="7ySAbtItdHWB0tRVxx+dXQ==" spinCount="100000" sheet="1" objects="1" scenarios="1"/>
  <mergeCells count="353">
    <mergeCell ref="A5:J5"/>
    <mergeCell ref="A6:J6"/>
    <mergeCell ref="A7:J7"/>
    <mergeCell ref="A8:J8"/>
    <mergeCell ref="B9:F9"/>
    <mergeCell ref="G9:J9"/>
    <mergeCell ref="A1:J1"/>
    <mergeCell ref="A2:J2"/>
    <mergeCell ref="B3:F3"/>
    <mergeCell ref="G3:H3"/>
    <mergeCell ref="I3:J3"/>
    <mergeCell ref="A4:J4"/>
    <mergeCell ref="A13:J13"/>
    <mergeCell ref="A14:J14"/>
    <mergeCell ref="A15:J15"/>
    <mergeCell ref="A16:C16"/>
    <mergeCell ref="D16:E16"/>
    <mergeCell ref="F16:J16"/>
    <mergeCell ref="B10:F10"/>
    <mergeCell ref="G10:J10"/>
    <mergeCell ref="B11:F11"/>
    <mergeCell ref="G11:J11"/>
    <mergeCell ref="B12:F12"/>
    <mergeCell ref="G12:J12"/>
    <mergeCell ref="B21:F21"/>
    <mergeCell ref="G21:J21"/>
    <mergeCell ref="B22:F22"/>
    <mergeCell ref="G22:J22"/>
    <mergeCell ref="B23:F23"/>
    <mergeCell ref="G23:J23"/>
    <mergeCell ref="A17:C17"/>
    <mergeCell ref="D17:E17"/>
    <mergeCell ref="F17:J17"/>
    <mergeCell ref="A18:J18"/>
    <mergeCell ref="A19:J19"/>
    <mergeCell ref="B20:F20"/>
    <mergeCell ref="G20:H20"/>
    <mergeCell ref="I20:J20"/>
    <mergeCell ref="B29:F29"/>
    <mergeCell ref="G29:J29"/>
    <mergeCell ref="B30:F30"/>
    <mergeCell ref="G30:J30"/>
    <mergeCell ref="B31:F31"/>
    <mergeCell ref="G31:J31"/>
    <mergeCell ref="B24:F24"/>
    <mergeCell ref="G24:J24"/>
    <mergeCell ref="B25:F25"/>
    <mergeCell ref="G25:J25"/>
    <mergeCell ref="A26:J26"/>
    <mergeCell ref="A27:J27"/>
    <mergeCell ref="B35:F35"/>
    <mergeCell ref="G35:H35"/>
    <mergeCell ref="I35:J35"/>
    <mergeCell ref="A36:J36"/>
    <mergeCell ref="B37:F37"/>
    <mergeCell ref="G37:H37"/>
    <mergeCell ref="I37:J37"/>
    <mergeCell ref="B32:F32"/>
    <mergeCell ref="G32:J32"/>
    <mergeCell ref="B33:F33"/>
    <mergeCell ref="G33:J33"/>
    <mergeCell ref="A34:F34"/>
    <mergeCell ref="G34:J34"/>
    <mergeCell ref="B41:F41"/>
    <mergeCell ref="G41:H41"/>
    <mergeCell ref="I41:J41"/>
    <mergeCell ref="B42:F42"/>
    <mergeCell ref="G42:H42"/>
    <mergeCell ref="I42:J42"/>
    <mergeCell ref="A38:J38"/>
    <mergeCell ref="A39:F39"/>
    <mergeCell ref="G39:J39"/>
    <mergeCell ref="B40:F40"/>
    <mergeCell ref="G40:H40"/>
    <mergeCell ref="I40:J40"/>
    <mergeCell ref="A45:J45"/>
    <mergeCell ref="A46:J46"/>
    <mergeCell ref="A47:F47"/>
    <mergeCell ref="G47:J47"/>
    <mergeCell ref="A48:J48"/>
    <mergeCell ref="B49:F49"/>
    <mergeCell ref="G49:H49"/>
    <mergeCell ref="I49:J49"/>
    <mergeCell ref="B43:F43"/>
    <mergeCell ref="G43:H43"/>
    <mergeCell ref="I43:J43"/>
    <mergeCell ref="A44:F44"/>
    <mergeCell ref="G44:H44"/>
    <mergeCell ref="I44:J44"/>
    <mergeCell ref="B52:F52"/>
    <mergeCell ref="G52:H52"/>
    <mergeCell ref="I52:J52"/>
    <mergeCell ref="B53:F53"/>
    <mergeCell ref="G53:H53"/>
    <mergeCell ref="I53:J53"/>
    <mergeCell ref="B50:F50"/>
    <mergeCell ref="G50:H50"/>
    <mergeCell ref="I50:J50"/>
    <mergeCell ref="B51:F51"/>
    <mergeCell ref="G51:H51"/>
    <mergeCell ref="I51:J51"/>
    <mergeCell ref="B56:F56"/>
    <mergeCell ref="G56:H56"/>
    <mergeCell ref="I56:J56"/>
    <mergeCell ref="B57:F57"/>
    <mergeCell ref="G57:H57"/>
    <mergeCell ref="I57:J57"/>
    <mergeCell ref="B54:F54"/>
    <mergeCell ref="G54:H54"/>
    <mergeCell ref="I54:J54"/>
    <mergeCell ref="B55:F55"/>
    <mergeCell ref="G55:H55"/>
    <mergeCell ref="I55:J55"/>
    <mergeCell ref="B62:F62"/>
    <mergeCell ref="G62:H62"/>
    <mergeCell ref="I62:J62"/>
    <mergeCell ref="B63:F63"/>
    <mergeCell ref="G63:H63"/>
    <mergeCell ref="I63:J63"/>
    <mergeCell ref="A58:F58"/>
    <mergeCell ref="G58:H58"/>
    <mergeCell ref="I58:J58"/>
    <mergeCell ref="A59:J59"/>
    <mergeCell ref="A60:J60"/>
    <mergeCell ref="B61:F61"/>
    <mergeCell ref="G61:H61"/>
    <mergeCell ref="I61:J61"/>
    <mergeCell ref="B66:F66"/>
    <mergeCell ref="G66:H66"/>
    <mergeCell ref="I66:J66"/>
    <mergeCell ref="B67:F67"/>
    <mergeCell ref="G67:H67"/>
    <mergeCell ref="I67:J67"/>
    <mergeCell ref="B64:F64"/>
    <mergeCell ref="G64:H64"/>
    <mergeCell ref="I64:J64"/>
    <mergeCell ref="B65:F65"/>
    <mergeCell ref="G65:H65"/>
    <mergeCell ref="I65:J65"/>
    <mergeCell ref="B70:F70"/>
    <mergeCell ref="G70:H70"/>
    <mergeCell ref="I70:J70"/>
    <mergeCell ref="B71:F71"/>
    <mergeCell ref="G71:H71"/>
    <mergeCell ref="I71:J71"/>
    <mergeCell ref="B68:F68"/>
    <mergeCell ref="G68:H68"/>
    <mergeCell ref="I68:J68"/>
    <mergeCell ref="B69:F69"/>
    <mergeCell ref="G69:H69"/>
    <mergeCell ref="I69:J69"/>
    <mergeCell ref="B77:F77"/>
    <mergeCell ref="G77:J77"/>
    <mergeCell ref="B78:F78"/>
    <mergeCell ref="G78:J78"/>
    <mergeCell ref="B79:F79"/>
    <mergeCell ref="G79:J79"/>
    <mergeCell ref="A72:H72"/>
    <mergeCell ref="I72:J72"/>
    <mergeCell ref="A73:J73"/>
    <mergeCell ref="A74:J74"/>
    <mergeCell ref="A75:J75"/>
    <mergeCell ref="B76:F76"/>
    <mergeCell ref="G76:J76"/>
    <mergeCell ref="A85:F85"/>
    <mergeCell ref="G85:J85"/>
    <mergeCell ref="B86:F86"/>
    <mergeCell ref="G86:H86"/>
    <mergeCell ref="I86:J86"/>
    <mergeCell ref="B87:F87"/>
    <mergeCell ref="I87:J87"/>
    <mergeCell ref="A80:F80"/>
    <mergeCell ref="G80:J80"/>
    <mergeCell ref="A81:J81"/>
    <mergeCell ref="A82:J82"/>
    <mergeCell ref="A83:J83"/>
    <mergeCell ref="A84:F84"/>
    <mergeCell ref="G84:J84"/>
    <mergeCell ref="B91:F91"/>
    <mergeCell ref="G91:H91"/>
    <mergeCell ref="I91:J91"/>
    <mergeCell ref="B92:F92"/>
    <mergeCell ref="G92:H92"/>
    <mergeCell ref="I92:J92"/>
    <mergeCell ref="B88:F88"/>
    <mergeCell ref="G88:H88"/>
    <mergeCell ref="I88:J88"/>
    <mergeCell ref="B89:F89"/>
    <mergeCell ref="I89:J89"/>
    <mergeCell ref="B90:F90"/>
    <mergeCell ref="G90:H90"/>
    <mergeCell ref="I90:J90"/>
    <mergeCell ref="A97:J97"/>
    <mergeCell ref="A98:F98"/>
    <mergeCell ref="G98:J98"/>
    <mergeCell ref="B100:F100"/>
    <mergeCell ref="G100:H100"/>
    <mergeCell ref="I100:J100"/>
    <mergeCell ref="A93:F93"/>
    <mergeCell ref="G93:H93"/>
    <mergeCell ref="I93:J93"/>
    <mergeCell ref="A94:J94"/>
    <mergeCell ref="A95:J95"/>
    <mergeCell ref="B96:F96"/>
    <mergeCell ref="G96:H96"/>
    <mergeCell ref="I96:J96"/>
    <mergeCell ref="B103:F103"/>
    <mergeCell ref="G103:H103"/>
    <mergeCell ref="I103:J103"/>
    <mergeCell ref="B104:F104"/>
    <mergeCell ref="G104:H104"/>
    <mergeCell ref="I104:J104"/>
    <mergeCell ref="B101:F101"/>
    <mergeCell ref="G101:H101"/>
    <mergeCell ref="I101:J101"/>
    <mergeCell ref="B102:F102"/>
    <mergeCell ref="G102:H102"/>
    <mergeCell ref="I102:J102"/>
    <mergeCell ref="A107:F107"/>
    <mergeCell ref="G107:H107"/>
    <mergeCell ref="I107:J107"/>
    <mergeCell ref="B108:F108"/>
    <mergeCell ref="G108:H108"/>
    <mergeCell ref="I108:J108"/>
    <mergeCell ref="B105:F105"/>
    <mergeCell ref="G105:H105"/>
    <mergeCell ref="I105:J105"/>
    <mergeCell ref="B106:F106"/>
    <mergeCell ref="G106:H106"/>
    <mergeCell ref="I106:J106"/>
    <mergeCell ref="A111:F111"/>
    <mergeCell ref="G111:H111"/>
    <mergeCell ref="I111:J111"/>
    <mergeCell ref="B112:F112"/>
    <mergeCell ref="G112:H112"/>
    <mergeCell ref="I112:J112"/>
    <mergeCell ref="A109:F109"/>
    <mergeCell ref="G109:H109"/>
    <mergeCell ref="I109:J109"/>
    <mergeCell ref="B110:F110"/>
    <mergeCell ref="G110:H110"/>
    <mergeCell ref="I110:J110"/>
    <mergeCell ref="A117:F117"/>
    <mergeCell ref="G117:J117"/>
    <mergeCell ref="B118:F118"/>
    <mergeCell ref="G118:H118"/>
    <mergeCell ref="I118:J118"/>
    <mergeCell ref="A119:J119"/>
    <mergeCell ref="A113:J113"/>
    <mergeCell ref="A114:F114"/>
    <mergeCell ref="G114:J114"/>
    <mergeCell ref="B115:F115"/>
    <mergeCell ref="G115:J115"/>
    <mergeCell ref="B116:F116"/>
    <mergeCell ref="G116:J116"/>
    <mergeCell ref="B123:F123"/>
    <mergeCell ref="G123:J123"/>
    <mergeCell ref="A124:F124"/>
    <mergeCell ref="G124:J124"/>
    <mergeCell ref="B125:F125"/>
    <mergeCell ref="G125:H125"/>
    <mergeCell ref="I125:J125"/>
    <mergeCell ref="B120:F120"/>
    <mergeCell ref="G120:J120"/>
    <mergeCell ref="B121:F121"/>
    <mergeCell ref="G121:J121"/>
    <mergeCell ref="B122:F122"/>
    <mergeCell ref="G122:J122"/>
    <mergeCell ref="B129:F129"/>
    <mergeCell ref="G129:J129"/>
    <mergeCell ref="B130:F130"/>
    <mergeCell ref="G130:J130"/>
    <mergeCell ref="B131:F131"/>
    <mergeCell ref="G131:J131"/>
    <mergeCell ref="B126:F126"/>
    <mergeCell ref="G126:H126"/>
    <mergeCell ref="I126:J126"/>
    <mergeCell ref="A127:J127"/>
    <mergeCell ref="B128:F128"/>
    <mergeCell ref="G128:H128"/>
    <mergeCell ref="I128:J128"/>
    <mergeCell ref="A135:F135"/>
    <mergeCell ref="G135:J135"/>
    <mergeCell ref="A136:F136"/>
    <mergeCell ref="G136:J136"/>
    <mergeCell ref="A137:F137"/>
    <mergeCell ref="G137:J137"/>
    <mergeCell ref="A132:F132"/>
    <mergeCell ref="G132:J132"/>
    <mergeCell ref="B133:F133"/>
    <mergeCell ref="G133:H133"/>
    <mergeCell ref="I133:J133"/>
    <mergeCell ref="A134:J134"/>
    <mergeCell ref="B140:F140"/>
    <mergeCell ref="G140:H140"/>
    <mergeCell ref="I140:J140"/>
    <mergeCell ref="B141:F141"/>
    <mergeCell ref="G141:H141"/>
    <mergeCell ref="I141:J141"/>
    <mergeCell ref="B138:F138"/>
    <mergeCell ref="G138:H138"/>
    <mergeCell ref="I138:J138"/>
    <mergeCell ref="B139:F139"/>
    <mergeCell ref="G139:H139"/>
    <mergeCell ref="I139:J139"/>
    <mergeCell ref="B144:F144"/>
    <mergeCell ref="G144:H144"/>
    <mergeCell ref="I144:J144"/>
    <mergeCell ref="A145:F145"/>
    <mergeCell ref="G145:H145"/>
    <mergeCell ref="I145:J145"/>
    <mergeCell ref="B142:F142"/>
    <mergeCell ref="G142:H142"/>
    <mergeCell ref="I142:J142"/>
    <mergeCell ref="B143:F143"/>
    <mergeCell ref="G143:H143"/>
    <mergeCell ref="I143:J143"/>
    <mergeCell ref="B149:F149"/>
    <mergeCell ref="G149:J149"/>
    <mergeCell ref="B150:F150"/>
    <mergeCell ref="G150:J150"/>
    <mergeCell ref="B151:F151"/>
    <mergeCell ref="G151:J151"/>
    <mergeCell ref="B146:F146"/>
    <mergeCell ref="G146:H146"/>
    <mergeCell ref="I146:J146"/>
    <mergeCell ref="A147:J147"/>
    <mergeCell ref="B148:F148"/>
    <mergeCell ref="G148:H148"/>
    <mergeCell ref="I148:J148"/>
    <mergeCell ref="A155:F155"/>
    <mergeCell ref="G155:J155"/>
    <mergeCell ref="B156:F156"/>
    <mergeCell ref="G156:J156"/>
    <mergeCell ref="A157:F157"/>
    <mergeCell ref="G157:J157"/>
    <mergeCell ref="B152:F152"/>
    <mergeCell ref="G152:J152"/>
    <mergeCell ref="B153:F153"/>
    <mergeCell ref="G153:J153"/>
    <mergeCell ref="B154:F154"/>
    <mergeCell ref="G154:J154"/>
    <mergeCell ref="A162:B162"/>
    <mergeCell ref="C162:F162"/>
    <mergeCell ref="G162:H162"/>
    <mergeCell ref="I162:J162"/>
    <mergeCell ref="A158:F158"/>
    <mergeCell ref="G158:J158"/>
    <mergeCell ref="A160:J160"/>
    <mergeCell ref="A161:B161"/>
    <mergeCell ref="C161:F161"/>
    <mergeCell ref="G161:H161"/>
    <mergeCell ref="I161:J161"/>
  </mergeCells>
  <conditionalFormatting sqref="G157:J157">
    <cfRule type="cellIs" dxfId="6" priority="1" operator="greaterThan">
      <formula>4510.35156429786</formula>
    </cfRule>
  </conditionalFormatting>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0C6A00-0615-49F0-8570-AE4DB5D01A19}">
  <sheetPr>
    <tabColor theme="9" tint="0.59999389629810485"/>
  </sheetPr>
  <dimension ref="A1:M166"/>
  <sheetViews>
    <sheetView topLeftCell="A139" workbookViewId="0">
      <selection activeCell="H165" sqref="H165"/>
    </sheetView>
  </sheetViews>
  <sheetFormatPr defaultRowHeight="14.5" x14ac:dyDescent="0.35"/>
  <cols>
    <col min="2" max="2" width="13.26953125" customWidth="1"/>
    <col min="3" max="3" width="13.36328125" customWidth="1"/>
    <col min="4" max="4" width="12.6328125" customWidth="1"/>
    <col min="5" max="5" width="13.36328125" customWidth="1"/>
    <col min="6" max="6" width="12.90625" customWidth="1"/>
    <col min="8" max="8" width="11.54296875" bestFit="1" customWidth="1"/>
    <col min="9" max="9" width="13" bestFit="1" customWidth="1"/>
    <col min="10" max="10" width="9.90625" bestFit="1" customWidth="1"/>
    <col min="13" max="13" width="9.54296875" customWidth="1"/>
  </cols>
  <sheetData>
    <row r="1" spans="1:10" x14ac:dyDescent="0.35">
      <c r="A1" s="287" t="s">
        <v>0</v>
      </c>
      <c r="B1" s="287"/>
      <c r="C1" s="287"/>
      <c r="D1" s="287"/>
      <c r="E1" s="287"/>
      <c r="F1" s="287"/>
      <c r="G1" s="287"/>
      <c r="H1" s="287"/>
      <c r="I1" s="287"/>
      <c r="J1" s="287"/>
    </row>
    <row r="2" spans="1:10" x14ac:dyDescent="0.35">
      <c r="A2" s="287" t="s">
        <v>1</v>
      </c>
      <c r="B2" s="287"/>
      <c r="C2" s="287"/>
      <c r="D2" s="287"/>
      <c r="E2" s="287"/>
      <c r="F2" s="287"/>
      <c r="G2" s="287"/>
      <c r="H2" s="287"/>
      <c r="I2" s="287"/>
      <c r="J2" s="287"/>
    </row>
    <row r="3" spans="1:10" x14ac:dyDescent="0.35">
      <c r="A3" s="12"/>
      <c r="B3" s="288"/>
      <c r="C3" s="288"/>
      <c r="D3" s="288"/>
      <c r="E3" s="288"/>
      <c r="F3" s="288"/>
      <c r="G3" s="288"/>
      <c r="H3" s="288"/>
      <c r="I3" s="288"/>
      <c r="J3" s="288"/>
    </row>
    <row r="4" spans="1:10" x14ac:dyDescent="0.35">
      <c r="A4" s="280" t="s">
        <v>209</v>
      </c>
      <c r="B4" s="280"/>
      <c r="C4" s="280"/>
      <c r="D4" s="280"/>
      <c r="E4" s="280"/>
      <c r="F4" s="280"/>
      <c r="G4" s="280"/>
      <c r="H4" s="280"/>
      <c r="I4" s="280"/>
      <c r="J4" s="280"/>
    </row>
    <row r="5" spans="1:10" x14ac:dyDescent="0.35">
      <c r="A5" s="280" t="s">
        <v>140</v>
      </c>
      <c r="B5" s="280"/>
      <c r="C5" s="280"/>
      <c r="D5" s="280"/>
      <c r="E5" s="280"/>
      <c r="F5" s="280"/>
      <c r="G5" s="280"/>
      <c r="H5" s="280"/>
      <c r="I5" s="280"/>
      <c r="J5" s="280"/>
    </row>
    <row r="6" spans="1:10" x14ac:dyDescent="0.35">
      <c r="A6" s="303"/>
      <c r="B6" s="303"/>
      <c r="C6" s="303"/>
      <c r="D6" s="303"/>
      <c r="E6" s="303"/>
      <c r="F6" s="303"/>
      <c r="G6" s="303"/>
      <c r="H6" s="303"/>
      <c r="I6" s="303"/>
      <c r="J6" s="303"/>
    </row>
    <row r="7" spans="1:10" x14ac:dyDescent="0.35">
      <c r="A7" s="287" t="s">
        <v>2</v>
      </c>
      <c r="B7" s="287"/>
      <c r="C7" s="287"/>
      <c r="D7" s="287"/>
      <c r="E7" s="287"/>
      <c r="F7" s="287"/>
      <c r="G7" s="287"/>
      <c r="H7" s="287"/>
      <c r="I7" s="287"/>
      <c r="J7" s="287"/>
    </row>
    <row r="8" spans="1:10" x14ac:dyDescent="0.35">
      <c r="A8" s="308"/>
      <c r="B8" s="308"/>
      <c r="C8" s="308"/>
      <c r="D8" s="308"/>
      <c r="E8" s="308"/>
      <c r="F8" s="308"/>
      <c r="G8" s="308"/>
      <c r="H8" s="308"/>
      <c r="I8" s="308"/>
      <c r="J8" s="308"/>
    </row>
    <row r="9" spans="1:10" x14ac:dyDescent="0.35">
      <c r="A9" s="57" t="s">
        <v>3</v>
      </c>
      <c r="B9" s="310" t="s">
        <v>4</v>
      </c>
      <c r="C9" s="310"/>
      <c r="D9" s="310"/>
      <c r="E9" s="310"/>
      <c r="F9" s="310"/>
      <c r="G9" s="311"/>
      <c r="H9" s="311"/>
      <c r="I9" s="311"/>
      <c r="J9" s="311"/>
    </row>
    <row r="10" spans="1:10" x14ac:dyDescent="0.35">
      <c r="A10" s="57" t="s">
        <v>5</v>
      </c>
      <c r="B10" s="310" t="s">
        <v>6</v>
      </c>
      <c r="C10" s="310"/>
      <c r="D10" s="310"/>
      <c r="E10" s="310"/>
      <c r="F10" s="310"/>
      <c r="G10" s="311" t="s">
        <v>218</v>
      </c>
      <c r="H10" s="311"/>
      <c r="I10" s="311"/>
      <c r="J10" s="311"/>
    </row>
    <row r="11" spans="1:10" x14ac:dyDescent="0.35">
      <c r="A11" s="57" t="s">
        <v>8</v>
      </c>
      <c r="B11" s="310" t="s">
        <v>9</v>
      </c>
      <c r="C11" s="310"/>
      <c r="D11" s="310"/>
      <c r="E11" s="310"/>
      <c r="F11" s="310"/>
      <c r="G11" s="297" t="s">
        <v>136</v>
      </c>
      <c r="H11" s="298"/>
      <c r="I11" s="298"/>
      <c r="J11" s="299"/>
    </row>
    <row r="12" spans="1:10" x14ac:dyDescent="0.35">
      <c r="A12" s="57" t="s">
        <v>10</v>
      </c>
      <c r="B12" s="310" t="s">
        <v>11</v>
      </c>
      <c r="C12" s="310"/>
      <c r="D12" s="310"/>
      <c r="E12" s="310"/>
      <c r="F12" s="310"/>
      <c r="G12" s="311" t="s">
        <v>12</v>
      </c>
      <c r="H12" s="311"/>
      <c r="I12" s="311"/>
      <c r="J12" s="311"/>
    </row>
    <row r="13" spans="1:10" x14ac:dyDescent="0.35">
      <c r="A13" s="308"/>
      <c r="B13" s="308"/>
      <c r="C13" s="308"/>
      <c r="D13" s="308"/>
      <c r="E13" s="308"/>
      <c r="F13" s="308"/>
      <c r="G13" s="308"/>
      <c r="H13" s="308"/>
      <c r="I13" s="308"/>
      <c r="J13" s="308"/>
    </row>
    <row r="14" spans="1:10" x14ac:dyDescent="0.35">
      <c r="A14" s="287" t="s">
        <v>13</v>
      </c>
      <c r="B14" s="287"/>
      <c r="C14" s="287"/>
      <c r="D14" s="287"/>
      <c r="E14" s="287"/>
      <c r="F14" s="287"/>
      <c r="G14" s="287"/>
      <c r="H14" s="287"/>
      <c r="I14" s="287"/>
      <c r="J14" s="287"/>
    </row>
    <row r="15" spans="1:10" x14ac:dyDescent="0.35">
      <c r="A15" s="308"/>
      <c r="B15" s="308"/>
      <c r="C15" s="308"/>
      <c r="D15" s="308"/>
      <c r="E15" s="308"/>
      <c r="F15" s="308"/>
      <c r="G15" s="308"/>
      <c r="H15" s="308"/>
      <c r="I15" s="308"/>
      <c r="J15" s="308"/>
    </row>
    <row r="16" spans="1:10" x14ac:dyDescent="0.35">
      <c r="A16" s="301" t="s">
        <v>14</v>
      </c>
      <c r="B16" s="301"/>
      <c r="C16" s="301"/>
      <c r="D16" s="311" t="s">
        <v>15</v>
      </c>
      <c r="E16" s="311"/>
      <c r="F16" s="311" t="s">
        <v>16</v>
      </c>
      <c r="G16" s="311"/>
      <c r="H16" s="311"/>
      <c r="I16" s="311"/>
      <c r="J16" s="311"/>
    </row>
    <row r="17" spans="1:10" x14ac:dyDescent="0.35">
      <c r="A17" s="304" t="s">
        <v>205</v>
      </c>
      <c r="B17" s="304"/>
      <c r="C17" s="304"/>
      <c r="D17" s="305" t="s">
        <v>18</v>
      </c>
      <c r="E17" s="306"/>
      <c r="F17" s="307">
        <v>2734.42</v>
      </c>
      <c r="G17" s="307"/>
      <c r="H17" s="307"/>
      <c r="I17" s="307"/>
      <c r="J17" s="307"/>
    </row>
    <row r="18" spans="1:10" x14ac:dyDescent="0.35">
      <c r="A18" s="308"/>
      <c r="B18" s="308"/>
      <c r="C18" s="308"/>
      <c r="D18" s="308"/>
      <c r="E18" s="308"/>
      <c r="F18" s="308"/>
      <c r="G18" s="308"/>
      <c r="H18" s="308"/>
      <c r="I18" s="308"/>
      <c r="J18" s="308"/>
    </row>
    <row r="19" spans="1:10" x14ac:dyDescent="0.35">
      <c r="A19" s="287" t="s">
        <v>19</v>
      </c>
      <c r="B19" s="287"/>
      <c r="C19" s="287"/>
      <c r="D19" s="287"/>
      <c r="E19" s="287"/>
      <c r="F19" s="287"/>
      <c r="G19" s="287"/>
      <c r="H19" s="287"/>
      <c r="I19" s="287"/>
      <c r="J19" s="287"/>
    </row>
    <row r="20" spans="1:10" x14ac:dyDescent="0.35">
      <c r="A20" s="12"/>
      <c r="B20" s="309"/>
      <c r="C20" s="309"/>
      <c r="D20" s="309"/>
      <c r="E20" s="309"/>
      <c r="F20" s="309"/>
      <c r="G20" s="309"/>
      <c r="H20" s="309"/>
      <c r="I20" s="309"/>
      <c r="J20" s="309"/>
    </row>
    <row r="21" spans="1:10" x14ac:dyDescent="0.35">
      <c r="A21" s="20" t="s">
        <v>20</v>
      </c>
      <c r="B21" s="300" t="s">
        <v>21</v>
      </c>
      <c r="C21" s="300"/>
      <c r="D21" s="300"/>
      <c r="E21" s="300"/>
      <c r="F21" s="300"/>
      <c r="G21" s="301" t="s">
        <v>29</v>
      </c>
      <c r="H21" s="301"/>
      <c r="I21" s="301"/>
      <c r="J21" s="301"/>
    </row>
    <row r="22" spans="1:10" x14ac:dyDescent="0.35">
      <c r="A22" s="20" t="s">
        <v>22</v>
      </c>
      <c r="B22" s="300" t="s">
        <v>23</v>
      </c>
      <c r="C22" s="300"/>
      <c r="D22" s="300"/>
      <c r="E22" s="300"/>
      <c r="F22" s="300"/>
      <c r="G22" s="301" t="s">
        <v>206</v>
      </c>
      <c r="H22" s="301"/>
      <c r="I22" s="301"/>
      <c r="J22" s="301"/>
    </row>
    <row r="23" spans="1:10" x14ac:dyDescent="0.35">
      <c r="A23" s="20" t="s">
        <v>25</v>
      </c>
      <c r="B23" s="300" t="s">
        <v>26</v>
      </c>
      <c r="C23" s="300"/>
      <c r="D23" s="300"/>
      <c r="E23" s="300"/>
      <c r="F23" s="300"/>
      <c r="G23" s="312">
        <v>1412.62</v>
      </c>
      <c r="H23" s="312"/>
      <c r="I23" s="312"/>
      <c r="J23" s="312"/>
    </row>
    <row r="24" spans="1:10" x14ac:dyDescent="0.35">
      <c r="A24" s="20" t="s">
        <v>27</v>
      </c>
      <c r="B24" s="300" t="s">
        <v>28</v>
      </c>
      <c r="C24" s="300"/>
      <c r="D24" s="300"/>
      <c r="E24" s="300"/>
      <c r="F24" s="300"/>
      <c r="G24" s="301" t="s">
        <v>207</v>
      </c>
      <c r="H24" s="301"/>
      <c r="I24" s="301"/>
      <c r="J24" s="301"/>
    </row>
    <row r="25" spans="1:10" x14ac:dyDescent="0.35">
      <c r="A25" s="20" t="s">
        <v>30</v>
      </c>
      <c r="B25" s="300" t="s">
        <v>31</v>
      </c>
      <c r="C25" s="300"/>
      <c r="D25" s="300"/>
      <c r="E25" s="300"/>
      <c r="F25" s="300"/>
      <c r="G25" s="302">
        <v>45292</v>
      </c>
      <c r="H25" s="302"/>
      <c r="I25" s="302"/>
      <c r="J25" s="302"/>
    </row>
    <row r="26" spans="1:10" x14ac:dyDescent="0.35">
      <c r="A26" s="319"/>
      <c r="B26" s="319"/>
      <c r="C26" s="319"/>
      <c r="D26" s="319"/>
      <c r="E26" s="319"/>
      <c r="F26" s="319"/>
      <c r="G26" s="319"/>
      <c r="H26" s="319"/>
      <c r="I26" s="319"/>
      <c r="J26" s="319"/>
    </row>
    <row r="27" spans="1:10" x14ac:dyDescent="0.35">
      <c r="A27" s="287" t="s">
        <v>32</v>
      </c>
      <c r="B27" s="287"/>
      <c r="C27" s="287"/>
      <c r="D27" s="287"/>
      <c r="E27" s="287"/>
      <c r="F27" s="287"/>
      <c r="G27" s="287"/>
      <c r="H27" s="287"/>
      <c r="I27" s="287"/>
      <c r="J27" s="287"/>
    </row>
    <row r="28" spans="1:10" x14ac:dyDescent="0.35">
      <c r="A28" s="12"/>
      <c r="B28" s="13"/>
      <c r="C28" s="13"/>
      <c r="D28" s="13"/>
      <c r="E28" s="13"/>
      <c r="F28" s="13"/>
      <c r="G28" s="13"/>
      <c r="H28" s="13"/>
      <c r="I28" s="13"/>
      <c r="J28" s="13"/>
    </row>
    <row r="29" spans="1:10" x14ac:dyDescent="0.35">
      <c r="A29" s="10">
        <v>1</v>
      </c>
      <c r="B29" s="322" t="s">
        <v>33</v>
      </c>
      <c r="C29" s="322"/>
      <c r="D29" s="322"/>
      <c r="E29" s="322"/>
      <c r="F29" s="322"/>
      <c r="G29" s="324" t="s">
        <v>34</v>
      </c>
      <c r="H29" s="324"/>
      <c r="I29" s="324"/>
      <c r="J29" s="324"/>
    </row>
    <row r="30" spans="1:10" x14ac:dyDescent="0.35">
      <c r="A30" s="14" t="s">
        <v>3</v>
      </c>
      <c r="B30" s="325" t="s">
        <v>35</v>
      </c>
      <c r="C30" s="325"/>
      <c r="D30" s="325"/>
      <c r="E30" s="325"/>
      <c r="F30" s="325"/>
      <c r="G30" s="321">
        <f>G23</f>
        <v>1412.62</v>
      </c>
      <c r="H30" s="321"/>
      <c r="I30" s="321"/>
      <c r="J30" s="321"/>
    </row>
    <row r="31" spans="1:10" x14ac:dyDescent="0.35">
      <c r="A31" s="14" t="s">
        <v>5</v>
      </c>
      <c r="B31" s="325" t="s">
        <v>36</v>
      </c>
      <c r="C31" s="325"/>
      <c r="D31" s="325"/>
      <c r="E31" s="325"/>
      <c r="F31" s="325"/>
      <c r="G31" s="321">
        <f>G30*30%</f>
        <v>423.78599999999994</v>
      </c>
      <c r="H31" s="321"/>
      <c r="I31" s="321"/>
      <c r="J31" s="321"/>
    </row>
    <row r="32" spans="1:10" x14ac:dyDescent="0.35">
      <c r="A32" s="14" t="s">
        <v>8</v>
      </c>
      <c r="B32" s="313" t="s">
        <v>37</v>
      </c>
      <c r="C32" s="314"/>
      <c r="D32" s="314"/>
      <c r="E32" s="314"/>
      <c r="F32" s="315"/>
      <c r="G32" s="316">
        <f>1412*0%</f>
        <v>0</v>
      </c>
      <c r="H32" s="317"/>
      <c r="I32" s="317"/>
      <c r="J32" s="318"/>
    </row>
    <row r="33" spans="1:10" x14ac:dyDescent="0.35">
      <c r="A33" s="14" t="s">
        <v>10</v>
      </c>
      <c r="B33" s="320" t="s">
        <v>38</v>
      </c>
      <c r="C33" s="320"/>
      <c r="D33" s="320"/>
      <c r="E33" s="320"/>
      <c r="F33" s="320"/>
      <c r="G33" s="321">
        <v>0</v>
      </c>
      <c r="H33" s="321"/>
      <c r="I33" s="321"/>
      <c r="J33" s="321"/>
    </row>
    <row r="34" spans="1:10" x14ac:dyDescent="0.35">
      <c r="A34" s="322" t="s">
        <v>39</v>
      </c>
      <c r="B34" s="322"/>
      <c r="C34" s="322"/>
      <c r="D34" s="322"/>
      <c r="E34" s="322"/>
      <c r="F34" s="322"/>
      <c r="G34" s="323">
        <f>SUM(G30:J33)</f>
        <v>1836.4059999999999</v>
      </c>
      <c r="H34" s="323"/>
      <c r="I34" s="323"/>
      <c r="J34" s="323"/>
    </row>
    <row r="35" spans="1:10" x14ac:dyDescent="0.35">
      <c r="A35" s="12"/>
      <c r="B35" s="288"/>
      <c r="C35" s="288"/>
      <c r="D35" s="288"/>
      <c r="E35" s="288"/>
      <c r="F35" s="288"/>
      <c r="G35" s="288"/>
      <c r="H35" s="288"/>
      <c r="I35" s="288"/>
      <c r="J35" s="288"/>
    </row>
    <row r="36" spans="1:10" x14ac:dyDescent="0.35">
      <c r="A36" s="287" t="s">
        <v>40</v>
      </c>
      <c r="B36" s="287"/>
      <c r="C36" s="287"/>
      <c r="D36" s="287"/>
      <c r="E36" s="287"/>
      <c r="F36" s="287"/>
      <c r="G36" s="287"/>
      <c r="H36" s="287"/>
      <c r="I36" s="287"/>
      <c r="J36" s="287"/>
    </row>
    <row r="37" spans="1:10" x14ac:dyDescent="0.35">
      <c r="A37" s="12"/>
      <c r="B37" s="288"/>
      <c r="C37" s="288"/>
      <c r="D37" s="288"/>
      <c r="E37" s="288"/>
      <c r="F37" s="288"/>
      <c r="G37" s="288"/>
      <c r="H37" s="288"/>
      <c r="I37" s="288"/>
      <c r="J37" s="288"/>
    </row>
    <row r="38" spans="1:10" x14ac:dyDescent="0.35">
      <c r="A38" s="326" t="s">
        <v>41</v>
      </c>
      <c r="B38" s="326"/>
      <c r="C38" s="326"/>
      <c r="D38" s="326"/>
      <c r="E38" s="326"/>
      <c r="F38" s="326"/>
      <c r="G38" s="326"/>
      <c r="H38" s="326"/>
      <c r="I38" s="326"/>
      <c r="J38" s="326"/>
    </row>
    <row r="39" spans="1:10" x14ac:dyDescent="0.35">
      <c r="A39" s="327" t="s">
        <v>42</v>
      </c>
      <c r="B39" s="327"/>
      <c r="C39" s="327"/>
      <c r="D39" s="327"/>
      <c r="E39" s="327"/>
      <c r="F39" s="327"/>
      <c r="G39" s="328">
        <f>G34</f>
        <v>1836.4059999999999</v>
      </c>
      <c r="H39" s="328"/>
      <c r="I39" s="328"/>
      <c r="J39" s="328"/>
    </row>
    <row r="40" spans="1:10" x14ac:dyDescent="0.35">
      <c r="A40" s="12"/>
      <c r="B40" s="309"/>
      <c r="C40" s="309"/>
      <c r="D40" s="309"/>
      <c r="E40" s="309"/>
      <c r="F40" s="309"/>
      <c r="G40" s="309"/>
      <c r="H40" s="309"/>
      <c r="I40" s="309"/>
      <c r="J40" s="309"/>
    </row>
    <row r="41" spans="1:10" x14ac:dyDescent="0.35">
      <c r="A41" s="20" t="s">
        <v>43</v>
      </c>
      <c r="B41" s="311" t="s">
        <v>44</v>
      </c>
      <c r="C41" s="311"/>
      <c r="D41" s="311"/>
      <c r="E41" s="311"/>
      <c r="F41" s="311"/>
      <c r="G41" s="311" t="s">
        <v>45</v>
      </c>
      <c r="H41" s="311"/>
      <c r="I41" s="322" t="s">
        <v>34</v>
      </c>
      <c r="J41" s="322"/>
    </row>
    <row r="42" spans="1:10" x14ac:dyDescent="0.35">
      <c r="A42" s="23" t="s">
        <v>3</v>
      </c>
      <c r="B42" s="300" t="s">
        <v>46</v>
      </c>
      <c r="C42" s="300"/>
      <c r="D42" s="300"/>
      <c r="E42" s="300"/>
      <c r="F42" s="300"/>
      <c r="G42" s="331">
        <v>8.3299999999999999E-2</v>
      </c>
      <c r="H42" s="331"/>
      <c r="I42" s="330">
        <f>G39*G42</f>
        <v>152.97261979999999</v>
      </c>
      <c r="J42" s="330"/>
    </row>
    <row r="43" spans="1:10" x14ac:dyDescent="0.35">
      <c r="A43" s="23" t="s">
        <v>5</v>
      </c>
      <c r="B43" s="300" t="s">
        <v>47</v>
      </c>
      <c r="C43" s="300"/>
      <c r="D43" s="300"/>
      <c r="E43" s="300"/>
      <c r="F43" s="300"/>
      <c r="G43" s="329">
        <v>2.7799999999999998E-2</v>
      </c>
      <c r="H43" s="329"/>
      <c r="I43" s="330">
        <f>G39*G43</f>
        <v>51.052086799999998</v>
      </c>
      <c r="J43" s="330"/>
    </row>
    <row r="44" spans="1:10" x14ac:dyDescent="0.35">
      <c r="A44" s="311" t="s">
        <v>39</v>
      </c>
      <c r="B44" s="311"/>
      <c r="C44" s="311"/>
      <c r="D44" s="311"/>
      <c r="E44" s="311"/>
      <c r="F44" s="311"/>
      <c r="G44" s="331">
        <f>SUM(G42:H43)</f>
        <v>0.1111</v>
      </c>
      <c r="H44" s="304"/>
      <c r="I44" s="332">
        <f>SUM(I42:J43)</f>
        <v>204.0247066</v>
      </c>
      <c r="J44" s="332"/>
    </row>
    <row r="45" spans="1:10" x14ac:dyDescent="0.35">
      <c r="A45" s="288"/>
      <c r="B45" s="288"/>
      <c r="C45" s="288"/>
      <c r="D45" s="288"/>
      <c r="E45" s="288"/>
      <c r="F45" s="288"/>
      <c r="G45" s="288"/>
      <c r="H45" s="288"/>
      <c r="I45" s="288"/>
      <c r="J45" s="288"/>
    </row>
    <row r="46" spans="1:10" x14ac:dyDescent="0.35">
      <c r="A46" s="334" t="s">
        <v>48</v>
      </c>
      <c r="B46" s="334"/>
      <c r="C46" s="334"/>
      <c r="D46" s="334"/>
      <c r="E46" s="334"/>
      <c r="F46" s="334"/>
      <c r="G46" s="334"/>
      <c r="H46" s="334"/>
      <c r="I46" s="334"/>
      <c r="J46" s="334"/>
    </row>
    <row r="47" spans="1:10" x14ac:dyDescent="0.35">
      <c r="A47" s="335" t="s">
        <v>49</v>
      </c>
      <c r="B47" s="335"/>
      <c r="C47" s="335"/>
      <c r="D47" s="335"/>
      <c r="E47" s="335"/>
      <c r="F47" s="335"/>
      <c r="G47" s="336">
        <f>G34+I44</f>
        <v>2040.4307065999999</v>
      </c>
      <c r="H47" s="336"/>
      <c r="I47" s="336"/>
      <c r="J47" s="336"/>
    </row>
    <row r="48" spans="1:10" x14ac:dyDescent="0.35">
      <c r="A48" s="337"/>
      <c r="B48" s="337"/>
      <c r="C48" s="337"/>
      <c r="D48" s="337"/>
      <c r="E48" s="337"/>
      <c r="F48" s="337"/>
      <c r="G48" s="337"/>
      <c r="H48" s="337"/>
      <c r="I48" s="337"/>
      <c r="J48" s="337"/>
    </row>
    <row r="49" spans="1:10" x14ac:dyDescent="0.35">
      <c r="A49" s="28" t="s">
        <v>50</v>
      </c>
      <c r="B49" s="338" t="s">
        <v>51</v>
      </c>
      <c r="C49" s="338"/>
      <c r="D49" s="338"/>
      <c r="E49" s="338"/>
      <c r="F49" s="338"/>
      <c r="G49" s="339" t="s">
        <v>45</v>
      </c>
      <c r="H49" s="339"/>
      <c r="I49" s="340" t="s">
        <v>34</v>
      </c>
      <c r="J49" s="340"/>
    </row>
    <row r="50" spans="1:10" x14ac:dyDescent="0.35">
      <c r="A50" s="23" t="s">
        <v>3</v>
      </c>
      <c r="B50" s="300" t="s">
        <v>52</v>
      </c>
      <c r="C50" s="300"/>
      <c r="D50" s="300"/>
      <c r="E50" s="300"/>
      <c r="F50" s="300"/>
      <c r="G50" s="331">
        <v>0.2</v>
      </c>
      <c r="H50" s="331"/>
      <c r="I50" s="333">
        <f>G47*G50</f>
        <v>408.08614132000002</v>
      </c>
      <c r="J50" s="333"/>
    </row>
    <row r="51" spans="1:10" x14ac:dyDescent="0.35">
      <c r="A51" s="23" t="s">
        <v>5</v>
      </c>
      <c r="B51" s="300" t="s">
        <v>53</v>
      </c>
      <c r="C51" s="300"/>
      <c r="D51" s="300"/>
      <c r="E51" s="300"/>
      <c r="F51" s="300"/>
      <c r="G51" s="331">
        <v>2.5000000000000001E-2</v>
      </c>
      <c r="H51" s="331"/>
      <c r="I51" s="333">
        <f>G47*G51</f>
        <v>51.010767665000003</v>
      </c>
      <c r="J51" s="333"/>
    </row>
    <row r="52" spans="1:10" x14ac:dyDescent="0.35">
      <c r="A52" s="23" t="s">
        <v>8</v>
      </c>
      <c r="B52" s="341" t="s">
        <v>54</v>
      </c>
      <c r="C52" s="341"/>
      <c r="D52" s="341"/>
      <c r="E52" s="341"/>
      <c r="F52" s="341"/>
      <c r="G52" s="342">
        <v>0.03</v>
      </c>
      <c r="H52" s="343"/>
      <c r="I52" s="333">
        <f>G47*G52</f>
        <v>61.212921197999997</v>
      </c>
      <c r="J52" s="333"/>
    </row>
    <row r="53" spans="1:10" x14ac:dyDescent="0.35">
      <c r="A53" s="23" t="s">
        <v>10</v>
      </c>
      <c r="B53" s="300" t="s">
        <v>55</v>
      </c>
      <c r="C53" s="300"/>
      <c r="D53" s="300"/>
      <c r="E53" s="300"/>
      <c r="F53" s="300"/>
      <c r="G53" s="331">
        <v>1.4999999999999999E-2</v>
      </c>
      <c r="H53" s="331"/>
      <c r="I53" s="333">
        <f>G47*G53</f>
        <v>30.606460598999998</v>
      </c>
      <c r="J53" s="333"/>
    </row>
    <row r="54" spans="1:10" x14ac:dyDescent="0.35">
      <c r="A54" s="23" t="s">
        <v>56</v>
      </c>
      <c r="B54" s="300" t="s">
        <v>57</v>
      </c>
      <c r="C54" s="300"/>
      <c r="D54" s="300"/>
      <c r="E54" s="300"/>
      <c r="F54" s="300"/>
      <c r="G54" s="331">
        <v>0.01</v>
      </c>
      <c r="H54" s="331"/>
      <c r="I54" s="333">
        <f>G47*G54</f>
        <v>20.404307065999998</v>
      </c>
      <c r="J54" s="333"/>
    </row>
    <row r="55" spans="1:10" x14ac:dyDescent="0.35">
      <c r="A55" s="23" t="s">
        <v>58</v>
      </c>
      <c r="B55" s="300" t="s">
        <v>59</v>
      </c>
      <c r="C55" s="300"/>
      <c r="D55" s="300"/>
      <c r="E55" s="300"/>
      <c r="F55" s="300"/>
      <c r="G55" s="331">
        <v>6.0000000000000001E-3</v>
      </c>
      <c r="H55" s="331"/>
      <c r="I55" s="333">
        <f>G47*G55</f>
        <v>12.242584239599999</v>
      </c>
      <c r="J55" s="333"/>
    </row>
    <row r="56" spans="1:10" x14ac:dyDescent="0.35">
      <c r="A56" s="23" t="s">
        <v>60</v>
      </c>
      <c r="B56" s="300" t="s">
        <v>61</v>
      </c>
      <c r="C56" s="300"/>
      <c r="D56" s="300"/>
      <c r="E56" s="300"/>
      <c r="F56" s="300"/>
      <c r="G56" s="331">
        <v>2E-3</v>
      </c>
      <c r="H56" s="331"/>
      <c r="I56" s="333">
        <f>G47*G56</f>
        <v>4.0808614132000001</v>
      </c>
      <c r="J56" s="333"/>
    </row>
    <row r="57" spans="1:10" x14ac:dyDescent="0.35">
      <c r="A57" s="23" t="s">
        <v>62</v>
      </c>
      <c r="B57" s="300" t="s">
        <v>63</v>
      </c>
      <c r="C57" s="300"/>
      <c r="D57" s="300"/>
      <c r="E57" s="300"/>
      <c r="F57" s="300"/>
      <c r="G57" s="331">
        <v>0.08</v>
      </c>
      <c r="H57" s="331"/>
      <c r="I57" s="333">
        <f>G47*G57</f>
        <v>163.23445652799998</v>
      </c>
      <c r="J57" s="333"/>
    </row>
    <row r="58" spans="1:10" x14ac:dyDescent="0.35">
      <c r="A58" s="311" t="s">
        <v>64</v>
      </c>
      <c r="B58" s="311"/>
      <c r="C58" s="311"/>
      <c r="D58" s="311"/>
      <c r="E58" s="311"/>
      <c r="F58" s="311"/>
      <c r="G58" s="344">
        <f>SUM(G50:H57)</f>
        <v>0.36800000000000005</v>
      </c>
      <c r="H58" s="311"/>
      <c r="I58" s="345">
        <f>SUM(I50:J57)</f>
        <v>750.87850002879998</v>
      </c>
      <c r="J58" s="345"/>
    </row>
    <row r="59" spans="1:10" x14ac:dyDescent="0.35">
      <c r="A59" s="319"/>
      <c r="B59" s="319"/>
      <c r="C59" s="319"/>
      <c r="D59" s="319"/>
      <c r="E59" s="319"/>
      <c r="F59" s="319"/>
      <c r="G59" s="319"/>
      <c r="H59" s="319"/>
      <c r="I59" s="319"/>
      <c r="J59" s="319"/>
    </row>
    <row r="60" spans="1:10" x14ac:dyDescent="0.35">
      <c r="A60" s="326" t="s">
        <v>65</v>
      </c>
      <c r="B60" s="326"/>
      <c r="C60" s="326"/>
      <c r="D60" s="326"/>
      <c r="E60" s="326"/>
      <c r="F60" s="326"/>
      <c r="G60" s="326"/>
      <c r="H60" s="326"/>
      <c r="I60" s="326"/>
      <c r="J60" s="326"/>
    </row>
    <row r="61" spans="1:10" x14ac:dyDescent="0.35">
      <c r="A61" s="12"/>
      <c r="B61" s="309"/>
      <c r="C61" s="309"/>
      <c r="D61" s="309"/>
      <c r="E61" s="309"/>
      <c r="F61" s="309"/>
      <c r="G61" s="309"/>
      <c r="H61" s="309"/>
      <c r="I61" s="309"/>
      <c r="J61" s="309"/>
    </row>
    <row r="62" spans="1:10" x14ac:dyDescent="0.35">
      <c r="A62" s="21" t="s">
        <v>66</v>
      </c>
      <c r="B62" s="347" t="s">
        <v>67</v>
      </c>
      <c r="C62" s="347"/>
      <c r="D62" s="347"/>
      <c r="E62" s="347"/>
      <c r="F62" s="347"/>
      <c r="G62" s="295" t="s">
        <v>138</v>
      </c>
      <c r="H62" s="296"/>
      <c r="I62" s="353" t="s">
        <v>34</v>
      </c>
      <c r="J62" s="354"/>
    </row>
    <row r="63" spans="1:10" x14ac:dyDescent="0.35">
      <c r="A63" s="22" t="s">
        <v>3</v>
      </c>
      <c r="B63" s="346" t="s">
        <v>68</v>
      </c>
      <c r="C63" s="346"/>
      <c r="D63" s="346"/>
      <c r="E63" s="346"/>
      <c r="F63" s="346"/>
      <c r="G63" s="291">
        <v>0.06</v>
      </c>
      <c r="H63" s="292"/>
      <c r="I63" s="281">
        <f>(2*4.5*21.25)-(G63*G30)</f>
        <v>106.49280000000002</v>
      </c>
      <c r="J63" s="283"/>
    </row>
    <row r="64" spans="1:10" x14ac:dyDescent="0.35">
      <c r="A64" s="22" t="s">
        <v>5</v>
      </c>
      <c r="B64" s="346" t="s">
        <v>69</v>
      </c>
      <c r="C64" s="346"/>
      <c r="D64" s="346"/>
      <c r="E64" s="346"/>
      <c r="F64" s="346"/>
      <c r="G64" s="291">
        <v>3.5000000000000003E-2</v>
      </c>
      <c r="H64" s="292"/>
      <c r="I64" s="352">
        <f>(20*22)-(20*22*G64)</f>
        <v>424.6</v>
      </c>
      <c r="J64" s="352"/>
    </row>
    <row r="65" spans="1:10" x14ac:dyDescent="0.35">
      <c r="A65" s="22" t="s">
        <v>8</v>
      </c>
      <c r="B65" s="346" t="s">
        <v>70</v>
      </c>
      <c r="C65" s="346"/>
      <c r="D65" s="346"/>
      <c r="E65" s="346"/>
      <c r="F65" s="346"/>
      <c r="G65" s="289" t="s">
        <v>139</v>
      </c>
      <c r="H65" s="290"/>
      <c r="I65" s="352">
        <v>99.84</v>
      </c>
      <c r="J65" s="352"/>
    </row>
    <row r="66" spans="1:10" x14ac:dyDescent="0.35">
      <c r="A66" s="22" t="s">
        <v>10</v>
      </c>
      <c r="B66" s="346" t="s">
        <v>71</v>
      </c>
      <c r="C66" s="346"/>
      <c r="D66" s="346"/>
      <c r="E66" s="346"/>
      <c r="F66" s="346"/>
      <c r="G66" s="289" t="s">
        <v>139</v>
      </c>
      <c r="H66" s="290"/>
      <c r="I66" s="352">
        <v>5</v>
      </c>
      <c r="J66" s="352"/>
    </row>
    <row r="67" spans="1:10" x14ac:dyDescent="0.35">
      <c r="A67" s="22" t="s">
        <v>56</v>
      </c>
      <c r="B67" s="346" t="s">
        <v>72</v>
      </c>
      <c r="C67" s="346"/>
      <c r="D67" s="346"/>
      <c r="E67" s="346"/>
      <c r="F67" s="346"/>
      <c r="G67" s="289" t="s">
        <v>139</v>
      </c>
      <c r="H67" s="290"/>
      <c r="I67" s="352">
        <v>10</v>
      </c>
      <c r="J67" s="352"/>
    </row>
    <row r="68" spans="1:10" x14ac:dyDescent="0.35">
      <c r="A68" s="22" t="s">
        <v>58</v>
      </c>
      <c r="B68" s="346" t="s">
        <v>73</v>
      </c>
      <c r="C68" s="346"/>
      <c r="D68" s="346"/>
      <c r="E68" s="346"/>
      <c r="F68" s="346"/>
      <c r="G68" s="289" t="s">
        <v>139</v>
      </c>
      <c r="H68" s="290"/>
      <c r="I68" s="352">
        <v>8</v>
      </c>
      <c r="J68" s="352"/>
    </row>
    <row r="69" spans="1:10" x14ac:dyDescent="0.35">
      <c r="A69" s="22" t="s">
        <v>60</v>
      </c>
      <c r="B69" s="349" t="s">
        <v>74</v>
      </c>
      <c r="C69" s="350"/>
      <c r="D69" s="350"/>
      <c r="E69" s="350"/>
      <c r="F69" s="351"/>
      <c r="G69" s="293">
        <v>2.6069999999999999E-2</v>
      </c>
      <c r="H69" s="294"/>
      <c r="I69" s="352">
        <f xml:space="preserve"> (282.5*4*G69)/24</f>
        <v>1.2274624999999999</v>
      </c>
      <c r="J69" s="352"/>
    </row>
    <row r="70" spans="1:10" x14ac:dyDescent="0.35">
      <c r="A70" s="22" t="s">
        <v>62</v>
      </c>
      <c r="B70" s="349" t="s">
        <v>75</v>
      </c>
      <c r="C70" s="350"/>
      <c r="D70" s="350"/>
      <c r="E70" s="350"/>
      <c r="F70" s="351"/>
      <c r="G70" s="291">
        <v>1.0416E-2</v>
      </c>
      <c r="H70" s="292"/>
      <c r="I70" s="352">
        <f>((1412.62)*G70)/24</f>
        <v>0.61307707999999994</v>
      </c>
      <c r="J70" s="352"/>
    </row>
    <row r="71" spans="1:10" x14ac:dyDescent="0.35">
      <c r="A71" s="22" t="s">
        <v>20</v>
      </c>
      <c r="B71" s="300" t="s">
        <v>38</v>
      </c>
      <c r="C71" s="300"/>
      <c r="D71" s="300"/>
      <c r="E71" s="300"/>
      <c r="F71" s="300"/>
      <c r="G71" s="289" t="s">
        <v>139</v>
      </c>
      <c r="H71" s="290"/>
      <c r="I71" s="321">
        <v>0</v>
      </c>
      <c r="J71" s="321"/>
    </row>
    <row r="72" spans="1:10" x14ac:dyDescent="0.35">
      <c r="A72" s="355" t="s">
        <v>39</v>
      </c>
      <c r="B72" s="356"/>
      <c r="C72" s="356"/>
      <c r="D72" s="356"/>
      <c r="E72" s="356"/>
      <c r="F72" s="356"/>
      <c r="G72" s="356"/>
      <c r="H72" s="357"/>
      <c r="I72" s="323">
        <f>SUM(I63:J71)</f>
        <v>655.77333958000008</v>
      </c>
      <c r="J72" s="323"/>
    </row>
    <row r="73" spans="1:10" x14ac:dyDescent="0.35">
      <c r="A73" s="348"/>
      <c r="B73" s="348"/>
      <c r="C73" s="348"/>
      <c r="D73" s="348"/>
      <c r="E73" s="348"/>
      <c r="F73" s="348"/>
      <c r="G73" s="348"/>
      <c r="H73" s="348"/>
      <c r="I73" s="348"/>
      <c r="J73" s="348"/>
    </row>
    <row r="74" spans="1:10" x14ac:dyDescent="0.35">
      <c r="A74" s="326" t="s">
        <v>76</v>
      </c>
      <c r="B74" s="326"/>
      <c r="C74" s="326"/>
      <c r="D74" s="326"/>
      <c r="E74" s="326"/>
      <c r="F74" s="326"/>
      <c r="G74" s="326"/>
      <c r="H74" s="326"/>
      <c r="I74" s="326"/>
      <c r="J74" s="326"/>
    </row>
    <row r="75" spans="1:10" x14ac:dyDescent="0.35">
      <c r="A75" s="358"/>
      <c r="B75" s="358"/>
      <c r="C75" s="358"/>
      <c r="D75" s="358"/>
      <c r="E75" s="358"/>
      <c r="F75" s="358"/>
      <c r="G75" s="358"/>
      <c r="H75" s="358"/>
      <c r="I75" s="358"/>
      <c r="J75" s="358"/>
    </row>
    <row r="76" spans="1:10" x14ac:dyDescent="0.35">
      <c r="A76" s="20">
        <v>2</v>
      </c>
      <c r="B76" s="311" t="s">
        <v>77</v>
      </c>
      <c r="C76" s="311"/>
      <c r="D76" s="311"/>
      <c r="E76" s="311"/>
      <c r="F76" s="311"/>
      <c r="G76" s="311" t="s">
        <v>34</v>
      </c>
      <c r="H76" s="311"/>
      <c r="I76" s="311"/>
      <c r="J76" s="311"/>
    </row>
    <row r="77" spans="1:10" x14ac:dyDescent="0.35">
      <c r="A77" s="23" t="s">
        <v>43</v>
      </c>
      <c r="B77" s="300" t="s">
        <v>44</v>
      </c>
      <c r="C77" s="300"/>
      <c r="D77" s="300"/>
      <c r="E77" s="300"/>
      <c r="F77" s="300"/>
      <c r="G77" s="321">
        <f>I44</f>
        <v>204.0247066</v>
      </c>
      <c r="H77" s="321"/>
      <c r="I77" s="321"/>
      <c r="J77" s="321"/>
    </row>
    <row r="78" spans="1:10" x14ac:dyDescent="0.35">
      <c r="A78" s="23" t="s">
        <v>50</v>
      </c>
      <c r="B78" s="300" t="s">
        <v>51</v>
      </c>
      <c r="C78" s="300"/>
      <c r="D78" s="300"/>
      <c r="E78" s="300"/>
      <c r="F78" s="300"/>
      <c r="G78" s="321">
        <f>I58</f>
        <v>750.87850002879998</v>
      </c>
      <c r="H78" s="321"/>
      <c r="I78" s="321"/>
      <c r="J78" s="321"/>
    </row>
    <row r="79" spans="1:10" x14ac:dyDescent="0.35">
      <c r="A79" s="23" t="s">
        <v>66</v>
      </c>
      <c r="B79" s="300" t="s">
        <v>67</v>
      </c>
      <c r="C79" s="300"/>
      <c r="D79" s="300"/>
      <c r="E79" s="300"/>
      <c r="F79" s="300"/>
      <c r="G79" s="321">
        <f>I72</f>
        <v>655.77333958000008</v>
      </c>
      <c r="H79" s="321"/>
      <c r="I79" s="321"/>
      <c r="J79" s="321"/>
    </row>
    <row r="80" spans="1:10" x14ac:dyDescent="0.35">
      <c r="A80" s="311" t="s">
        <v>39</v>
      </c>
      <c r="B80" s="311"/>
      <c r="C80" s="311"/>
      <c r="D80" s="311"/>
      <c r="E80" s="311"/>
      <c r="F80" s="311"/>
      <c r="G80" s="323">
        <f>SUM(G77:J79)</f>
        <v>1610.6765462088001</v>
      </c>
      <c r="H80" s="323"/>
      <c r="I80" s="323"/>
      <c r="J80" s="323"/>
    </row>
    <row r="81" spans="1:10" x14ac:dyDescent="0.35">
      <c r="A81" s="319"/>
      <c r="B81" s="319"/>
      <c r="C81" s="319"/>
      <c r="D81" s="319"/>
      <c r="E81" s="319"/>
      <c r="F81" s="319"/>
      <c r="G81" s="319"/>
      <c r="H81" s="319"/>
      <c r="I81" s="319"/>
      <c r="J81" s="319"/>
    </row>
    <row r="82" spans="1:10" x14ac:dyDescent="0.35">
      <c r="A82" s="303"/>
      <c r="B82" s="303"/>
      <c r="C82" s="303"/>
      <c r="D82" s="303"/>
      <c r="E82" s="303"/>
      <c r="F82" s="303"/>
      <c r="G82" s="303"/>
      <c r="H82" s="303"/>
      <c r="I82" s="303"/>
      <c r="J82" s="303"/>
    </row>
    <row r="83" spans="1:10" x14ac:dyDescent="0.35">
      <c r="A83" s="287" t="s">
        <v>78</v>
      </c>
      <c r="B83" s="287"/>
      <c r="C83" s="287"/>
      <c r="D83" s="287"/>
      <c r="E83" s="287"/>
      <c r="F83" s="287"/>
      <c r="G83" s="287"/>
      <c r="H83" s="287"/>
      <c r="I83" s="287"/>
      <c r="J83" s="287"/>
    </row>
    <row r="84" spans="1:10" x14ac:dyDescent="0.35">
      <c r="A84" s="361" t="s">
        <v>79</v>
      </c>
      <c r="B84" s="361"/>
      <c r="C84" s="361"/>
      <c r="D84" s="361"/>
      <c r="E84" s="361"/>
      <c r="F84" s="361"/>
      <c r="G84" s="362">
        <f>G34</f>
        <v>1836.4059999999999</v>
      </c>
      <c r="H84" s="362"/>
      <c r="I84" s="362"/>
      <c r="J84" s="362"/>
    </row>
    <row r="85" spans="1:10" x14ac:dyDescent="0.35">
      <c r="A85" s="363"/>
      <c r="B85" s="363"/>
      <c r="C85" s="363"/>
      <c r="D85" s="363"/>
      <c r="E85" s="363"/>
      <c r="F85" s="363"/>
      <c r="G85" s="309"/>
      <c r="H85" s="309"/>
      <c r="I85" s="309"/>
      <c r="J85" s="309"/>
    </row>
    <row r="86" spans="1:10" x14ac:dyDescent="0.35">
      <c r="A86" s="10">
        <v>3</v>
      </c>
      <c r="B86" s="322" t="s">
        <v>80</v>
      </c>
      <c r="C86" s="322"/>
      <c r="D86" s="322"/>
      <c r="E86" s="322"/>
      <c r="F86" s="322"/>
      <c r="G86" s="364" t="s">
        <v>45</v>
      </c>
      <c r="H86" s="364"/>
      <c r="I86" s="322" t="s">
        <v>34</v>
      </c>
      <c r="J86" s="322"/>
    </row>
    <row r="87" spans="1:10" x14ac:dyDescent="0.35">
      <c r="A87" s="14" t="s">
        <v>3</v>
      </c>
      <c r="B87" s="359" t="s">
        <v>81</v>
      </c>
      <c r="C87" s="359"/>
      <c r="D87" s="359"/>
      <c r="E87" s="359"/>
      <c r="F87" s="359"/>
      <c r="G87" s="30">
        <v>0.05</v>
      </c>
      <c r="H87" s="24">
        <f>(1/12)*G87</f>
        <v>4.1666666666666666E-3</v>
      </c>
      <c r="I87" s="333">
        <f>G84*H87</f>
        <v>7.6516916666666663</v>
      </c>
      <c r="J87" s="333"/>
    </row>
    <row r="88" spans="1:10" x14ac:dyDescent="0.35">
      <c r="A88" s="14" t="s">
        <v>5</v>
      </c>
      <c r="B88" s="359" t="s">
        <v>82</v>
      </c>
      <c r="C88" s="359"/>
      <c r="D88" s="359"/>
      <c r="E88" s="359"/>
      <c r="F88" s="359"/>
      <c r="G88" s="329">
        <f>H87*0.08</f>
        <v>3.3333333333333332E-4</v>
      </c>
      <c r="H88" s="329"/>
      <c r="I88" s="360">
        <f>G84*G88</f>
        <v>0.61213533333333325</v>
      </c>
      <c r="J88" s="360"/>
    </row>
    <row r="89" spans="1:10" x14ac:dyDescent="0.35">
      <c r="A89" s="14" t="s">
        <v>8</v>
      </c>
      <c r="B89" s="359" t="s">
        <v>203</v>
      </c>
      <c r="C89" s="359"/>
      <c r="D89" s="359"/>
      <c r="E89" s="359"/>
      <c r="F89" s="359"/>
      <c r="G89" s="30">
        <v>0.9</v>
      </c>
      <c r="H89" s="24">
        <f>(1+2/12+(1/3*1/12))*0.08*0.4*G89</f>
        <v>3.4400000000000007E-2</v>
      </c>
      <c r="I89" s="365">
        <f>G84*H89</f>
        <v>63.172366400000008</v>
      </c>
      <c r="J89" s="366"/>
    </row>
    <row r="90" spans="1:10" x14ac:dyDescent="0.35">
      <c r="A90" s="14" t="s">
        <v>10</v>
      </c>
      <c r="B90" s="359" t="s">
        <v>83</v>
      </c>
      <c r="C90" s="359"/>
      <c r="D90" s="359"/>
      <c r="E90" s="359"/>
      <c r="F90" s="359"/>
      <c r="G90" s="329">
        <f>((7/30) + (7/30*0.1))/ 24</f>
        <v>1.0694444444444444E-2</v>
      </c>
      <c r="H90" s="329"/>
      <c r="I90" s="365">
        <f>G84*G90</f>
        <v>19.639341944444443</v>
      </c>
      <c r="J90" s="366"/>
    </row>
    <row r="91" spans="1:10" x14ac:dyDescent="0.35">
      <c r="A91" s="14" t="s">
        <v>56</v>
      </c>
      <c r="B91" s="359" t="s">
        <v>84</v>
      </c>
      <c r="C91" s="359"/>
      <c r="D91" s="359"/>
      <c r="E91" s="359"/>
      <c r="F91" s="359"/>
      <c r="G91" s="329">
        <f>G90*G58</f>
        <v>3.9355555555555559E-3</v>
      </c>
      <c r="H91" s="329"/>
      <c r="I91" s="365">
        <f>G84*G91</f>
        <v>7.2272778355555563</v>
      </c>
      <c r="J91" s="366"/>
    </row>
    <row r="92" spans="1:10" x14ac:dyDescent="0.35">
      <c r="A92" s="14" t="s">
        <v>58</v>
      </c>
      <c r="B92" s="359" t="s">
        <v>204</v>
      </c>
      <c r="C92" s="359"/>
      <c r="D92" s="359"/>
      <c r="E92" s="359"/>
      <c r="F92" s="359"/>
      <c r="G92" s="367">
        <f>G90*0.08*0.4</f>
        <v>3.4222222222222228E-4</v>
      </c>
      <c r="H92" s="367"/>
      <c r="I92" s="368">
        <f>G84*G92</f>
        <v>0.62845894222222232</v>
      </c>
      <c r="J92" s="369"/>
    </row>
    <row r="93" spans="1:10" x14ac:dyDescent="0.35">
      <c r="A93" s="322" t="s">
        <v>39</v>
      </c>
      <c r="B93" s="322"/>
      <c r="C93" s="322"/>
      <c r="D93" s="322"/>
      <c r="E93" s="322"/>
      <c r="F93" s="322"/>
      <c r="G93" s="372">
        <f>SUM(H87,G88,H89,G90,G91,G92)</f>
        <v>5.3872222222222224E-2</v>
      </c>
      <c r="H93" s="372"/>
      <c r="I93" s="345">
        <f>SUM(I87:J92)</f>
        <v>98.931272122222225</v>
      </c>
      <c r="J93" s="345"/>
    </row>
    <row r="94" spans="1:10" x14ac:dyDescent="0.35">
      <c r="A94" s="373"/>
      <c r="B94" s="373"/>
      <c r="C94" s="373"/>
      <c r="D94" s="373"/>
      <c r="E94" s="373"/>
      <c r="F94" s="373"/>
      <c r="G94" s="373"/>
      <c r="H94" s="373"/>
      <c r="I94" s="373"/>
      <c r="J94" s="373"/>
    </row>
    <row r="95" spans="1:10" x14ac:dyDescent="0.35">
      <c r="A95" s="287" t="s">
        <v>85</v>
      </c>
      <c r="B95" s="287"/>
      <c r="C95" s="287"/>
      <c r="D95" s="287"/>
      <c r="E95" s="287"/>
      <c r="F95" s="287"/>
      <c r="G95" s="287"/>
      <c r="H95" s="287"/>
      <c r="I95" s="287"/>
      <c r="J95" s="287"/>
    </row>
    <row r="96" spans="1:10" x14ac:dyDescent="0.35">
      <c r="A96" s="12"/>
      <c r="B96" s="288"/>
      <c r="C96" s="288"/>
      <c r="D96" s="288"/>
      <c r="E96" s="288"/>
      <c r="F96" s="288"/>
      <c r="G96" s="288"/>
      <c r="H96" s="288"/>
      <c r="I96" s="288"/>
      <c r="J96" s="288"/>
    </row>
    <row r="97" spans="1:10" x14ac:dyDescent="0.35">
      <c r="A97" s="326" t="s">
        <v>86</v>
      </c>
      <c r="B97" s="326"/>
      <c r="C97" s="326"/>
      <c r="D97" s="326"/>
      <c r="E97" s="326"/>
      <c r="F97" s="326"/>
      <c r="G97" s="326"/>
      <c r="H97" s="326"/>
      <c r="I97" s="326"/>
      <c r="J97" s="326"/>
    </row>
    <row r="98" spans="1:10" x14ac:dyDescent="0.35">
      <c r="A98" s="361" t="s">
        <v>87</v>
      </c>
      <c r="B98" s="361"/>
      <c r="C98" s="361"/>
      <c r="D98" s="361"/>
      <c r="E98" s="361"/>
      <c r="F98" s="361"/>
      <c r="G98" s="370">
        <f>G34</f>
        <v>1836.4059999999999</v>
      </c>
      <c r="H98" s="371"/>
      <c r="I98" s="371"/>
      <c r="J98" s="371"/>
    </row>
    <row r="99" spans="1:10" x14ac:dyDescent="0.35">
      <c r="A99" s="16"/>
      <c r="B99" s="16"/>
      <c r="C99" s="16"/>
      <c r="D99" s="16"/>
      <c r="E99" s="16"/>
      <c r="F99" s="16"/>
      <c r="G99" s="17"/>
      <c r="H99" s="17"/>
      <c r="I99" s="17"/>
      <c r="J99" s="17"/>
    </row>
    <row r="100" spans="1:10" x14ac:dyDescent="0.35">
      <c r="A100" s="15" t="s">
        <v>88</v>
      </c>
      <c r="B100" s="339" t="s">
        <v>89</v>
      </c>
      <c r="C100" s="339"/>
      <c r="D100" s="339"/>
      <c r="E100" s="339"/>
      <c r="F100" s="339"/>
      <c r="G100" s="322" t="s">
        <v>90</v>
      </c>
      <c r="H100" s="322"/>
      <c r="I100" s="311" t="s">
        <v>34</v>
      </c>
      <c r="J100" s="311"/>
    </row>
    <row r="101" spans="1:10" x14ac:dyDescent="0.35">
      <c r="A101" s="23" t="s">
        <v>3</v>
      </c>
      <c r="B101" s="300" t="s">
        <v>91</v>
      </c>
      <c r="C101" s="300"/>
      <c r="D101" s="300"/>
      <c r="E101" s="300"/>
      <c r="F101" s="300"/>
      <c r="G101" s="329">
        <f>1/12</f>
        <v>8.3333333333333329E-2</v>
      </c>
      <c r="H101" s="329"/>
      <c r="I101" s="321">
        <f>G101*G98</f>
        <v>153.03383333333332</v>
      </c>
      <c r="J101" s="321"/>
    </row>
    <row r="102" spans="1:10" x14ac:dyDescent="0.35">
      <c r="A102" s="14" t="s">
        <v>5</v>
      </c>
      <c r="B102" s="325" t="s">
        <v>92</v>
      </c>
      <c r="C102" s="325"/>
      <c r="D102" s="325"/>
      <c r="E102" s="325"/>
      <c r="F102" s="325"/>
      <c r="G102" s="374">
        <f>(1/30)/12</f>
        <v>2.7777777777777779E-3</v>
      </c>
      <c r="H102" s="374"/>
      <c r="I102" s="321">
        <f>G98*G102</f>
        <v>5.1011277777777781</v>
      </c>
      <c r="J102" s="321"/>
    </row>
    <row r="103" spans="1:10" x14ac:dyDescent="0.35">
      <c r="A103" s="14" t="s">
        <v>8</v>
      </c>
      <c r="B103" s="325" t="s">
        <v>93</v>
      </c>
      <c r="C103" s="325"/>
      <c r="D103" s="325"/>
      <c r="E103" s="325"/>
      <c r="F103" s="325"/>
      <c r="G103" s="374">
        <f>(5/30)/12*0.015</f>
        <v>2.0833333333333332E-4</v>
      </c>
      <c r="H103" s="374"/>
      <c r="I103" s="321">
        <f>G98*G103</f>
        <v>0.38258458333333328</v>
      </c>
      <c r="J103" s="321"/>
    </row>
    <row r="104" spans="1:10" x14ac:dyDescent="0.35">
      <c r="A104" s="14" t="s">
        <v>10</v>
      </c>
      <c r="B104" s="325" t="s">
        <v>94</v>
      </c>
      <c r="C104" s="325"/>
      <c r="D104" s="325"/>
      <c r="E104" s="325"/>
      <c r="F104" s="325"/>
      <c r="G104" s="374">
        <f>1/12*0.0078</f>
        <v>6.4999999999999997E-4</v>
      </c>
      <c r="H104" s="374"/>
      <c r="I104" s="321">
        <f>G98*G104</f>
        <v>1.1936639</v>
      </c>
      <c r="J104" s="321"/>
    </row>
    <row r="105" spans="1:10" x14ac:dyDescent="0.35">
      <c r="A105" s="14" t="s">
        <v>56</v>
      </c>
      <c r="B105" s="325" t="s">
        <v>95</v>
      </c>
      <c r="C105" s="325"/>
      <c r="D105" s="325"/>
      <c r="E105" s="325"/>
      <c r="F105" s="325"/>
      <c r="G105" s="374">
        <f>((1/12)+(1/3*1/12))*0.02607*6/12</f>
        <v>1.4483333333333334E-3</v>
      </c>
      <c r="H105" s="374"/>
      <c r="I105" s="321">
        <f>G98*G105</f>
        <v>2.6597280233333334</v>
      </c>
      <c r="J105" s="321"/>
    </row>
    <row r="106" spans="1:10" x14ac:dyDescent="0.35">
      <c r="A106" s="14" t="s">
        <v>58</v>
      </c>
      <c r="B106" s="325" t="s">
        <v>96</v>
      </c>
      <c r="C106" s="325"/>
      <c r="D106" s="325"/>
      <c r="E106" s="325"/>
      <c r="F106" s="325"/>
      <c r="G106" s="374">
        <f>(5/30/12)</f>
        <v>1.3888888888888888E-2</v>
      </c>
      <c r="H106" s="374"/>
      <c r="I106" s="321">
        <f>G98*G106</f>
        <v>25.505638888888885</v>
      </c>
      <c r="J106" s="321"/>
    </row>
    <row r="107" spans="1:10" x14ac:dyDescent="0.35">
      <c r="A107" s="375" t="s">
        <v>97</v>
      </c>
      <c r="B107" s="375"/>
      <c r="C107" s="375"/>
      <c r="D107" s="375"/>
      <c r="E107" s="375"/>
      <c r="F107" s="375"/>
      <c r="G107" s="376">
        <f>SUM(G101:H106)</f>
        <v>0.10230666666666666</v>
      </c>
      <c r="H107" s="376"/>
      <c r="I107" s="377">
        <f>SUM(I101:J106)</f>
        <v>187.87657650666665</v>
      </c>
      <c r="J107" s="377"/>
    </row>
    <row r="108" spans="1:10" x14ac:dyDescent="0.35">
      <c r="A108" s="69" t="s">
        <v>60</v>
      </c>
      <c r="B108" s="378" t="s">
        <v>98</v>
      </c>
      <c r="C108" s="378"/>
      <c r="D108" s="378"/>
      <c r="E108" s="378"/>
      <c r="F108" s="379"/>
      <c r="G108" s="380">
        <f>(G107-G105)*(2/12+(1/3*1/12))</f>
        <v>1.961134259259259E-2</v>
      </c>
      <c r="H108" s="379"/>
      <c r="I108" s="381">
        <f>G98*G108</f>
        <v>36.014387205092589</v>
      </c>
      <c r="J108" s="382"/>
    </row>
    <row r="109" spans="1:10" x14ac:dyDescent="0.35">
      <c r="A109" s="388" t="s">
        <v>99</v>
      </c>
      <c r="B109" s="389"/>
      <c r="C109" s="389"/>
      <c r="D109" s="389"/>
      <c r="E109" s="389"/>
      <c r="F109" s="390"/>
      <c r="G109" s="391">
        <f>SUM(G107:H108)</f>
        <v>0.12191800925925925</v>
      </c>
      <c r="H109" s="392"/>
      <c r="I109" s="393">
        <f>SUM(I107:J108)</f>
        <v>223.89096371175924</v>
      </c>
      <c r="J109" s="394"/>
    </row>
    <row r="110" spans="1:10" x14ac:dyDescent="0.35">
      <c r="A110" s="69" t="s">
        <v>62</v>
      </c>
      <c r="B110" s="395" t="s">
        <v>100</v>
      </c>
      <c r="C110" s="395"/>
      <c r="D110" s="395"/>
      <c r="E110" s="395"/>
      <c r="F110" s="396"/>
      <c r="G110" s="380">
        <f>G109*G58</f>
        <v>4.486582740740741E-2</v>
      </c>
      <c r="H110" s="397"/>
      <c r="I110" s="381">
        <f>G98*G110</f>
        <v>82.391874645927416</v>
      </c>
      <c r="J110" s="382"/>
    </row>
    <row r="111" spans="1:10" x14ac:dyDescent="0.35">
      <c r="A111" s="383" t="s">
        <v>39</v>
      </c>
      <c r="B111" s="378"/>
      <c r="C111" s="378"/>
      <c r="D111" s="378"/>
      <c r="E111" s="378"/>
      <c r="F111" s="379"/>
      <c r="G111" s="384">
        <f>SUM(G109:H110)</f>
        <v>0.16678383666666666</v>
      </c>
      <c r="H111" s="385"/>
      <c r="I111" s="386">
        <f>G98*G111</f>
        <v>306.28283835768661</v>
      </c>
      <c r="J111" s="387"/>
    </row>
    <row r="112" spans="1:10" x14ac:dyDescent="0.35">
      <c r="A112" s="88"/>
      <c r="B112" s="404"/>
      <c r="C112" s="404"/>
      <c r="D112" s="404"/>
      <c r="E112" s="404"/>
      <c r="F112" s="404"/>
      <c r="G112" s="404"/>
      <c r="H112" s="404"/>
      <c r="I112" s="404"/>
      <c r="J112" s="404"/>
    </row>
    <row r="113" spans="1:10" x14ac:dyDescent="0.35">
      <c r="A113" s="400" t="s">
        <v>101</v>
      </c>
      <c r="B113" s="400"/>
      <c r="C113" s="400"/>
      <c r="D113" s="400"/>
      <c r="E113" s="400"/>
      <c r="F113" s="400"/>
      <c r="G113" s="400"/>
      <c r="H113" s="400"/>
      <c r="I113" s="400"/>
      <c r="J113" s="400"/>
    </row>
    <row r="114" spans="1:10" x14ac:dyDescent="0.35">
      <c r="A114" s="401"/>
      <c r="B114" s="401"/>
      <c r="C114" s="401"/>
      <c r="D114" s="401"/>
      <c r="E114" s="401"/>
      <c r="F114" s="401"/>
      <c r="G114" s="402"/>
      <c r="H114" s="402"/>
      <c r="I114" s="402"/>
      <c r="J114" s="402"/>
    </row>
    <row r="115" spans="1:10" x14ac:dyDescent="0.35">
      <c r="A115" s="67" t="s">
        <v>102</v>
      </c>
      <c r="B115" s="311" t="s">
        <v>103</v>
      </c>
      <c r="C115" s="311"/>
      <c r="D115" s="311"/>
      <c r="E115" s="311"/>
      <c r="F115" s="311"/>
      <c r="G115" s="311" t="s">
        <v>34</v>
      </c>
      <c r="H115" s="311"/>
      <c r="I115" s="311"/>
      <c r="J115" s="311"/>
    </row>
    <row r="116" spans="1:10" x14ac:dyDescent="0.35">
      <c r="A116" s="66" t="s">
        <v>3</v>
      </c>
      <c r="B116" s="300" t="s">
        <v>104</v>
      </c>
      <c r="C116" s="300"/>
      <c r="D116" s="300"/>
      <c r="E116" s="300"/>
      <c r="F116" s="300"/>
      <c r="G116" s="333">
        <v>0</v>
      </c>
      <c r="H116" s="333"/>
      <c r="I116" s="333"/>
      <c r="J116" s="333"/>
    </row>
    <row r="117" spans="1:10" x14ac:dyDescent="0.35">
      <c r="A117" s="311" t="s">
        <v>39</v>
      </c>
      <c r="B117" s="311"/>
      <c r="C117" s="311"/>
      <c r="D117" s="311"/>
      <c r="E117" s="311"/>
      <c r="F117" s="311"/>
      <c r="G117" s="345">
        <f>SUM(G116)</f>
        <v>0</v>
      </c>
      <c r="H117" s="345"/>
      <c r="I117" s="345"/>
      <c r="J117" s="345"/>
    </row>
    <row r="118" spans="1:10" x14ac:dyDescent="0.35">
      <c r="A118" s="88"/>
      <c r="B118" s="398"/>
      <c r="C118" s="398"/>
      <c r="D118" s="398"/>
      <c r="E118" s="398"/>
      <c r="F118" s="398"/>
      <c r="G118" s="398"/>
      <c r="H118" s="398"/>
      <c r="I118" s="398"/>
      <c r="J118" s="398"/>
    </row>
    <row r="119" spans="1:10" x14ac:dyDescent="0.35">
      <c r="A119" s="399" t="s">
        <v>105</v>
      </c>
      <c r="B119" s="399"/>
      <c r="C119" s="399"/>
      <c r="D119" s="399"/>
      <c r="E119" s="399"/>
      <c r="F119" s="399"/>
      <c r="G119" s="399"/>
      <c r="H119" s="399"/>
      <c r="I119" s="399"/>
      <c r="J119" s="399"/>
    </row>
    <row r="120" spans="1:10" x14ac:dyDescent="0.35">
      <c r="A120" s="88"/>
      <c r="B120" s="404"/>
      <c r="C120" s="404"/>
      <c r="D120" s="404"/>
      <c r="E120" s="404"/>
      <c r="F120" s="404"/>
      <c r="G120" s="405"/>
      <c r="H120" s="405"/>
      <c r="I120" s="405"/>
      <c r="J120" s="405"/>
    </row>
    <row r="121" spans="1:10" x14ac:dyDescent="0.35">
      <c r="A121" s="67">
        <v>4</v>
      </c>
      <c r="B121" s="311" t="s">
        <v>106</v>
      </c>
      <c r="C121" s="311"/>
      <c r="D121" s="311"/>
      <c r="E121" s="311"/>
      <c r="F121" s="311"/>
      <c r="G121" s="311" t="s">
        <v>34</v>
      </c>
      <c r="H121" s="311"/>
      <c r="I121" s="311"/>
      <c r="J121" s="311"/>
    </row>
    <row r="122" spans="1:10" x14ac:dyDescent="0.35">
      <c r="A122" s="66" t="s">
        <v>88</v>
      </c>
      <c r="B122" s="300" t="s">
        <v>107</v>
      </c>
      <c r="C122" s="300"/>
      <c r="D122" s="300"/>
      <c r="E122" s="300"/>
      <c r="F122" s="300"/>
      <c r="G122" s="321">
        <f>I111</f>
        <v>306.28283835768661</v>
      </c>
      <c r="H122" s="321"/>
      <c r="I122" s="321"/>
      <c r="J122" s="321"/>
    </row>
    <row r="123" spans="1:10" x14ac:dyDescent="0.35">
      <c r="A123" s="66" t="s">
        <v>102</v>
      </c>
      <c r="B123" s="403" t="s">
        <v>108</v>
      </c>
      <c r="C123" s="403"/>
      <c r="D123" s="403"/>
      <c r="E123" s="403"/>
      <c r="F123" s="403"/>
      <c r="G123" s="321">
        <f>G117</f>
        <v>0</v>
      </c>
      <c r="H123" s="321"/>
      <c r="I123" s="321"/>
      <c r="J123" s="321"/>
    </row>
    <row r="124" spans="1:10" x14ac:dyDescent="0.35">
      <c r="A124" s="311" t="s">
        <v>39</v>
      </c>
      <c r="B124" s="311"/>
      <c r="C124" s="311"/>
      <c r="D124" s="311"/>
      <c r="E124" s="311"/>
      <c r="F124" s="311"/>
      <c r="G124" s="323">
        <f>SUM(G122:J123)</f>
        <v>306.28283835768661</v>
      </c>
      <c r="H124" s="323"/>
      <c r="I124" s="323"/>
      <c r="J124" s="323"/>
    </row>
    <row r="125" spans="1:10" x14ac:dyDescent="0.35">
      <c r="A125" s="88"/>
      <c r="B125" s="404"/>
      <c r="C125" s="404"/>
      <c r="D125" s="404"/>
      <c r="E125" s="404"/>
      <c r="F125" s="404"/>
      <c r="G125" s="404"/>
      <c r="H125" s="404"/>
      <c r="I125" s="404"/>
      <c r="J125" s="404"/>
    </row>
    <row r="126" spans="1:10" x14ac:dyDescent="0.35">
      <c r="A126" s="88"/>
      <c r="B126" s="398"/>
      <c r="C126" s="398"/>
      <c r="D126" s="398"/>
      <c r="E126" s="398"/>
      <c r="F126" s="398"/>
      <c r="G126" s="398"/>
      <c r="H126" s="398"/>
      <c r="I126" s="398"/>
      <c r="J126" s="398"/>
    </row>
    <row r="127" spans="1:10" x14ac:dyDescent="0.35">
      <c r="A127" s="407" t="s">
        <v>109</v>
      </c>
      <c r="B127" s="407"/>
      <c r="C127" s="407"/>
      <c r="D127" s="407"/>
      <c r="E127" s="407"/>
      <c r="F127" s="407"/>
      <c r="G127" s="407"/>
      <c r="H127" s="407"/>
      <c r="I127" s="407"/>
      <c r="J127" s="407"/>
    </row>
    <row r="128" spans="1:10" x14ac:dyDescent="0.35">
      <c r="A128" s="89"/>
      <c r="B128" s="408"/>
      <c r="C128" s="408"/>
      <c r="D128" s="408"/>
      <c r="E128" s="408"/>
      <c r="F128" s="408"/>
      <c r="G128" s="408"/>
      <c r="H128" s="408"/>
      <c r="I128" s="408"/>
      <c r="J128" s="408"/>
    </row>
    <row r="129" spans="1:10" x14ac:dyDescent="0.35">
      <c r="A129" s="68">
        <v>5</v>
      </c>
      <c r="B129" s="406" t="s">
        <v>110</v>
      </c>
      <c r="C129" s="406"/>
      <c r="D129" s="406"/>
      <c r="E129" s="406"/>
      <c r="F129" s="406"/>
      <c r="G129" s="347" t="s">
        <v>34</v>
      </c>
      <c r="H129" s="347"/>
      <c r="I129" s="347"/>
      <c r="J129" s="347"/>
    </row>
    <row r="130" spans="1:10" x14ac:dyDescent="0.35">
      <c r="A130" s="22" t="s">
        <v>3</v>
      </c>
      <c r="B130" s="346" t="s">
        <v>111</v>
      </c>
      <c r="C130" s="346"/>
      <c r="D130" s="346"/>
      <c r="E130" s="346"/>
      <c r="F130" s="346"/>
      <c r="G130" s="352">
        <f>Uniformes!F24</f>
        <v>41.54076666666667</v>
      </c>
      <c r="H130" s="352"/>
      <c r="I130" s="352"/>
      <c r="J130" s="352"/>
    </row>
    <row r="131" spans="1:10" x14ac:dyDescent="0.35">
      <c r="A131" s="22" t="s">
        <v>5</v>
      </c>
      <c r="B131" s="284" t="s">
        <v>202</v>
      </c>
      <c r="C131" s="285"/>
      <c r="D131" s="285"/>
      <c r="E131" s="285"/>
      <c r="F131" s="286"/>
      <c r="G131" s="281">
        <f>Equipamentos!J88</f>
        <v>23.272467250000009</v>
      </c>
      <c r="H131" s="282"/>
      <c r="I131" s="282"/>
      <c r="J131" s="283"/>
    </row>
    <row r="132" spans="1:10" x14ac:dyDescent="0.35">
      <c r="A132" s="347" t="s">
        <v>64</v>
      </c>
      <c r="B132" s="347"/>
      <c r="C132" s="347"/>
      <c r="D132" s="347"/>
      <c r="E132" s="347"/>
      <c r="F132" s="347"/>
      <c r="G132" s="413">
        <f>SUM(G130:J131)</f>
        <v>64.813233916666675</v>
      </c>
      <c r="H132" s="413"/>
      <c r="I132" s="413"/>
      <c r="J132" s="413"/>
    </row>
    <row r="133" spans="1:10" x14ac:dyDescent="0.35">
      <c r="A133" s="90"/>
      <c r="B133" s="414"/>
      <c r="C133" s="414"/>
      <c r="D133" s="414"/>
      <c r="E133" s="414"/>
      <c r="F133" s="414"/>
      <c r="G133" s="414"/>
      <c r="H133" s="414"/>
      <c r="I133" s="414"/>
      <c r="J133" s="414"/>
    </row>
    <row r="134" spans="1:10" x14ac:dyDescent="0.35">
      <c r="A134" s="407" t="s">
        <v>112</v>
      </c>
      <c r="B134" s="407"/>
      <c r="C134" s="407"/>
      <c r="D134" s="407"/>
      <c r="E134" s="407"/>
      <c r="F134" s="407"/>
      <c r="G134" s="407"/>
      <c r="H134" s="407"/>
      <c r="I134" s="407"/>
      <c r="J134" s="407"/>
    </row>
    <row r="135" spans="1:10" x14ac:dyDescent="0.35">
      <c r="A135" s="409" t="s">
        <v>113</v>
      </c>
      <c r="B135" s="409"/>
      <c r="C135" s="409"/>
      <c r="D135" s="409"/>
      <c r="E135" s="409"/>
      <c r="F135" s="409"/>
      <c r="G135" s="410">
        <f>G34+G80+I93+G124+G132</f>
        <v>3917.1098906053758</v>
      </c>
      <c r="H135" s="411"/>
      <c r="I135" s="411"/>
      <c r="J135" s="411"/>
    </row>
    <row r="136" spans="1:10" x14ac:dyDescent="0.35">
      <c r="A136" s="409" t="s">
        <v>114</v>
      </c>
      <c r="B136" s="409"/>
      <c r="C136" s="409"/>
      <c r="D136" s="409"/>
      <c r="E136" s="409"/>
      <c r="F136" s="409"/>
      <c r="G136" s="410">
        <f>G135+I139</f>
        <v>4024.0469906189023</v>
      </c>
      <c r="H136" s="411"/>
      <c r="I136" s="411"/>
      <c r="J136" s="411"/>
    </row>
    <row r="137" spans="1:10" x14ac:dyDescent="0.35">
      <c r="A137" s="409" t="s">
        <v>115</v>
      </c>
      <c r="B137" s="409"/>
      <c r="C137" s="409"/>
      <c r="D137" s="409"/>
      <c r="E137" s="409"/>
      <c r="F137" s="409"/>
      <c r="G137" s="412">
        <f>(G136+I140)/(1-G141)</f>
        <v>4819.940133020029</v>
      </c>
      <c r="H137" s="412"/>
      <c r="I137" s="412"/>
      <c r="J137" s="412"/>
    </row>
    <row r="138" spans="1:10" x14ac:dyDescent="0.35">
      <c r="A138" s="21">
        <v>6</v>
      </c>
      <c r="B138" s="406" t="s">
        <v>116</v>
      </c>
      <c r="C138" s="406"/>
      <c r="D138" s="406"/>
      <c r="E138" s="406"/>
      <c r="F138" s="406"/>
      <c r="G138" s="420" t="s">
        <v>45</v>
      </c>
      <c r="H138" s="420"/>
      <c r="I138" s="420" t="s">
        <v>34</v>
      </c>
      <c r="J138" s="420"/>
    </row>
    <row r="139" spans="1:10" x14ac:dyDescent="0.35">
      <c r="A139" s="22" t="s">
        <v>3</v>
      </c>
      <c r="B139" s="346" t="s">
        <v>117</v>
      </c>
      <c r="C139" s="346"/>
      <c r="D139" s="346"/>
      <c r="E139" s="346"/>
      <c r="F139" s="346"/>
      <c r="G139" s="415">
        <v>2.7300000000000001E-2</v>
      </c>
      <c r="H139" s="415"/>
      <c r="I139" s="416">
        <f>G135*G139</f>
        <v>106.93710001352676</v>
      </c>
      <c r="J139" s="346"/>
    </row>
    <row r="140" spans="1:10" x14ac:dyDescent="0.35">
      <c r="A140" s="22" t="s">
        <v>5</v>
      </c>
      <c r="B140" s="346" t="s">
        <v>118</v>
      </c>
      <c r="C140" s="346"/>
      <c r="D140" s="346"/>
      <c r="E140" s="346"/>
      <c r="F140" s="346"/>
      <c r="G140" s="415">
        <v>2.7099999999999999E-2</v>
      </c>
      <c r="H140" s="415"/>
      <c r="I140" s="416">
        <f>G136*G140</f>
        <v>109.05167344577225</v>
      </c>
      <c r="J140" s="346"/>
    </row>
    <row r="141" spans="1:10" x14ac:dyDescent="0.35">
      <c r="A141" s="22" t="s">
        <v>8</v>
      </c>
      <c r="B141" s="346" t="s">
        <v>119</v>
      </c>
      <c r="C141" s="346"/>
      <c r="D141" s="346"/>
      <c r="E141" s="346"/>
      <c r="F141" s="346"/>
      <c r="G141" s="417">
        <f>SUM(G142:H144)</f>
        <v>0.14250000000000002</v>
      </c>
      <c r="H141" s="417"/>
      <c r="I141" s="418">
        <f>G137*G141</f>
        <v>686.84146895535423</v>
      </c>
      <c r="J141" s="419"/>
    </row>
    <row r="142" spans="1:10" x14ac:dyDescent="0.35">
      <c r="A142" s="27" t="s">
        <v>120</v>
      </c>
      <c r="B142" s="421" t="s">
        <v>121</v>
      </c>
      <c r="C142" s="421"/>
      <c r="D142" s="421"/>
      <c r="E142" s="421"/>
      <c r="F142" s="421"/>
      <c r="G142" s="422">
        <f>'Item 1.1 (Encarregado)'!G142:H142</f>
        <v>7.5999999999999998E-2</v>
      </c>
      <c r="H142" s="422"/>
      <c r="I142" s="423">
        <f>G137*G142</f>
        <v>366.3154501095222</v>
      </c>
      <c r="J142" s="421"/>
    </row>
    <row r="143" spans="1:10" x14ac:dyDescent="0.35">
      <c r="A143" s="27" t="s">
        <v>122</v>
      </c>
      <c r="B143" s="421" t="s">
        <v>123</v>
      </c>
      <c r="C143" s="421"/>
      <c r="D143" s="421"/>
      <c r="E143" s="421"/>
      <c r="F143" s="421"/>
      <c r="G143" s="422">
        <f>'Item 1.1 (Encarregado)'!G143:H143</f>
        <v>1.6500000000000001E-2</v>
      </c>
      <c r="H143" s="422"/>
      <c r="I143" s="423">
        <f>G137*G143</f>
        <v>79.529012194830486</v>
      </c>
      <c r="J143" s="421"/>
    </row>
    <row r="144" spans="1:10" x14ac:dyDescent="0.35">
      <c r="A144" s="27" t="s">
        <v>124</v>
      </c>
      <c r="B144" s="421" t="s">
        <v>125</v>
      </c>
      <c r="C144" s="421"/>
      <c r="D144" s="421"/>
      <c r="E144" s="421"/>
      <c r="F144" s="421"/>
      <c r="G144" s="422">
        <v>0.05</v>
      </c>
      <c r="H144" s="422"/>
      <c r="I144" s="423">
        <f>G137*G144</f>
        <v>240.99700665100147</v>
      </c>
      <c r="J144" s="421"/>
    </row>
    <row r="145" spans="1:13" x14ac:dyDescent="0.35">
      <c r="A145" s="347" t="s">
        <v>64</v>
      </c>
      <c r="B145" s="347"/>
      <c r="C145" s="347"/>
      <c r="D145" s="347"/>
      <c r="E145" s="347"/>
      <c r="F145" s="347"/>
      <c r="G145" s="424"/>
      <c r="H145" s="424"/>
      <c r="I145" s="416">
        <f>SUM(I139:J141)</f>
        <v>902.83024241465318</v>
      </c>
      <c r="J145" s="346"/>
    </row>
    <row r="146" spans="1:13" x14ac:dyDescent="0.35">
      <c r="A146" s="19"/>
      <c r="B146" s="426"/>
      <c r="C146" s="426"/>
      <c r="D146" s="426"/>
      <c r="E146" s="426"/>
      <c r="F146" s="426"/>
      <c r="G146" s="426"/>
      <c r="H146" s="426"/>
      <c r="I146" s="426"/>
      <c r="J146" s="426"/>
    </row>
    <row r="147" spans="1:13" x14ac:dyDescent="0.35">
      <c r="A147" s="427" t="s">
        <v>126</v>
      </c>
      <c r="B147" s="427"/>
      <c r="C147" s="427"/>
      <c r="D147" s="427"/>
      <c r="E147" s="427"/>
      <c r="F147" s="427"/>
      <c r="G147" s="427"/>
      <c r="H147" s="427"/>
      <c r="I147" s="427"/>
      <c r="J147" s="427"/>
    </row>
    <row r="148" spans="1:13" x14ac:dyDescent="0.35">
      <c r="A148" s="18"/>
      <c r="B148" s="428"/>
      <c r="C148" s="428"/>
      <c r="D148" s="428"/>
      <c r="E148" s="428"/>
      <c r="F148" s="428"/>
      <c r="G148" s="428"/>
      <c r="H148" s="428"/>
      <c r="I148" s="428"/>
      <c r="J148" s="428"/>
    </row>
    <row r="149" spans="1:13" x14ac:dyDescent="0.35">
      <c r="A149" s="21"/>
      <c r="B149" s="347" t="s">
        <v>127</v>
      </c>
      <c r="C149" s="347"/>
      <c r="D149" s="347"/>
      <c r="E149" s="347"/>
      <c r="F149" s="347"/>
      <c r="G149" s="347" t="s">
        <v>34</v>
      </c>
      <c r="H149" s="347"/>
      <c r="I149" s="347"/>
      <c r="J149" s="347"/>
    </row>
    <row r="150" spans="1:13" x14ac:dyDescent="0.35">
      <c r="A150" s="21" t="s">
        <v>3</v>
      </c>
      <c r="B150" s="346" t="s">
        <v>32</v>
      </c>
      <c r="C150" s="346"/>
      <c r="D150" s="346"/>
      <c r="E150" s="346"/>
      <c r="F150" s="346"/>
      <c r="G150" s="352">
        <f>G34</f>
        <v>1836.4059999999999</v>
      </c>
      <c r="H150" s="352"/>
      <c r="I150" s="352"/>
      <c r="J150" s="352"/>
    </row>
    <row r="151" spans="1:13" x14ac:dyDescent="0.35">
      <c r="A151" s="21" t="s">
        <v>5</v>
      </c>
      <c r="B151" s="346" t="s">
        <v>40</v>
      </c>
      <c r="C151" s="346"/>
      <c r="D151" s="346"/>
      <c r="E151" s="346"/>
      <c r="F151" s="346"/>
      <c r="G151" s="352">
        <f>G80</f>
        <v>1610.6765462088001</v>
      </c>
      <c r="H151" s="352"/>
      <c r="I151" s="352"/>
      <c r="J151" s="352"/>
    </row>
    <row r="152" spans="1:13" x14ac:dyDescent="0.35">
      <c r="A152" s="21" t="s">
        <v>8</v>
      </c>
      <c r="B152" s="346" t="s">
        <v>78</v>
      </c>
      <c r="C152" s="346"/>
      <c r="D152" s="346"/>
      <c r="E152" s="346"/>
      <c r="F152" s="346"/>
      <c r="G152" s="352">
        <f>I93</f>
        <v>98.931272122222225</v>
      </c>
      <c r="H152" s="352"/>
      <c r="I152" s="352"/>
      <c r="J152" s="352"/>
    </row>
    <row r="153" spans="1:13" x14ac:dyDescent="0.35">
      <c r="A153" s="21" t="s">
        <v>10</v>
      </c>
      <c r="B153" s="346" t="s">
        <v>85</v>
      </c>
      <c r="C153" s="346"/>
      <c r="D153" s="346"/>
      <c r="E153" s="346"/>
      <c r="F153" s="346"/>
      <c r="G153" s="352">
        <f>G124</f>
        <v>306.28283835768661</v>
      </c>
      <c r="H153" s="352"/>
      <c r="I153" s="352"/>
      <c r="J153" s="352"/>
    </row>
    <row r="154" spans="1:13" x14ac:dyDescent="0.35">
      <c r="A154" s="21" t="s">
        <v>56</v>
      </c>
      <c r="B154" s="346" t="s">
        <v>109</v>
      </c>
      <c r="C154" s="346"/>
      <c r="D154" s="346"/>
      <c r="E154" s="346"/>
      <c r="F154" s="346"/>
      <c r="G154" s="352">
        <f>G132</f>
        <v>64.813233916666675</v>
      </c>
      <c r="H154" s="352"/>
      <c r="I154" s="352"/>
      <c r="J154" s="352"/>
    </row>
    <row r="155" spans="1:13" x14ac:dyDescent="0.35">
      <c r="A155" s="347" t="s">
        <v>128</v>
      </c>
      <c r="B155" s="347"/>
      <c r="C155" s="347"/>
      <c r="D155" s="347"/>
      <c r="E155" s="347"/>
      <c r="F155" s="347"/>
      <c r="G155" s="413">
        <f>SUM(G150:J154)</f>
        <v>3917.1098906053758</v>
      </c>
      <c r="H155" s="413"/>
      <c r="I155" s="413"/>
      <c r="J155" s="413"/>
    </row>
    <row r="156" spans="1:13" x14ac:dyDescent="0.35">
      <c r="A156" s="21" t="s">
        <v>58</v>
      </c>
      <c r="B156" s="346" t="s">
        <v>129</v>
      </c>
      <c r="C156" s="346"/>
      <c r="D156" s="346"/>
      <c r="E156" s="346"/>
      <c r="F156" s="346"/>
      <c r="G156" s="352">
        <f>I145</f>
        <v>902.83024241465318</v>
      </c>
      <c r="H156" s="352"/>
      <c r="I156" s="352"/>
      <c r="J156" s="352"/>
    </row>
    <row r="157" spans="1:13" x14ac:dyDescent="0.35">
      <c r="A157" s="347" t="s">
        <v>130</v>
      </c>
      <c r="B157" s="347"/>
      <c r="C157" s="347"/>
      <c r="D157" s="347"/>
      <c r="E157" s="347"/>
      <c r="F157" s="347"/>
      <c r="G157" s="413">
        <f>SUM(G155:J156)</f>
        <v>4819.940133020029</v>
      </c>
      <c r="H157" s="413"/>
      <c r="I157" s="413"/>
      <c r="J157" s="413"/>
    </row>
    <row r="158" spans="1:13" x14ac:dyDescent="0.35">
      <c r="A158" s="347" t="s">
        <v>131</v>
      </c>
      <c r="B158" s="347"/>
      <c r="C158" s="347"/>
      <c r="D158" s="347"/>
      <c r="E158" s="347"/>
      <c r="F158" s="347"/>
      <c r="G158" s="436">
        <v>2</v>
      </c>
      <c r="H158" s="436"/>
      <c r="I158" s="436"/>
      <c r="J158" s="436"/>
      <c r="M158" s="174"/>
    </row>
    <row r="159" spans="1:13" x14ac:dyDescent="0.35">
      <c r="A159" s="11"/>
      <c r="B159" s="11"/>
      <c r="C159" s="11"/>
      <c r="D159" s="11"/>
      <c r="E159" s="11"/>
      <c r="F159" s="11"/>
      <c r="G159" s="11"/>
      <c r="H159" s="11"/>
      <c r="I159" s="11"/>
      <c r="J159" s="11"/>
    </row>
    <row r="160" spans="1:13" x14ac:dyDescent="0.35">
      <c r="A160" s="434" t="s">
        <v>132</v>
      </c>
      <c r="B160" s="434"/>
      <c r="C160" s="434"/>
      <c r="D160" s="434"/>
      <c r="E160" s="434"/>
      <c r="F160" s="434"/>
      <c r="G160" s="434"/>
      <c r="H160" s="434"/>
      <c r="I160" s="434"/>
      <c r="J160" s="434"/>
    </row>
    <row r="161" spans="1:10" x14ac:dyDescent="0.35">
      <c r="A161" s="429" t="s">
        <v>133</v>
      </c>
      <c r="B161" s="429"/>
      <c r="C161" s="429" t="s">
        <v>208</v>
      </c>
      <c r="D161" s="429"/>
      <c r="E161" s="429"/>
      <c r="F161" s="429"/>
      <c r="G161" s="429" t="s">
        <v>134</v>
      </c>
      <c r="H161" s="429"/>
      <c r="I161" s="429" t="s">
        <v>135</v>
      </c>
      <c r="J161" s="429"/>
    </row>
    <row r="162" spans="1:10" x14ac:dyDescent="0.35">
      <c r="A162" s="435">
        <f>G158</f>
        <v>2</v>
      </c>
      <c r="B162" s="429"/>
      <c r="C162" s="430">
        <f>1/(F17/A162)</f>
        <v>7.3141653440217662E-4</v>
      </c>
      <c r="D162" s="430"/>
      <c r="E162" s="430"/>
      <c r="F162" s="430"/>
      <c r="G162" s="431">
        <f>G157</f>
        <v>4819.940133020029</v>
      </c>
      <c r="H162" s="429"/>
      <c r="I162" s="432">
        <f>G162*C162</f>
        <v>3.5253839081194758</v>
      </c>
      <c r="J162" s="432"/>
    </row>
    <row r="165" spans="1:10" x14ac:dyDescent="0.35">
      <c r="H165" s="29"/>
    </row>
    <row r="166" spans="1:10" x14ac:dyDescent="0.35">
      <c r="H166" s="29"/>
    </row>
  </sheetData>
  <sheetProtection algorithmName="SHA-512" hashValue="mKroPgwhayvktKXAQF8QzHwEkTjI0fAXYtT6zu315XhjAF8K1kfp004TXBw8VGX07uBr3BS02vu+5lWTyQhAhQ==" saltValue="rTmVsAiN8Ci1qgyDDJmnfA==" spinCount="100000" sheet="1" objects="1" scenarios="1"/>
  <mergeCells count="353">
    <mergeCell ref="A5:J5"/>
    <mergeCell ref="A6:J6"/>
    <mergeCell ref="A7:J7"/>
    <mergeCell ref="A8:J8"/>
    <mergeCell ref="B9:F9"/>
    <mergeCell ref="G9:J9"/>
    <mergeCell ref="A1:J1"/>
    <mergeCell ref="A2:J2"/>
    <mergeCell ref="B3:F3"/>
    <mergeCell ref="G3:H3"/>
    <mergeCell ref="I3:J3"/>
    <mergeCell ref="A4:J4"/>
    <mergeCell ref="A13:J13"/>
    <mergeCell ref="A14:J14"/>
    <mergeCell ref="A15:J15"/>
    <mergeCell ref="A16:C16"/>
    <mergeCell ref="D16:E16"/>
    <mergeCell ref="F16:J16"/>
    <mergeCell ref="B10:F10"/>
    <mergeCell ref="G10:J10"/>
    <mergeCell ref="B11:F11"/>
    <mergeCell ref="G11:J11"/>
    <mergeCell ref="B12:F12"/>
    <mergeCell ref="G12:J12"/>
    <mergeCell ref="B21:F21"/>
    <mergeCell ref="G21:J21"/>
    <mergeCell ref="B22:F22"/>
    <mergeCell ref="G22:J22"/>
    <mergeCell ref="B23:F23"/>
    <mergeCell ref="G23:J23"/>
    <mergeCell ref="A17:C17"/>
    <mergeCell ref="D17:E17"/>
    <mergeCell ref="F17:J17"/>
    <mergeCell ref="A18:J18"/>
    <mergeCell ref="A19:J19"/>
    <mergeCell ref="B20:F20"/>
    <mergeCell ref="G20:H20"/>
    <mergeCell ref="I20:J20"/>
    <mergeCell ref="B29:F29"/>
    <mergeCell ref="G29:J29"/>
    <mergeCell ref="B30:F30"/>
    <mergeCell ref="G30:J30"/>
    <mergeCell ref="B31:F31"/>
    <mergeCell ref="G31:J31"/>
    <mergeCell ref="B24:F24"/>
    <mergeCell ref="G24:J24"/>
    <mergeCell ref="B25:F25"/>
    <mergeCell ref="G25:J25"/>
    <mergeCell ref="A26:J26"/>
    <mergeCell ref="A27:J27"/>
    <mergeCell ref="B35:F35"/>
    <mergeCell ref="G35:H35"/>
    <mergeCell ref="I35:J35"/>
    <mergeCell ref="A36:J36"/>
    <mergeCell ref="B37:F37"/>
    <mergeCell ref="G37:H37"/>
    <mergeCell ref="I37:J37"/>
    <mergeCell ref="B32:F32"/>
    <mergeCell ref="G32:J32"/>
    <mergeCell ref="B33:F33"/>
    <mergeCell ref="G33:J33"/>
    <mergeCell ref="A34:F34"/>
    <mergeCell ref="G34:J34"/>
    <mergeCell ref="B41:F41"/>
    <mergeCell ref="G41:H41"/>
    <mergeCell ref="I41:J41"/>
    <mergeCell ref="B42:F42"/>
    <mergeCell ref="G42:H42"/>
    <mergeCell ref="I42:J42"/>
    <mergeCell ref="A38:J38"/>
    <mergeCell ref="A39:F39"/>
    <mergeCell ref="G39:J39"/>
    <mergeCell ref="B40:F40"/>
    <mergeCell ref="G40:H40"/>
    <mergeCell ref="I40:J40"/>
    <mergeCell ref="A45:J45"/>
    <mergeCell ref="A46:J46"/>
    <mergeCell ref="A47:F47"/>
    <mergeCell ref="G47:J47"/>
    <mergeCell ref="A48:J48"/>
    <mergeCell ref="B49:F49"/>
    <mergeCell ref="G49:H49"/>
    <mergeCell ref="I49:J49"/>
    <mergeCell ref="B43:F43"/>
    <mergeCell ref="G43:H43"/>
    <mergeCell ref="I43:J43"/>
    <mergeCell ref="A44:F44"/>
    <mergeCell ref="G44:H44"/>
    <mergeCell ref="I44:J44"/>
    <mergeCell ref="B52:F52"/>
    <mergeCell ref="G52:H52"/>
    <mergeCell ref="I52:J52"/>
    <mergeCell ref="B53:F53"/>
    <mergeCell ref="G53:H53"/>
    <mergeCell ref="I53:J53"/>
    <mergeCell ref="B50:F50"/>
    <mergeCell ref="G50:H50"/>
    <mergeCell ref="I50:J50"/>
    <mergeCell ref="B51:F51"/>
    <mergeCell ref="G51:H51"/>
    <mergeCell ref="I51:J51"/>
    <mergeCell ref="B56:F56"/>
    <mergeCell ref="G56:H56"/>
    <mergeCell ref="I56:J56"/>
    <mergeCell ref="B57:F57"/>
    <mergeCell ref="G57:H57"/>
    <mergeCell ref="I57:J57"/>
    <mergeCell ref="B54:F54"/>
    <mergeCell ref="G54:H54"/>
    <mergeCell ref="I54:J54"/>
    <mergeCell ref="B55:F55"/>
    <mergeCell ref="G55:H55"/>
    <mergeCell ref="I55:J55"/>
    <mergeCell ref="B62:F62"/>
    <mergeCell ref="G62:H62"/>
    <mergeCell ref="I62:J62"/>
    <mergeCell ref="B63:F63"/>
    <mergeCell ref="G63:H63"/>
    <mergeCell ref="I63:J63"/>
    <mergeCell ref="A58:F58"/>
    <mergeCell ref="G58:H58"/>
    <mergeCell ref="I58:J58"/>
    <mergeCell ref="A59:J59"/>
    <mergeCell ref="A60:J60"/>
    <mergeCell ref="B61:F61"/>
    <mergeCell ref="G61:H61"/>
    <mergeCell ref="I61:J61"/>
    <mergeCell ref="B66:F66"/>
    <mergeCell ref="G66:H66"/>
    <mergeCell ref="I66:J66"/>
    <mergeCell ref="B67:F67"/>
    <mergeCell ref="G67:H67"/>
    <mergeCell ref="I67:J67"/>
    <mergeCell ref="B64:F64"/>
    <mergeCell ref="G64:H64"/>
    <mergeCell ref="I64:J64"/>
    <mergeCell ref="B65:F65"/>
    <mergeCell ref="G65:H65"/>
    <mergeCell ref="I65:J65"/>
    <mergeCell ref="B70:F70"/>
    <mergeCell ref="G70:H70"/>
    <mergeCell ref="I70:J70"/>
    <mergeCell ref="B71:F71"/>
    <mergeCell ref="G71:H71"/>
    <mergeCell ref="I71:J71"/>
    <mergeCell ref="B68:F68"/>
    <mergeCell ref="G68:H68"/>
    <mergeCell ref="I68:J68"/>
    <mergeCell ref="B69:F69"/>
    <mergeCell ref="G69:H69"/>
    <mergeCell ref="I69:J69"/>
    <mergeCell ref="B77:F77"/>
    <mergeCell ref="G77:J77"/>
    <mergeCell ref="B78:F78"/>
    <mergeCell ref="G78:J78"/>
    <mergeCell ref="B79:F79"/>
    <mergeCell ref="G79:J79"/>
    <mergeCell ref="A72:H72"/>
    <mergeCell ref="I72:J72"/>
    <mergeCell ref="A73:J73"/>
    <mergeCell ref="A74:J74"/>
    <mergeCell ref="A75:J75"/>
    <mergeCell ref="B76:F76"/>
    <mergeCell ref="G76:J76"/>
    <mergeCell ref="A85:F85"/>
    <mergeCell ref="G85:J85"/>
    <mergeCell ref="B86:F86"/>
    <mergeCell ref="G86:H86"/>
    <mergeCell ref="I86:J86"/>
    <mergeCell ref="B87:F87"/>
    <mergeCell ref="I87:J87"/>
    <mergeCell ref="A80:F80"/>
    <mergeCell ref="G80:J80"/>
    <mergeCell ref="A81:J81"/>
    <mergeCell ref="A82:J82"/>
    <mergeCell ref="A83:J83"/>
    <mergeCell ref="A84:F84"/>
    <mergeCell ref="G84:J84"/>
    <mergeCell ref="B91:F91"/>
    <mergeCell ref="G91:H91"/>
    <mergeCell ref="I91:J91"/>
    <mergeCell ref="B92:F92"/>
    <mergeCell ref="G92:H92"/>
    <mergeCell ref="I92:J92"/>
    <mergeCell ref="B88:F88"/>
    <mergeCell ref="G88:H88"/>
    <mergeCell ref="I88:J88"/>
    <mergeCell ref="B89:F89"/>
    <mergeCell ref="I89:J89"/>
    <mergeCell ref="B90:F90"/>
    <mergeCell ref="G90:H90"/>
    <mergeCell ref="I90:J90"/>
    <mergeCell ref="A97:J97"/>
    <mergeCell ref="A98:F98"/>
    <mergeCell ref="G98:J98"/>
    <mergeCell ref="B100:F100"/>
    <mergeCell ref="G100:H100"/>
    <mergeCell ref="I100:J100"/>
    <mergeCell ref="A93:F93"/>
    <mergeCell ref="G93:H93"/>
    <mergeCell ref="I93:J93"/>
    <mergeCell ref="A94:J94"/>
    <mergeCell ref="A95:J95"/>
    <mergeCell ref="B96:F96"/>
    <mergeCell ref="G96:H96"/>
    <mergeCell ref="I96:J96"/>
    <mergeCell ref="B103:F103"/>
    <mergeCell ref="G103:H103"/>
    <mergeCell ref="I103:J103"/>
    <mergeCell ref="B104:F104"/>
    <mergeCell ref="G104:H104"/>
    <mergeCell ref="I104:J104"/>
    <mergeCell ref="B101:F101"/>
    <mergeCell ref="G101:H101"/>
    <mergeCell ref="I101:J101"/>
    <mergeCell ref="B102:F102"/>
    <mergeCell ref="G102:H102"/>
    <mergeCell ref="I102:J102"/>
    <mergeCell ref="A107:F107"/>
    <mergeCell ref="G107:H107"/>
    <mergeCell ref="I107:J107"/>
    <mergeCell ref="B108:F108"/>
    <mergeCell ref="G108:H108"/>
    <mergeCell ref="I108:J108"/>
    <mergeCell ref="B105:F105"/>
    <mergeCell ref="G105:H105"/>
    <mergeCell ref="I105:J105"/>
    <mergeCell ref="B106:F106"/>
    <mergeCell ref="G106:H106"/>
    <mergeCell ref="I106:J106"/>
    <mergeCell ref="A111:F111"/>
    <mergeCell ref="G111:H111"/>
    <mergeCell ref="I111:J111"/>
    <mergeCell ref="B112:F112"/>
    <mergeCell ref="G112:H112"/>
    <mergeCell ref="I112:J112"/>
    <mergeCell ref="A109:F109"/>
    <mergeCell ref="G109:H109"/>
    <mergeCell ref="I109:J109"/>
    <mergeCell ref="B110:F110"/>
    <mergeCell ref="G110:H110"/>
    <mergeCell ref="I110:J110"/>
    <mergeCell ref="A117:F117"/>
    <mergeCell ref="G117:J117"/>
    <mergeCell ref="B118:F118"/>
    <mergeCell ref="G118:H118"/>
    <mergeCell ref="I118:J118"/>
    <mergeCell ref="A119:J119"/>
    <mergeCell ref="A113:J113"/>
    <mergeCell ref="A114:F114"/>
    <mergeCell ref="G114:J114"/>
    <mergeCell ref="B115:F115"/>
    <mergeCell ref="G115:J115"/>
    <mergeCell ref="B116:F116"/>
    <mergeCell ref="G116:J116"/>
    <mergeCell ref="B123:F123"/>
    <mergeCell ref="G123:J123"/>
    <mergeCell ref="A124:F124"/>
    <mergeCell ref="G124:J124"/>
    <mergeCell ref="B125:F125"/>
    <mergeCell ref="G125:H125"/>
    <mergeCell ref="I125:J125"/>
    <mergeCell ref="B120:F120"/>
    <mergeCell ref="G120:J120"/>
    <mergeCell ref="B121:F121"/>
    <mergeCell ref="G121:J121"/>
    <mergeCell ref="B122:F122"/>
    <mergeCell ref="G122:J122"/>
    <mergeCell ref="B129:F129"/>
    <mergeCell ref="G129:J129"/>
    <mergeCell ref="B130:F130"/>
    <mergeCell ref="G130:J130"/>
    <mergeCell ref="B131:F131"/>
    <mergeCell ref="G131:J131"/>
    <mergeCell ref="B126:F126"/>
    <mergeCell ref="G126:H126"/>
    <mergeCell ref="I126:J126"/>
    <mergeCell ref="A127:J127"/>
    <mergeCell ref="B128:F128"/>
    <mergeCell ref="G128:H128"/>
    <mergeCell ref="I128:J128"/>
    <mergeCell ref="A135:F135"/>
    <mergeCell ref="G135:J135"/>
    <mergeCell ref="A136:F136"/>
    <mergeCell ref="G136:J136"/>
    <mergeCell ref="A137:F137"/>
    <mergeCell ref="G137:J137"/>
    <mergeCell ref="A132:F132"/>
    <mergeCell ref="G132:J132"/>
    <mergeCell ref="B133:F133"/>
    <mergeCell ref="G133:H133"/>
    <mergeCell ref="I133:J133"/>
    <mergeCell ref="A134:J134"/>
    <mergeCell ref="B140:F140"/>
    <mergeCell ref="G140:H140"/>
    <mergeCell ref="I140:J140"/>
    <mergeCell ref="B141:F141"/>
    <mergeCell ref="G141:H141"/>
    <mergeCell ref="I141:J141"/>
    <mergeCell ref="B138:F138"/>
    <mergeCell ref="G138:H138"/>
    <mergeCell ref="I138:J138"/>
    <mergeCell ref="B139:F139"/>
    <mergeCell ref="G139:H139"/>
    <mergeCell ref="I139:J139"/>
    <mergeCell ref="B144:F144"/>
    <mergeCell ref="G144:H144"/>
    <mergeCell ref="I144:J144"/>
    <mergeCell ref="A145:F145"/>
    <mergeCell ref="G145:H145"/>
    <mergeCell ref="I145:J145"/>
    <mergeCell ref="B142:F142"/>
    <mergeCell ref="G142:H142"/>
    <mergeCell ref="I142:J142"/>
    <mergeCell ref="B143:F143"/>
    <mergeCell ref="G143:H143"/>
    <mergeCell ref="I143:J143"/>
    <mergeCell ref="B149:F149"/>
    <mergeCell ref="G149:J149"/>
    <mergeCell ref="B150:F150"/>
    <mergeCell ref="G150:J150"/>
    <mergeCell ref="B151:F151"/>
    <mergeCell ref="G151:J151"/>
    <mergeCell ref="B146:F146"/>
    <mergeCell ref="G146:H146"/>
    <mergeCell ref="I146:J146"/>
    <mergeCell ref="A147:J147"/>
    <mergeCell ref="B148:F148"/>
    <mergeCell ref="G148:H148"/>
    <mergeCell ref="I148:J148"/>
    <mergeCell ref="A155:F155"/>
    <mergeCell ref="G155:J155"/>
    <mergeCell ref="B156:F156"/>
    <mergeCell ref="G156:J156"/>
    <mergeCell ref="A157:F157"/>
    <mergeCell ref="G157:J157"/>
    <mergeCell ref="B152:F152"/>
    <mergeCell ref="G152:J152"/>
    <mergeCell ref="B153:F153"/>
    <mergeCell ref="G153:J153"/>
    <mergeCell ref="B154:F154"/>
    <mergeCell ref="G154:J154"/>
    <mergeCell ref="A162:B162"/>
    <mergeCell ref="C162:F162"/>
    <mergeCell ref="G162:H162"/>
    <mergeCell ref="I162:J162"/>
    <mergeCell ref="A158:F158"/>
    <mergeCell ref="G158:J158"/>
    <mergeCell ref="A160:J160"/>
    <mergeCell ref="A161:B161"/>
    <mergeCell ref="C161:F161"/>
    <mergeCell ref="G161:H161"/>
    <mergeCell ref="I161:J161"/>
  </mergeCells>
  <conditionalFormatting sqref="G157:J157">
    <cfRule type="cellIs" dxfId="5" priority="1" operator="greaterThan">
      <formula>4819.94013302003</formula>
    </cfRule>
  </conditionalFormatting>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7B0730-95B5-4A94-B529-D8EA04493008}">
  <sheetPr>
    <tabColor theme="9" tint="0.59999389629810485"/>
  </sheetPr>
  <dimension ref="A1:M166"/>
  <sheetViews>
    <sheetView topLeftCell="A145" workbookViewId="0">
      <selection activeCell="G175" sqref="G175"/>
    </sheetView>
  </sheetViews>
  <sheetFormatPr defaultRowHeight="14.5" x14ac:dyDescent="0.35"/>
  <cols>
    <col min="2" max="2" width="13.26953125" customWidth="1"/>
    <col min="3" max="3" width="13.36328125" customWidth="1"/>
    <col min="4" max="4" width="12.6328125" customWidth="1"/>
    <col min="5" max="5" width="13.36328125" customWidth="1"/>
    <col min="6" max="6" width="12.90625" customWidth="1"/>
    <col min="8" max="8" width="11.54296875" bestFit="1" customWidth="1"/>
    <col min="9" max="9" width="13" bestFit="1" customWidth="1"/>
    <col min="10" max="10" width="9.90625" bestFit="1" customWidth="1"/>
    <col min="13" max="13" width="19.453125" bestFit="1" customWidth="1"/>
  </cols>
  <sheetData>
    <row r="1" spans="1:10" x14ac:dyDescent="0.35">
      <c r="A1" s="287" t="s">
        <v>0</v>
      </c>
      <c r="B1" s="287"/>
      <c r="C1" s="287"/>
      <c r="D1" s="287"/>
      <c r="E1" s="287"/>
      <c r="F1" s="287"/>
      <c r="G1" s="287"/>
      <c r="H1" s="287"/>
      <c r="I1" s="287"/>
      <c r="J1" s="287"/>
    </row>
    <row r="2" spans="1:10" x14ac:dyDescent="0.35">
      <c r="A2" s="287" t="s">
        <v>1</v>
      </c>
      <c r="B2" s="287"/>
      <c r="C2" s="287"/>
      <c r="D2" s="287"/>
      <c r="E2" s="287"/>
      <c r="F2" s="287"/>
      <c r="G2" s="287"/>
      <c r="H2" s="287"/>
      <c r="I2" s="287"/>
      <c r="J2" s="287"/>
    </row>
    <row r="3" spans="1:10" x14ac:dyDescent="0.35">
      <c r="A3" s="158"/>
      <c r="B3" s="288"/>
      <c r="C3" s="288"/>
      <c r="D3" s="288"/>
      <c r="E3" s="288"/>
      <c r="F3" s="288"/>
      <c r="G3" s="288"/>
      <c r="H3" s="288"/>
      <c r="I3" s="288"/>
      <c r="J3" s="288"/>
    </row>
    <row r="4" spans="1:10" x14ac:dyDescent="0.35">
      <c r="A4" s="280" t="s">
        <v>209</v>
      </c>
      <c r="B4" s="280"/>
      <c r="C4" s="280"/>
      <c r="D4" s="280"/>
      <c r="E4" s="280"/>
      <c r="F4" s="280"/>
      <c r="G4" s="280"/>
      <c r="H4" s="280"/>
      <c r="I4" s="280"/>
      <c r="J4" s="280"/>
    </row>
    <row r="5" spans="1:10" x14ac:dyDescent="0.35">
      <c r="A5" s="280" t="s">
        <v>140</v>
      </c>
      <c r="B5" s="280"/>
      <c r="C5" s="280"/>
      <c r="D5" s="280"/>
      <c r="E5" s="280"/>
      <c r="F5" s="280"/>
      <c r="G5" s="280"/>
      <c r="H5" s="280"/>
      <c r="I5" s="280"/>
      <c r="J5" s="280"/>
    </row>
    <row r="6" spans="1:10" x14ac:dyDescent="0.35">
      <c r="A6" s="303"/>
      <c r="B6" s="303"/>
      <c r="C6" s="303"/>
      <c r="D6" s="303"/>
      <c r="E6" s="303"/>
      <c r="F6" s="303"/>
      <c r="G6" s="303"/>
      <c r="H6" s="303"/>
      <c r="I6" s="303"/>
      <c r="J6" s="303"/>
    </row>
    <row r="7" spans="1:10" x14ac:dyDescent="0.35">
      <c r="A7" s="287" t="s">
        <v>2</v>
      </c>
      <c r="B7" s="287"/>
      <c r="C7" s="287"/>
      <c r="D7" s="287"/>
      <c r="E7" s="287"/>
      <c r="F7" s="287"/>
      <c r="G7" s="287"/>
      <c r="H7" s="287"/>
      <c r="I7" s="287"/>
      <c r="J7" s="287"/>
    </row>
    <row r="8" spans="1:10" x14ac:dyDescent="0.35">
      <c r="A8" s="308"/>
      <c r="B8" s="308"/>
      <c r="C8" s="308"/>
      <c r="D8" s="308"/>
      <c r="E8" s="308"/>
      <c r="F8" s="308"/>
      <c r="G8" s="308"/>
      <c r="H8" s="308"/>
      <c r="I8" s="308"/>
      <c r="J8" s="308"/>
    </row>
    <row r="9" spans="1:10" x14ac:dyDescent="0.35">
      <c r="A9" s="159" t="s">
        <v>3</v>
      </c>
      <c r="B9" s="310" t="s">
        <v>4</v>
      </c>
      <c r="C9" s="310"/>
      <c r="D9" s="310"/>
      <c r="E9" s="310"/>
      <c r="F9" s="310"/>
      <c r="G9" s="311"/>
      <c r="H9" s="311"/>
      <c r="I9" s="311"/>
      <c r="J9" s="311"/>
    </row>
    <row r="10" spans="1:10" x14ac:dyDescent="0.35">
      <c r="A10" s="159" t="s">
        <v>5</v>
      </c>
      <c r="B10" s="310" t="s">
        <v>6</v>
      </c>
      <c r="C10" s="310"/>
      <c r="D10" s="310"/>
      <c r="E10" s="310"/>
      <c r="F10" s="310"/>
      <c r="G10" s="311" t="s">
        <v>218</v>
      </c>
      <c r="H10" s="311"/>
      <c r="I10" s="311"/>
      <c r="J10" s="311"/>
    </row>
    <row r="11" spans="1:10" x14ac:dyDescent="0.35">
      <c r="A11" s="159" t="s">
        <v>8</v>
      </c>
      <c r="B11" s="310" t="s">
        <v>9</v>
      </c>
      <c r="C11" s="310"/>
      <c r="D11" s="310"/>
      <c r="E11" s="310"/>
      <c r="F11" s="310"/>
      <c r="G11" s="297" t="s">
        <v>136</v>
      </c>
      <c r="H11" s="298"/>
      <c r="I11" s="298"/>
      <c r="J11" s="299"/>
    </row>
    <row r="12" spans="1:10" x14ac:dyDescent="0.35">
      <c r="A12" s="159" t="s">
        <v>10</v>
      </c>
      <c r="B12" s="310" t="s">
        <v>11</v>
      </c>
      <c r="C12" s="310"/>
      <c r="D12" s="310"/>
      <c r="E12" s="310"/>
      <c r="F12" s="310"/>
      <c r="G12" s="311" t="s">
        <v>12</v>
      </c>
      <c r="H12" s="311"/>
      <c r="I12" s="311"/>
      <c r="J12" s="311"/>
    </row>
    <row r="13" spans="1:10" x14ac:dyDescent="0.35">
      <c r="A13" s="308"/>
      <c r="B13" s="308"/>
      <c r="C13" s="308"/>
      <c r="D13" s="308"/>
      <c r="E13" s="308"/>
      <c r="F13" s="308"/>
      <c r="G13" s="308"/>
      <c r="H13" s="308"/>
      <c r="I13" s="308"/>
      <c r="J13" s="308"/>
    </row>
    <row r="14" spans="1:10" x14ac:dyDescent="0.35">
      <c r="A14" s="287" t="s">
        <v>13</v>
      </c>
      <c r="B14" s="287"/>
      <c r="C14" s="287"/>
      <c r="D14" s="287"/>
      <c r="E14" s="287"/>
      <c r="F14" s="287"/>
      <c r="G14" s="287"/>
      <c r="H14" s="287"/>
      <c r="I14" s="287"/>
      <c r="J14" s="287"/>
    </row>
    <row r="15" spans="1:10" x14ac:dyDescent="0.35">
      <c r="A15" s="308"/>
      <c r="B15" s="308"/>
      <c r="C15" s="308"/>
      <c r="D15" s="308"/>
      <c r="E15" s="308"/>
      <c r="F15" s="308"/>
      <c r="G15" s="308"/>
      <c r="H15" s="308"/>
      <c r="I15" s="308"/>
      <c r="J15" s="308"/>
    </row>
    <row r="16" spans="1:10" x14ac:dyDescent="0.35">
      <c r="A16" s="301" t="s">
        <v>14</v>
      </c>
      <c r="B16" s="301"/>
      <c r="C16" s="301"/>
      <c r="D16" s="311" t="s">
        <v>15</v>
      </c>
      <c r="E16" s="311"/>
      <c r="F16" s="311" t="s">
        <v>16</v>
      </c>
      <c r="G16" s="311"/>
      <c r="H16" s="311"/>
      <c r="I16" s="311"/>
      <c r="J16" s="311"/>
    </row>
    <row r="17" spans="1:10" x14ac:dyDescent="0.35">
      <c r="A17" s="304" t="s">
        <v>205</v>
      </c>
      <c r="B17" s="304"/>
      <c r="C17" s="304"/>
      <c r="D17" s="305" t="s">
        <v>18</v>
      </c>
      <c r="E17" s="306"/>
      <c r="F17" s="307">
        <v>1367.21</v>
      </c>
      <c r="G17" s="307"/>
      <c r="H17" s="307"/>
      <c r="I17" s="307"/>
      <c r="J17" s="307"/>
    </row>
    <row r="18" spans="1:10" x14ac:dyDescent="0.35">
      <c r="A18" s="308"/>
      <c r="B18" s="308"/>
      <c r="C18" s="308"/>
      <c r="D18" s="308"/>
      <c r="E18" s="308"/>
      <c r="F18" s="308"/>
      <c r="G18" s="308"/>
      <c r="H18" s="308"/>
      <c r="I18" s="308"/>
      <c r="J18" s="308"/>
    </row>
    <row r="19" spans="1:10" x14ac:dyDescent="0.35">
      <c r="A19" s="287" t="s">
        <v>19</v>
      </c>
      <c r="B19" s="287"/>
      <c r="C19" s="287"/>
      <c r="D19" s="287"/>
      <c r="E19" s="287"/>
      <c r="F19" s="287"/>
      <c r="G19" s="287"/>
      <c r="H19" s="287"/>
      <c r="I19" s="287"/>
      <c r="J19" s="287"/>
    </row>
    <row r="20" spans="1:10" x14ac:dyDescent="0.35">
      <c r="A20" s="158"/>
      <c r="B20" s="309"/>
      <c r="C20" s="309"/>
      <c r="D20" s="309"/>
      <c r="E20" s="309"/>
      <c r="F20" s="309"/>
      <c r="G20" s="309"/>
      <c r="H20" s="309"/>
      <c r="I20" s="309"/>
      <c r="J20" s="309"/>
    </row>
    <row r="21" spans="1:10" x14ac:dyDescent="0.35">
      <c r="A21" s="163" t="s">
        <v>20</v>
      </c>
      <c r="B21" s="300" t="s">
        <v>21</v>
      </c>
      <c r="C21" s="300"/>
      <c r="D21" s="300"/>
      <c r="E21" s="300"/>
      <c r="F21" s="300"/>
      <c r="G21" s="301" t="s">
        <v>29</v>
      </c>
      <c r="H21" s="301"/>
      <c r="I21" s="301"/>
      <c r="J21" s="301"/>
    </row>
    <row r="22" spans="1:10" x14ac:dyDescent="0.35">
      <c r="A22" s="163" t="s">
        <v>22</v>
      </c>
      <c r="B22" s="300" t="s">
        <v>23</v>
      </c>
      <c r="C22" s="300"/>
      <c r="D22" s="300"/>
      <c r="E22" s="300"/>
      <c r="F22" s="300"/>
      <c r="G22" s="301" t="s">
        <v>206</v>
      </c>
      <c r="H22" s="301"/>
      <c r="I22" s="301"/>
      <c r="J22" s="301"/>
    </row>
    <row r="23" spans="1:10" x14ac:dyDescent="0.35">
      <c r="A23" s="163" t="s">
        <v>25</v>
      </c>
      <c r="B23" s="300" t="s">
        <v>26</v>
      </c>
      <c r="C23" s="300"/>
      <c r="D23" s="300"/>
      <c r="E23" s="300"/>
      <c r="F23" s="300"/>
      <c r="G23" s="312">
        <v>1412.62</v>
      </c>
      <c r="H23" s="312"/>
      <c r="I23" s="312"/>
      <c r="J23" s="312"/>
    </row>
    <row r="24" spans="1:10" x14ac:dyDescent="0.35">
      <c r="A24" s="163" t="s">
        <v>27</v>
      </c>
      <c r="B24" s="300" t="s">
        <v>28</v>
      </c>
      <c r="C24" s="300"/>
      <c r="D24" s="300"/>
      <c r="E24" s="300"/>
      <c r="F24" s="300"/>
      <c r="G24" s="301" t="s">
        <v>207</v>
      </c>
      <c r="H24" s="301"/>
      <c r="I24" s="301"/>
      <c r="J24" s="301"/>
    </row>
    <row r="25" spans="1:10" x14ac:dyDescent="0.35">
      <c r="A25" s="163" t="s">
        <v>30</v>
      </c>
      <c r="B25" s="300" t="s">
        <v>31</v>
      </c>
      <c r="C25" s="300"/>
      <c r="D25" s="300"/>
      <c r="E25" s="300"/>
      <c r="F25" s="300"/>
      <c r="G25" s="302">
        <v>45292</v>
      </c>
      <c r="H25" s="302"/>
      <c r="I25" s="302"/>
      <c r="J25" s="302"/>
    </row>
    <row r="26" spans="1:10" x14ac:dyDescent="0.35">
      <c r="A26" s="319"/>
      <c r="B26" s="319"/>
      <c r="C26" s="319"/>
      <c r="D26" s="319"/>
      <c r="E26" s="319"/>
      <c r="F26" s="319"/>
      <c r="G26" s="319"/>
      <c r="H26" s="319"/>
      <c r="I26" s="319"/>
      <c r="J26" s="319"/>
    </row>
    <row r="27" spans="1:10" x14ac:dyDescent="0.35">
      <c r="A27" s="287" t="s">
        <v>32</v>
      </c>
      <c r="B27" s="287"/>
      <c r="C27" s="287"/>
      <c r="D27" s="287"/>
      <c r="E27" s="287"/>
      <c r="F27" s="287"/>
      <c r="G27" s="287"/>
      <c r="H27" s="287"/>
      <c r="I27" s="287"/>
      <c r="J27" s="287"/>
    </row>
    <row r="28" spans="1:10" x14ac:dyDescent="0.35">
      <c r="A28" s="158"/>
      <c r="B28" s="162"/>
      <c r="C28" s="162"/>
      <c r="D28" s="162"/>
      <c r="E28" s="162"/>
      <c r="F28" s="162"/>
      <c r="G28" s="162"/>
      <c r="H28" s="162"/>
      <c r="I28" s="162"/>
      <c r="J28" s="162"/>
    </row>
    <row r="29" spans="1:10" x14ac:dyDescent="0.35">
      <c r="A29" s="164">
        <v>1</v>
      </c>
      <c r="B29" s="322" t="s">
        <v>33</v>
      </c>
      <c r="C29" s="322"/>
      <c r="D29" s="322"/>
      <c r="E29" s="322"/>
      <c r="F29" s="322"/>
      <c r="G29" s="324" t="s">
        <v>34</v>
      </c>
      <c r="H29" s="324"/>
      <c r="I29" s="324"/>
      <c r="J29" s="324"/>
    </row>
    <row r="30" spans="1:10" x14ac:dyDescent="0.35">
      <c r="A30" s="14" t="s">
        <v>3</v>
      </c>
      <c r="B30" s="325" t="s">
        <v>35</v>
      </c>
      <c r="C30" s="325"/>
      <c r="D30" s="325"/>
      <c r="E30" s="325"/>
      <c r="F30" s="325"/>
      <c r="G30" s="321">
        <f>G23</f>
        <v>1412.62</v>
      </c>
      <c r="H30" s="321"/>
      <c r="I30" s="321"/>
      <c r="J30" s="321"/>
    </row>
    <row r="31" spans="1:10" x14ac:dyDescent="0.35">
      <c r="A31" s="14" t="s">
        <v>5</v>
      </c>
      <c r="B31" s="325" t="s">
        <v>36</v>
      </c>
      <c r="C31" s="325"/>
      <c r="D31" s="325"/>
      <c r="E31" s="325"/>
      <c r="F31" s="325"/>
      <c r="G31" s="321">
        <v>0</v>
      </c>
      <c r="H31" s="321"/>
      <c r="I31" s="321"/>
      <c r="J31" s="321"/>
    </row>
    <row r="32" spans="1:10" x14ac:dyDescent="0.35">
      <c r="A32" s="14" t="s">
        <v>8</v>
      </c>
      <c r="B32" s="313" t="s">
        <v>37</v>
      </c>
      <c r="C32" s="314"/>
      <c r="D32" s="314"/>
      <c r="E32" s="314"/>
      <c r="F32" s="315"/>
      <c r="G32" s="316">
        <f>1412*40%</f>
        <v>564.80000000000007</v>
      </c>
      <c r="H32" s="317"/>
      <c r="I32" s="317"/>
      <c r="J32" s="318"/>
    </row>
    <row r="33" spans="1:10" x14ac:dyDescent="0.35">
      <c r="A33" s="14" t="s">
        <v>10</v>
      </c>
      <c r="B33" s="320" t="s">
        <v>38</v>
      </c>
      <c r="C33" s="320"/>
      <c r="D33" s="320"/>
      <c r="E33" s="320"/>
      <c r="F33" s="320"/>
      <c r="G33" s="321">
        <v>0</v>
      </c>
      <c r="H33" s="321"/>
      <c r="I33" s="321"/>
      <c r="J33" s="321"/>
    </row>
    <row r="34" spans="1:10" x14ac:dyDescent="0.35">
      <c r="A34" s="322" t="s">
        <v>39</v>
      </c>
      <c r="B34" s="322"/>
      <c r="C34" s="322"/>
      <c r="D34" s="322"/>
      <c r="E34" s="322"/>
      <c r="F34" s="322"/>
      <c r="G34" s="323">
        <f>SUM(G30:J33)</f>
        <v>1977.42</v>
      </c>
      <c r="H34" s="323"/>
      <c r="I34" s="323"/>
      <c r="J34" s="323"/>
    </row>
    <row r="35" spans="1:10" x14ac:dyDescent="0.35">
      <c r="A35" s="158"/>
      <c r="B35" s="288"/>
      <c r="C35" s="288"/>
      <c r="D35" s="288"/>
      <c r="E35" s="288"/>
      <c r="F35" s="288"/>
      <c r="G35" s="288"/>
      <c r="H35" s="288"/>
      <c r="I35" s="288"/>
      <c r="J35" s="288"/>
    </row>
    <row r="36" spans="1:10" x14ac:dyDescent="0.35">
      <c r="A36" s="287" t="s">
        <v>40</v>
      </c>
      <c r="B36" s="287"/>
      <c r="C36" s="287"/>
      <c r="D36" s="287"/>
      <c r="E36" s="287"/>
      <c r="F36" s="287"/>
      <c r="G36" s="287"/>
      <c r="H36" s="287"/>
      <c r="I36" s="287"/>
      <c r="J36" s="287"/>
    </row>
    <row r="37" spans="1:10" x14ac:dyDescent="0.35">
      <c r="A37" s="158"/>
      <c r="B37" s="288"/>
      <c r="C37" s="288"/>
      <c r="D37" s="288"/>
      <c r="E37" s="288"/>
      <c r="F37" s="288"/>
      <c r="G37" s="288"/>
      <c r="H37" s="288"/>
      <c r="I37" s="288"/>
      <c r="J37" s="288"/>
    </row>
    <row r="38" spans="1:10" x14ac:dyDescent="0.35">
      <c r="A38" s="326" t="s">
        <v>41</v>
      </c>
      <c r="B38" s="326"/>
      <c r="C38" s="326"/>
      <c r="D38" s="326"/>
      <c r="E38" s="326"/>
      <c r="F38" s="326"/>
      <c r="G38" s="326"/>
      <c r="H38" s="326"/>
      <c r="I38" s="326"/>
      <c r="J38" s="326"/>
    </row>
    <row r="39" spans="1:10" x14ac:dyDescent="0.35">
      <c r="A39" s="327" t="s">
        <v>42</v>
      </c>
      <c r="B39" s="327"/>
      <c r="C39" s="327"/>
      <c r="D39" s="327"/>
      <c r="E39" s="327"/>
      <c r="F39" s="327"/>
      <c r="G39" s="328">
        <f>G34</f>
        <v>1977.42</v>
      </c>
      <c r="H39" s="328"/>
      <c r="I39" s="328"/>
      <c r="J39" s="328"/>
    </row>
    <row r="40" spans="1:10" x14ac:dyDescent="0.35">
      <c r="A40" s="158"/>
      <c r="B40" s="309"/>
      <c r="C40" s="309"/>
      <c r="D40" s="309"/>
      <c r="E40" s="309"/>
      <c r="F40" s="309"/>
      <c r="G40" s="309"/>
      <c r="H40" s="309"/>
      <c r="I40" s="309"/>
      <c r="J40" s="309"/>
    </row>
    <row r="41" spans="1:10" x14ac:dyDescent="0.35">
      <c r="A41" s="163" t="s">
        <v>43</v>
      </c>
      <c r="B41" s="311" t="s">
        <v>44</v>
      </c>
      <c r="C41" s="311"/>
      <c r="D41" s="311"/>
      <c r="E41" s="311"/>
      <c r="F41" s="311"/>
      <c r="G41" s="311" t="s">
        <v>45</v>
      </c>
      <c r="H41" s="311"/>
      <c r="I41" s="322" t="s">
        <v>34</v>
      </c>
      <c r="J41" s="322"/>
    </row>
    <row r="42" spans="1:10" x14ac:dyDescent="0.35">
      <c r="A42" s="160" t="s">
        <v>3</v>
      </c>
      <c r="B42" s="300" t="s">
        <v>46</v>
      </c>
      <c r="C42" s="300"/>
      <c r="D42" s="300"/>
      <c r="E42" s="300"/>
      <c r="F42" s="300"/>
      <c r="G42" s="331">
        <v>8.3299999999999999E-2</v>
      </c>
      <c r="H42" s="331"/>
      <c r="I42" s="330">
        <f>G39*G42</f>
        <v>164.719086</v>
      </c>
      <c r="J42" s="330"/>
    </row>
    <row r="43" spans="1:10" x14ac:dyDescent="0.35">
      <c r="A43" s="160" t="s">
        <v>5</v>
      </c>
      <c r="B43" s="300" t="s">
        <v>47</v>
      </c>
      <c r="C43" s="300"/>
      <c r="D43" s="300"/>
      <c r="E43" s="300"/>
      <c r="F43" s="300"/>
      <c r="G43" s="329">
        <v>2.7799999999999998E-2</v>
      </c>
      <c r="H43" s="329"/>
      <c r="I43" s="330">
        <f>G39*G43</f>
        <v>54.972276000000001</v>
      </c>
      <c r="J43" s="330"/>
    </row>
    <row r="44" spans="1:10" x14ac:dyDescent="0.35">
      <c r="A44" s="311" t="s">
        <v>39</v>
      </c>
      <c r="B44" s="311"/>
      <c r="C44" s="311"/>
      <c r="D44" s="311"/>
      <c r="E44" s="311"/>
      <c r="F44" s="311"/>
      <c r="G44" s="331">
        <f>SUM(G42:H43)</f>
        <v>0.1111</v>
      </c>
      <c r="H44" s="304"/>
      <c r="I44" s="332">
        <f>SUM(I42:J43)</f>
        <v>219.691362</v>
      </c>
      <c r="J44" s="332"/>
    </row>
    <row r="45" spans="1:10" x14ac:dyDescent="0.35">
      <c r="A45" s="288"/>
      <c r="B45" s="288"/>
      <c r="C45" s="288"/>
      <c r="D45" s="288"/>
      <c r="E45" s="288"/>
      <c r="F45" s="288"/>
      <c r="G45" s="288"/>
      <c r="H45" s="288"/>
      <c r="I45" s="288"/>
      <c r="J45" s="288"/>
    </row>
    <row r="46" spans="1:10" x14ac:dyDescent="0.35">
      <c r="A46" s="334" t="s">
        <v>48</v>
      </c>
      <c r="B46" s="334"/>
      <c r="C46" s="334"/>
      <c r="D46" s="334"/>
      <c r="E46" s="334"/>
      <c r="F46" s="334"/>
      <c r="G46" s="334"/>
      <c r="H46" s="334"/>
      <c r="I46" s="334"/>
      <c r="J46" s="334"/>
    </row>
    <row r="47" spans="1:10" x14ac:dyDescent="0.35">
      <c r="A47" s="335" t="s">
        <v>49</v>
      </c>
      <c r="B47" s="335"/>
      <c r="C47" s="335"/>
      <c r="D47" s="335"/>
      <c r="E47" s="335"/>
      <c r="F47" s="335"/>
      <c r="G47" s="336">
        <f>G34+I44</f>
        <v>2197.1113620000001</v>
      </c>
      <c r="H47" s="336"/>
      <c r="I47" s="336"/>
      <c r="J47" s="336"/>
    </row>
    <row r="48" spans="1:10" x14ac:dyDescent="0.35">
      <c r="A48" s="337"/>
      <c r="B48" s="337"/>
      <c r="C48" s="337"/>
      <c r="D48" s="337"/>
      <c r="E48" s="337"/>
      <c r="F48" s="337"/>
      <c r="G48" s="337"/>
      <c r="H48" s="337"/>
      <c r="I48" s="337"/>
      <c r="J48" s="337"/>
    </row>
    <row r="49" spans="1:10" x14ac:dyDescent="0.35">
      <c r="A49" s="165" t="s">
        <v>50</v>
      </c>
      <c r="B49" s="338" t="s">
        <v>51</v>
      </c>
      <c r="C49" s="338"/>
      <c r="D49" s="338"/>
      <c r="E49" s="338"/>
      <c r="F49" s="338"/>
      <c r="G49" s="339" t="s">
        <v>45</v>
      </c>
      <c r="H49" s="339"/>
      <c r="I49" s="340" t="s">
        <v>34</v>
      </c>
      <c r="J49" s="340"/>
    </row>
    <row r="50" spans="1:10" x14ac:dyDescent="0.35">
      <c r="A50" s="160" t="s">
        <v>3</v>
      </c>
      <c r="B50" s="300" t="s">
        <v>52</v>
      </c>
      <c r="C50" s="300"/>
      <c r="D50" s="300"/>
      <c r="E50" s="300"/>
      <c r="F50" s="300"/>
      <c r="G50" s="331">
        <v>0.2</v>
      </c>
      <c r="H50" s="331"/>
      <c r="I50" s="333">
        <f>G47*G50</f>
        <v>439.42227240000005</v>
      </c>
      <c r="J50" s="333"/>
    </row>
    <row r="51" spans="1:10" x14ac:dyDescent="0.35">
      <c r="A51" s="160" t="s">
        <v>5</v>
      </c>
      <c r="B51" s="300" t="s">
        <v>53</v>
      </c>
      <c r="C51" s="300"/>
      <c r="D51" s="300"/>
      <c r="E51" s="300"/>
      <c r="F51" s="300"/>
      <c r="G51" s="331">
        <v>2.5000000000000001E-2</v>
      </c>
      <c r="H51" s="331"/>
      <c r="I51" s="333">
        <f>G47*G51</f>
        <v>54.927784050000007</v>
      </c>
      <c r="J51" s="333"/>
    </row>
    <row r="52" spans="1:10" x14ac:dyDescent="0.35">
      <c r="A52" s="160" t="s">
        <v>8</v>
      </c>
      <c r="B52" s="341" t="s">
        <v>54</v>
      </c>
      <c r="C52" s="341"/>
      <c r="D52" s="341"/>
      <c r="E52" s="341"/>
      <c r="F52" s="341"/>
      <c r="G52" s="342">
        <v>0.03</v>
      </c>
      <c r="H52" s="343"/>
      <c r="I52" s="333">
        <f>G47*G52</f>
        <v>65.913340860000005</v>
      </c>
      <c r="J52" s="333"/>
    </row>
    <row r="53" spans="1:10" x14ac:dyDescent="0.35">
      <c r="A53" s="160" t="s">
        <v>10</v>
      </c>
      <c r="B53" s="300" t="s">
        <v>55</v>
      </c>
      <c r="C53" s="300"/>
      <c r="D53" s="300"/>
      <c r="E53" s="300"/>
      <c r="F53" s="300"/>
      <c r="G53" s="331">
        <v>1.4999999999999999E-2</v>
      </c>
      <c r="H53" s="331"/>
      <c r="I53" s="333">
        <f>G47*G53</f>
        <v>32.956670430000003</v>
      </c>
      <c r="J53" s="333"/>
    </row>
    <row r="54" spans="1:10" x14ac:dyDescent="0.35">
      <c r="A54" s="160" t="s">
        <v>56</v>
      </c>
      <c r="B54" s="300" t="s">
        <v>57</v>
      </c>
      <c r="C54" s="300"/>
      <c r="D54" s="300"/>
      <c r="E54" s="300"/>
      <c r="F54" s="300"/>
      <c r="G54" s="331">
        <v>0.01</v>
      </c>
      <c r="H54" s="331"/>
      <c r="I54" s="333">
        <f>G47*G54</f>
        <v>21.971113620000001</v>
      </c>
      <c r="J54" s="333"/>
    </row>
    <row r="55" spans="1:10" x14ac:dyDescent="0.35">
      <c r="A55" s="160" t="s">
        <v>58</v>
      </c>
      <c r="B55" s="300" t="s">
        <v>59</v>
      </c>
      <c r="C55" s="300"/>
      <c r="D55" s="300"/>
      <c r="E55" s="300"/>
      <c r="F55" s="300"/>
      <c r="G55" s="331">
        <v>6.0000000000000001E-3</v>
      </c>
      <c r="H55" s="331"/>
      <c r="I55" s="333">
        <f>G47*G55</f>
        <v>13.182668172000001</v>
      </c>
      <c r="J55" s="333"/>
    </row>
    <row r="56" spans="1:10" x14ac:dyDescent="0.35">
      <c r="A56" s="160" t="s">
        <v>60</v>
      </c>
      <c r="B56" s="300" t="s">
        <v>61</v>
      </c>
      <c r="C56" s="300"/>
      <c r="D56" s="300"/>
      <c r="E56" s="300"/>
      <c r="F56" s="300"/>
      <c r="G56" s="331">
        <v>2E-3</v>
      </c>
      <c r="H56" s="331"/>
      <c r="I56" s="333">
        <f>G47*G56</f>
        <v>4.3942227240000005</v>
      </c>
      <c r="J56" s="333"/>
    </row>
    <row r="57" spans="1:10" x14ac:dyDescent="0.35">
      <c r="A57" s="160" t="s">
        <v>62</v>
      </c>
      <c r="B57" s="300" t="s">
        <v>63</v>
      </c>
      <c r="C57" s="300"/>
      <c r="D57" s="300"/>
      <c r="E57" s="300"/>
      <c r="F57" s="300"/>
      <c r="G57" s="331">
        <v>0.08</v>
      </c>
      <c r="H57" s="331"/>
      <c r="I57" s="333">
        <f>G47*G57</f>
        <v>175.76890896</v>
      </c>
      <c r="J57" s="333"/>
    </row>
    <row r="58" spans="1:10" x14ac:dyDescent="0.35">
      <c r="A58" s="311" t="s">
        <v>64</v>
      </c>
      <c r="B58" s="311"/>
      <c r="C58" s="311"/>
      <c r="D58" s="311"/>
      <c r="E58" s="311"/>
      <c r="F58" s="311"/>
      <c r="G58" s="344">
        <f>SUM(G50:H57)</f>
        <v>0.36800000000000005</v>
      </c>
      <c r="H58" s="311"/>
      <c r="I58" s="345">
        <f>SUM(I50:J57)</f>
        <v>808.53698121600007</v>
      </c>
      <c r="J58" s="345"/>
    </row>
    <row r="59" spans="1:10" x14ac:dyDescent="0.35">
      <c r="A59" s="319"/>
      <c r="B59" s="319"/>
      <c r="C59" s="319"/>
      <c r="D59" s="319"/>
      <c r="E59" s="319"/>
      <c r="F59" s="319"/>
      <c r="G59" s="319"/>
      <c r="H59" s="319"/>
      <c r="I59" s="319"/>
      <c r="J59" s="319"/>
    </row>
    <row r="60" spans="1:10" x14ac:dyDescent="0.35">
      <c r="A60" s="326" t="s">
        <v>65</v>
      </c>
      <c r="B60" s="326"/>
      <c r="C60" s="326"/>
      <c r="D60" s="326"/>
      <c r="E60" s="326"/>
      <c r="F60" s="326"/>
      <c r="G60" s="326"/>
      <c r="H60" s="326"/>
      <c r="I60" s="326"/>
      <c r="J60" s="326"/>
    </row>
    <row r="61" spans="1:10" x14ac:dyDescent="0.35">
      <c r="A61" s="158"/>
      <c r="B61" s="309"/>
      <c r="C61" s="309"/>
      <c r="D61" s="309"/>
      <c r="E61" s="309"/>
      <c r="F61" s="309"/>
      <c r="G61" s="309"/>
      <c r="H61" s="309"/>
      <c r="I61" s="309"/>
      <c r="J61" s="309"/>
    </row>
    <row r="62" spans="1:10" x14ac:dyDescent="0.35">
      <c r="A62" s="167" t="s">
        <v>66</v>
      </c>
      <c r="B62" s="347" t="s">
        <v>67</v>
      </c>
      <c r="C62" s="347"/>
      <c r="D62" s="347"/>
      <c r="E62" s="347"/>
      <c r="F62" s="347"/>
      <c r="G62" s="295" t="s">
        <v>138</v>
      </c>
      <c r="H62" s="296"/>
      <c r="I62" s="353" t="s">
        <v>34</v>
      </c>
      <c r="J62" s="354"/>
    </row>
    <row r="63" spans="1:10" x14ac:dyDescent="0.35">
      <c r="A63" s="22" t="s">
        <v>3</v>
      </c>
      <c r="B63" s="346" t="s">
        <v>68</v>
      </c>
      <c r="C63" s="346"/>
      <c r="D63" s="346"/>
      <c r="E63" s="346"/>
      <c r="F63" s="346"/>
      <c r="G63" s="291">
        <v>0.06</v>
      </c>
      <c r="H63" s="292"/>
      <c r="I63" s="281">
        <f>(2*4.5*21.25)-(G63*G30)</f>
        <v>106.49280000000002</v>
      </c>
      <c r="J63" s="283"/>
    </row>
    <row r="64" spans="1:10" x14ac:dyDescent="0.35">
      <c r="A64" s="22" t="s">
        <v>5</v>
      </c>
      <c r="B64" s="346" t="s">
        <v>69</v>
      </c>
      <c r="C64" s="346"/>
      <c r="D64" s="346"/>
      <c r="E64" s="346"/>
      <c r="F64" s="346"/>
      <c r="G64" s="291">
        <v>3.5000000000000003E-2</v>
      </c>
      <c r="H64" s="292"/>
      <c r="I64" s="352">
        <f>(20*22)-(20*22*G64)</f>
        <v>424.6</v>
      </c>
      <c r="J64" s="352"/>
    </row>
    <row r="65" spans="1:10" x14ac:dyDescent="0.35">
      <c r="A65" s="22" t="s">
        <v>8</v>
      </c>
      <c r="B65" s="346" t="s">
        <v>70</v>
      </c>
      <c r="C65" s="346"/>
      <c r="D65" s="346"/>
      <c r="E65" s="346"/>
      <c r="F65" s="346"/>
      <c r="G65" s="289" t="s">
        <v>139</v>
      </c>
      <c r="H65" s="290"/>
      <c r="I65" s="352">
        <v>99.84</v>
      </c>
      <c r="J65" s="352"/>
    </row>
    <row r="66" spans="1:10" x14ac:dyDescent="0.35">
      <c r="A66" s="22" t="s">
        <v>10</v>
      </c>
      <c r="B66" s="346" t="s">
        <v>71</v>
      </c>
      <c r="C66" s="346"/>
      <c r="D66" s="346"/>
      <c r="E66" s="346"/>
      <c r="F66" s="346"/>
      <c r="G66" s="289" t="s">
        <v>139</v>
      </c>
      <c r="H66" s="290"/>
      <c r="I66" s="352">
        <v>5</v>
      </c>
      <c r="J66" s="352"/>
    </row>
    <row r="67" spans="1:10" x14ac:dyDescent="0.35">
      <c r="A67" s="22" t="s">
        <v>56</v>
      </c>
      <c r="B67" s="346" t="s">
        <v>72</v>
      </c>
      <c r="C67" s="346"/>
      <c r="D67" s="346"/>
      <c r="E67" s="346"/>
      <c r="F67" s="346"/>
      <c r="G67" s="289" t="s">
        <v>139</v>
      </c>
      <c r="H67" s="290"/>
      <c r="I67" s="352">
        <v>10</v>
      </c>
      <c r="J67" s="352"/>
    </row>
    <row r="68" spans="1:10" x14ac:dyDescent="0.35">
      <c r="A68" s="22" t="s">
        <v>58</v>
      </c>
      <c r="B68" s="346" t="s">
        <v>73</v>
      </c>
      <c r="C68" s="346"/>
      <c r="D68" s="346"/>
      <c r="E68" s="346"/>
      <c r="F68" s="346"/>
      <c r="G68" s="289" t="s">
        <v>139</v>
      </c>
      <c r="H68" s="290"/>
      <c r="I68" s="352">
        <v>8</v>
      </c>
      <c r="J68" s="352"/>
    </row>
    <row r="69" spans="1:10" x14ac:dyDescent="0.35">
      <c r="A69" s="22" t="s">
        <v>60</v>
      </c>
      <c r="B69" s="349" t="s">
        <v>74</v>
      </c>
      <c r="C69" s="350"/>
      <c r="D69" s="350"/>
      <c r="E69" s="350"/>
      <c r="F69" s="351"/>
      <c r="G69" s="293">
        <v>2.6069999999999999E-2</v>
      </c>
      <c r="H69" s="294"/>
      <c r="I69" s="352">
        <f xml:space="preserve"> (282.5*4*G69)/24</f>
        <v>1.2274624999999999</v>
      </c>
      <c r="J69" s="352"/>
    </row>
    <row r="70" spans="1:10" x14ac:dyDescent="0.35">
      <c r="A70" s="22" t="s">
        <v>62</v>
      </c>
      <c r="B70" s="349" t="s">
        <v>75</v>
      </c>
      <c r="C70" s="350"/>
      <c r="D70" s="350"/>
      <c r="E70" s="350"/>
      <c r="F70" s="351"/>
      <c r="G70" s="291">
        <v>1.0416E-2</v>
      </c>
      <c r="H70" s="292"/>
      <c r="I70" s="352">
        <f>((1412.62)*G70)/24</f>
        <v>0.61307707999999994</v>
      </c>
      <c r="J70" s="352"/>
    </row>
    <row r="71" spans="1:10" x14ac:dyDescent="0.35">
      <c r="A71" s="22" t="s">
        <v>20</v>
      </c>
      <c r="B71" s="300" t="s">
        <v>38</v>
      </c>
      <c r="C71" s="300"/>
      <c r="D71" s="300"/>
      <c r="E71" s="300"/>
      <c r="F71" s="300"/>
      <c r="G71" s="289" t="s">
        <v>139</v>
      </c>
      <c r="H71" s="290"/>
      <c r="I71" s="321">
        <v>0</v>
      </c>
      <c r="J71" s="321"/>
    </row>
    <row r="72" spans="1:10" x14ac:dyDescent="0.35">
      <c r="A72" s="355" t="s">
        <v>39</v>
      </c>
      <c r="B72" s="356"/>
      <c r="C72" s="356"/>
      <c r="D72" s="356"/>
      <c r="E72" s="356"/>
      <c r="F72" s="356"/>
      <c r="G72" s="356"/>
      <c r="H72" s="357"/>
      <c r="I72" s="323">
        <f>SUM(I63:J71)</f>
        <v>655.77333958000008</v>
      </c>
      <c r="J72" s="323"/>
    </row>
    <row r="73" spans="1:10" x14ac:dyDescent="0.35">
      <c r="A73" s="348"/>
      <c r="B73" s="348"/>
      <c r="C73" s="348"/>
      <c r="D73" s="348"/>
      <c r="E73" s="348"/>
      <c r="F73" s="348"/>
      <c r="G73" s="348"/>
      <c r="H73" s="348"/>
      <c r="I73" s="348"/>
      <c r="J73" s="348"/>
    </row>
    <row r="74" spans="1:10" x14ac:dyDescent="0.35">
      <c r="A74" s="326" t="s">
        <v>76</v>
      </c>
      <c r="B74" s="326"/>
      <c r="C74" s="326"/>
      <c r="D74" s="326"/>
      <c r="E74" s="326"/>
      <c r="F74" s="326"/>
      <c r="G74" s="326"/>
      <c r="H74" s="326"/>
      <c r="I74" s="326"/>
      <c r="J74" s="326"/>
    </row>
    <row r="75" spans="1:10" x14ac:dyDescent="0.35">
      <c r="A75" s="358"/>
      <c r="B75" s="358"/>
      <c r="C75" s="358"/>
      <c r="D75" s="358"/>
      <c r="E75" s="358"/>
      <c r="F75" s="358"/>
      <c r="G75" s="358"/>
      <c r="H75" s="358"/>
      <c r="I75" s="358"/>
      <c r="J75" s="358"/>
    </row>
    <row r="76" spans="1:10" x14ac:dyDescent="0.35">
      <c r="A76" s="163">
        <v>2</v>
      </c>
      <c r="B76" s="311" t="s">
        <v>77</v>
      </c>
      <c r="C76" s="311"/>
      <c r="D76" s="311"/>
      <c r="E76" s="311"/>
      <c r="F76" s="311"/>
      <c r="G76" s="311" t="s">
        <v>34</v>
      </c>
      <c r="H76" s="311"/>
      <c r="I76" s="311"/>
      <c r="J76" s="311"/>
    </row>
    <row r="77" spans="1:10" x14ac:dyDescent="0.35">
      <c r="A77" s="160" t="s">
        <v>43</v>
      </c>
      <c r="B77" s="300" t="s">
        <v>44</v>
      </c>
      <c r="C77" s="300"/>
      <c r="D77" s="300"/>
      <c r="E77" s="300"/>
      <c r="F77" s="300"/>
      <c r="G77" s="321">
        <f>I44</f>
        <v>219.691362</v>
      </c>
      <c r="H77" s="321"/>
      <c r="I77" s="321"/>
      <c r="J77" s="321"/>
    </row>
    <row r="78" spans="1:10" x14ac:dyDescent="0.35">
      <c r="A78" s="160" t="s">
        <v>50</v>
      </c>
      <c r="B78" s="300" t="s">
        <v>51</v>
      </c>
      <c r="C78" s="300"/>
      <c r="D78" s="300"/>
      <c r="E78" s="300"/>
      <c r="F78" s="300"/>
      <c r="G78" s="321">
        <f>I58</f>
        <v>808.53698121600007</v>
      </c>
      <c r="H78" s="321"/>
      <c r="I78" s="321"/>
      <c r="J78" s="321"/>
    </row>
    <row r="79" spans="1:10" x14ac:dyDescent="0.35">
      <c r="A79" s="160" t="s">
        <v>66</v>
      </c>
      <c r="B79" s="300" t="s">
        <v>67</v>
      </c>
      <c r="C79" s="300"/>
      <c r="D79" s="300"/>
      <c r="E79" s="300"/>
      <c r="F79" s="300"/>
      <c r="G79" s="321">
        <f>I72</f>
        <v>655.77333958000008</v>
      </c>
      <c r="H79" s="321"/>
      <c r="I79" s="321"/>
      <c r="J79" s="321"/>
    </row>
    <row r="80" spans="1:10" x14ac:dyDescent="0.35">
      <c r="A80" s="311" t="s">
        <v>39</v>
      </c>
      <c r="B80" s="311"/>
      <c r="C80" s="311"/>
      <c r="D80" s="311"/>
      <c r="E80" s="311"/>
      <c r="F80" s="311"/>
      <c r="G80" s="323">
        <f>SUM(G77:J79)</f>
        <v>1684.0016827960001</v>
      </c>
      <c r="H80" s="323"/>
      <c r="I80" s="323"/>
      <c r="J80" s="323"/>
    </row>
    <row r="81" spans="1:10" x14ac:dyDescent="0.35">
      <c r="A81" s="319"/>
      <c r="B81" s="319"/>
      <c r="C81" s="319"/>
      <c r="D81" s="319"/>
      <c r="E81" s="319"/>
      <c r="F81" s="319"/>
      <c r="G81" s="319"/>
      <c r="H81" s="319"/>
      <c r="I81" s="319"/>
      <c r="J81" s="319"/>
    </row>
    <row r="82" spans="1:10" x14ac:dyDescent="0.35">
      <c r="A82" s="303"/>
      <c r="B82" s="303"/>
      <c r="C82" s="303"/>
      <c r="D82" s="303"/>
      <c r="E82" s="303"/>
      <c r="F82" s="303"/>
      <c r="G82" s="303"/>
      <c r="H82" s="303"/>
      <c r="I82" s="303"/>
      <c r="J82" s="303"/>
    </row>
    <row r="83" spans="1:10" x14ac:dyDescent="0.35">
      <c r="A83" s="287" t="s">
        <v>78</v>
      </c>
      <c r="B83" s="287"/>
      <c r="C83" s="287"/>
      <c r="D83" s="287"/>
      <c r="E83" s="287"/>
      <c r="F83" s="287"/>
      <c r="G83" s="287"/>
      <c r="H83" s="287"/>
      <c r="I83" s="287"/>
      <c r="J83" s="287"/>
    </row>
    <row r="84" spans="1:10" x14ac:dyDescent="0.35">
      <c r="A84" s="361" t="s">
        <v>79</v>
      </c>
      <c r="B84" s="361"/>
      <c r="C84" s="361"/>
      <c r="D84" s="361"/>
      <c r="E84" s="361"/>
      <c r="F84" s="361"/>
      <c r="G84" s="362">
        <f>G34</f>
        <v>1977.42</v>
      </c>
      <c r="H84" s="362"/>
      <c r="I84" s="362"/>
      <c r="J84" s="362"/>
    </row>
    <row r="85" spans="1:10" x14ac:dyDescent="0.35">
      <c r="A85" s="363"/>
      <c r="B85" s="363"/>
      <c r="C85" s="363"/>
      <c r="D85" s="363"/>
      <c r="E85" s="363"/>
      <c r="F85" s="363"/>
      <c r="G85" s="309"/>
      <c r="H85" s="309"/>
      <c r="I85" s="309"/>
      <c r="J85" s="309"/>
    </row>
    <row r="86" spans="1:10" x14ac:dyDescent="0.35">
      <c r="A86" s="164">
        <v>3</v>
      </c>
      <c r="B86" s="322" t="s">
        <v>80</v>
      </c>
      <c r="C86" s="322"/>
      <c r="D86" s="322"/>
      <c r="E86" s="322"/>
      <c r="F86" s="322"/>
      <c r="G86" s="364" t="s">
        <v>45</v>
      </c>
      <c r="H86" s="364"/>
      <c r="I86" s="322" t="s">
        <v>34</v>
      </c>
      <c r="J86" s="322"/>
    </row>
    <row r="87" spans="1:10" x14ac:dyDescent="0.35">
      <c r="A87" s="14" t="s">
        <v>3</v>
      </c>
      <c r="B87" s="359" t="s">
        <v>81</v>
      </c>
      <c r="C87" s="359"/>
      <c r="D87" s="359"/>
      <c r="E87" s="359"/>
      <c r="F87" s="359"/>
      <c r="G87" s="30">
        <v>0.05</v>
      </c>
      <c r="H87" s="24">
        <f>(1/12)*G87</f>
        <v>4.1666666666666666E-3</v>
      </c>
      <c r="I87" s="333">
        <f>G84*H87</f>
        <v>8.2392500000000002</v>
      </c>
      <c r="J87" s="333"/>
    </row>
    <row r="88" spans="1:10" x14ac:dyDescent="0.35">
      <c r="A88" s="14" t="s">
        <v>5</v>
      </c>
      <c r="B88" s="359" t="s">
        <v>82</v>
      </c>
      <c r="C88" s="359"/>
      <c r="D88" s="359"/>
      <c r="E88" s="359"/>
      <c r="F88" s="359"/>
      <c r="G88" s="329">
        <f>H87*0.08</f>
        <v>3.3333333333333332E-4</v>
      </c>
      <c r="H88" s="329"/>
      <c r="I88" s="360">
        <f>G84*G88</f>
        <v>0.65913999999999995</v>
      </c>
      <c r="J88" s="360"/>
    </row>
    <row r="89" spans="1:10" x14ac:dyDescent="0.35">
      <c r="A89" s="14" t="s">
        <v>8</v>
      </c>
      <c r="B89" s="359" t="s">
        <v>203</v>
      </c>
      <c r="C89" s="359"/>
      <c r="D89" s="359"/>
      <c r="E89" s="359"/>
      <c r="F89" s="359"/>
      <c r="G89" s="30">
        <v>0.9</v>
      </c>
      <c r="H89" s="24">
        <f>(1+2/12+(1/3*1/12))*0.08*0.4*G89</f>
        <v>3.4400000000000007E-2</v>
      </c>
      <c r="I89" s="365">
        <f>G84*H89</f>
        <v>68.023248000000009</v>
      </c>
      <c r="J89" s="366"/>
    </row>
    <row r="90" spans="1:10" x14ac:dyDescent="0.35">
      <c r="A90" s="14" t="s">
        <v>10</v>
      </c>
      <c r="B90" s="359" t="s">
        <v>83</v>
      </c>
      <c r="C90" s="359"/>
      <c r="D90" s="359"/>
      <c r="E90" s="359"/>
      <c r="F90" s="359"/>
      <c r="G90" s="329">
        <f>((7/30) + (7/30*0.1))/ 24</f>
        <v>1.0694444444444444E-2</v>
      </c>
      <c r="H90" s="329"/>
      <c r="I90" s="365">
        <f>G84*G90</f>
        <v>21.147408333333335</v>
      </c>
      <c r="J90" s="366"/>
    </row>
    <row r="91" spans="1:10" x14ac:dyDescent="0.35">
      <c r="A91" s="14" t="s">
        <v>56</v>
      </c>
      <c r="B91" s="359" t="s">
        <v>84</v>
      </c>
      <c r="C91" s="359"/>
      <c r="D91" s="359"/>
      <c r="E91" s="359"/>
      <c r="F91" s="359"/>
      <c r="G91" s="329">
        <f>G90*G58</f>
        <v>3.9355555555555559E-3</v>
      </c>
      <c r="H91" s="329"/>
      <c r="I91" s="365">
        <f>G84*G91</f>
        <v>7.7822462666666672</v>
      </c>
      <c r="J91" s="366"/>
    </row>
    <row r="92" spans="1:10" x14ac:dyDescent="0.35">
      <c r="A92" s="14" t="s">
        <v>58</v>
      </c>
      <c r="B92" s="359" t="s">
        <v>204</v>
      </c>
      <c r="C92" s="359"/>
      <c r="D92" s="359"/>
      <c r="E92" s="359"/>
      <c r="F92" s="359"/>
      <c r="G92" s="367">
        <f>G90*0.08*0.4</f>
        <v>3.4222222222222228E-4</v>
      </c>
      <c r="H92" s="367"/>
      <c r="I92" s="368">
        <f>G84*G92</f>
        <v>0.67671706666666676</v>
      </c>
      <c r="J92" s="369"/>
    </row>
    <row r="93" spans="1:10" x14ac:dyDescent="0.35">
      <c r="A93" s="322" t="s">
        <v>39</v>
      </c>
      <c r="B93" s="322"/>
      <c r="C93" s="322"/>
      <c r="D93" s="322"/>
      <c r="E93" s="322"/>
      <c r="F93" s="322"/>
      <c r="G93" s="372">
        <f>SUM(H87,G88,H89,G90,G91,G92)</f>
        <v>5.3872222222222224E-2</v>
      </c>
      <c r="H93" s="372"/>
      <c r="I93" s="345">
        <f>SUM(I87:J92)</f>
        <v>106.52800966666668</v>
      </c>
      <c r="J93" s="345"/>
    </row>
    <row r="94" spans="1:10" x14ac:dyDescent="0.35">
      <c r="A94" s="373"/>
      <c r="B94" s="373"/>
      <c r="C94" s="373"/>
      <c r="D94" s="373"/>
      <c r="E94" s="373"/>
      <c r="F94" s="373"/>
      <c r="G94" s="373"/>
      <c r="H94" s="373"/>
      <c r="I94" s="373"/>
      <c r="J94" s="373"/>
    </row>
    <row r="95" spans="1:10" x14ac:dyDescent="0.35">
      <c r="A95" s="287" t="s">
        <v>85</v>
      </c>
      <c r="B95" s="287"/>
      <c r="C95" s="287"/>
      <c r="D95" s="287"/>
      <c r="E95" s="287"/>
      <c r="F95" s="287"/>
      <c r="G95" s="287"/>
      <c r="H95" s="287"/>
      <c r="I95" s="287"/>
      <c r="J95" s="287"/>
    </row>
    <row r="96" spans="1:10" x14ac:dyDescent="0.35">
      <c r="A96" s="158"/>
      <c r="B96" s="288"/>
      <c r="C96" s="288"/>
      <c r="D96" s="288"/>
      <c r="E96" s="288"/>
      <c r="F96" s="288"/>
      <c r="G96" s="288"/>
      <c r="H96" s="288"/>
      <c r="I96" s="288"/>
      <c r="J96" s="288"/>
    </row>
    <row r="97" spans="1:10" x14ac:dyDescent="0.35">
      <c r="A97" s="326" t="s">
        <v>86</v>
      </c>
      <c r="B97" s="326"/>
      <c r="C97" s="326"/>
      <c r="D97" s="326"/>
      <c r="E97" s="326"/>
      <c r="F97" s="326"/>
      <c r="G97" s="326"/>
      <c r="H97" s="326"/>
      <c r="I97" s="326"/>
      <c r="J97" s="326"/>
    </row>
    <row r="98" spans="1:10" x14ac:dyDescent="0.35">
      <c r="A98" s="361" t="s">
        <v>87</v>
      </c>
      <c r="B98" s="361"/>
      <c r="C98" s="361"/>
      <c r="D98" s="361"/>
      <c r="E98" s="361"/>
      <c r="F98" s="361"/>
      <c r="G98" s="370">
        <f>G34</f>
        <v>1977.42</v>
      </c>
      <c r="H98" s="371"/>
      <c r="I98" s="371"/>
      <c r="J98" s="371"/>
    </row>
    <row r="99" spans="1:10" x14ac:dyDescent="0.35">
      <c r="A99" s="16"/>
      <c r="B99" s="16"/>
      <c r="C99" s="16"/>
      <c r="D99" s="16"/>
      <c r="E99" s="16"/>
      <c r="F99" s="16"/>
      <c r="G99" s="161"/>
      <c r="H99" s="161"/>
      <c r="I99" s="161"/>
      <c r="J99" s="161"/>
    </row>
    <row r="100" spans="1:10" x14ac:dyDescent="0.35">
      <c r="A100" s="166" t="s">
        <v>88</v>
      </c>
      <c r="B100" s="339" t="s">
        <v>89</v>
      </c>
      <c r="C100" s="339"/>
      <c r="D100" s="339"/>
      <c r="E100" s="339"/>
      <c r="F100" s="339"/>
      <c r="G100" s="322" t="s">
        <v>90</v>
      </c>
      <c r="H100" s="322"/>
      <c r="I100" s="311" t="s">
        <v>34</v>
      </c>
      <c r="J100" s="311"/>
    </row>
    <row r="101" spans="1:10" x14ac:dyDescent="0.35">
      <c r="A101" s="160" t="s">
        <v>3</v>
      </c>
      <c r="B101" s="300" t="s">
        <v>91</v>
      </c>
      <c r="C101" s="300"/>
      <c r="D101" s="300"/>
      <c r="E101" s="300"/>
      <c r="F101" s="300"/>
      <c r="G101" s="329">
        <f>1/12</f>
        <v>8.3333333333333329E-2</v>
      </c>
      <c r="H101" s="329"/>
      <c r="I101" s="321">
        <f>G101*G98</f>
        <v>164.785</v>
      </c>
      <c r="J101" s="321"/>
    </row>
    <row r="102" spans="1:10" x14ac:dyDescent="0.35">
      <c r="A102" s="14" t="s">
        <v>5</v>
      </c>
      <c r="B102" s="325" t="s">
        <v>92</v>
      </c>
      <c r="C102" s="325"/>
      <c r="D102" s="325"/>
      <c r="E102" s="325"/>
      <c r="F102" s="325"/>
      <c r="G102" s="374">
        <f>(1/30)/12</f>
        <v>2.7777777777777779E-3</v>
      </c>
      <c r="H102" s="374"/>
      <c r="I102" s="321">
        <f>G98*G102</f>
        <v>5.4928333333333335</v>
      </c>
      <c r="J102" s="321"/>
    </row>
    <row r="103" spans="1:10" x14ac:dyDescent="0.35">
      <c r="A103" s="14" t="s">
        <v>8</v>
      </c>
      <c r="B103" s="325" t="s">
        <v>93</v>
      </c>
      <c r="C103" s="325"/>
      <c r="D103" s="325"/>
      <c r="E103" s="325"/>
      <c r="F103" s="325"/>
      <c r="G103" s="374">
        <f>(5/30)/12*0.015</f>
        <v>2.0833333333333332E-4</v>
      </c>
      <c r="H103" s="374"/>
      <c r="I103" s="321">
        <f>G98*G103</f>
        <v>0.41196250000000001</v>
      </c>
      <c r="J103" s="321"/>
    </row>
    <row r="104" spans="1:10" x14ac:dyDescent="0.35">
      <c r="A104" s="14" t="s">
        <v>10</v>
      </c>
      <c r="B104" s="325" t="s">
        <v>94</v>
      </c>
      <c r="C104" s="325"/>
      <c r="D104" s="325"/>
      <c r="E104" s="325"/>
      <c r="F104" s="325"/>
      <c r="G104" s="374">
        <f>1/12*0.0078</f>
        <v>6.4999999999999997E-4</v>
      </c>
      <c r="H104" s="374"/>
      <c r="I104" s="321">
        <f>G98*G104</f>
        <v>1.285323</v>
      </c>
      <c r="J104" s="321"/>
    </row>
    <row r="105" spans="1:10" x14ac:dyDescent="0.35">
      <c r="A105" s="14" t="s">
        <v>56</v>
      </c>
      <c r="B105" s="325" t="s">
        <v>95</v>
      </c>
      <c r="C105" s="325"/>
      <c r="D105" s="325"/>
      <c r="E105" s="325"/>
      <c r="F105" s="325"/>
      <c r="G105" s="374">
        <f>((1/12)+(1/3*1/12))*0.02607*6/12</f>
        <v>1.4483333333333334E-3</v>
      </c>
      <c r="H105" s="374"/>
      <c r="I105" s="321">
        <f>G98*G105</f>
        <v>2.8639633</v>
      </c>
      <c r="J105" s="321"/>
    </row>
    <row r="106" spans="1:10" x14ac:dyDescent="0.35">
      <c r="A106" s="14" t="s">
        <v>58</v>
      </c>
      <c r="B106" s="325" t="s">
        <v>96</v>
      </c>
      <c r="C106" s="325"/>
      <c r="D106" s="325"/>
      <c r="E106" s="325"/>
      <c r="F106" s="325"/>
      <c r="G106" s="374">
        <f>(5/30/12)</f>
        <v>1.3888888888888888E-2</v>
      </c>
      <c r="H106" s="374"/>
      <c r="I106" s="321">
        <f>G98*G106</f>
        <v>27.464166666666667</v>
      </c>
      <c r="J106" s="321"/>
    </row>
    <row r="107" spans="1:10" x14ac:dyDescent="0.35">
      <c r="A107" s="375" t="s">
        <v>97</v>
      </c>
      <c r="B107" s="375"/>
      <c r="C107" s="375"/>
      <c r="D107" s="375"/>
      <c r="E107" s="375"/>
      <c r="F107" s="375"/>
      <c r="G107" s="376">
        <f>SUM(G101:H106)</f>
        <v>0.10230666666666666</v>
      </c>
      <c r="H107" s="376"/>
      <c r="I107" s="377">
        <f>SUM(I101:J106)</f>
        <v>202.30324879999998</v>
      </c>
      <c r="J107" s="377"/>
    </row>
    <row r="108" spans="1:10" x14ac:dyDescent="0.35">
      <c r="A108" s="172" t="s">
        <v>60</v>
      </c>
      <c r="B108" s="378" t="s">
        <v>98</v>
      </c>
      <c r="C108" s="378"/>
      <c r="D108" s="378"/>
      <c r="E108" s="378"/>
      <c r="F108" s="379"/>
      <c r="G108" s="380">
        <f>(G107-G105)*(2/12+(1/3*1/12))</f>
        <v>1.961134259259259E-2</v>
      </c>
      <c r="H108" s="379"/>
      <c r="I108" s="381">
        <f>G98*G108</f>
        <v>38.779861069444443</v>
      </c>
      <c r="J108" s="382"/>
    </row>
    <row r="109" spans="1:10" x14ac:dyDescent="0.35">
      <c r="A109" s="388" t="s">
        <v>99</v>
      </c>
      <c r="B109" s="389"/>
      <c r="C109" s="389"/>
      <c r="D109" s="389"/>
      <c r="E109" s="389"/>
      <c r="F109" s="390"/>
      <c r="G109" s="391">
        <f>SUM(G107:H108)</f>
        <v>0.12191800925925925</v>
      </c>
      <c r="H109" s="392"/>
      <c r="I109" s="393">
        <f>SUM(I107:J108)</f>
        <v>241.08310986944443</v>
      </c>
      <c r="J109" s="394"/>
    </row>
    <row r="110" spans="1:10" x14ac:dyDescent="0.35">
      <c r="A110" s="172" t="s">
        <v>62</v>
      </c>
      <c r="B110" s="395" t="s">
        <v>100</v>
      </c>
      <c r="C110" s="395"/>
      <c r="D110" s="395"/>
      <c r="E110" s="395"/>
      <c r="F110" s="396"/>
      <c r="G110" s="380">
        <f>G109*G58</f>
        <v>4.486582740740741E-2</v>
      </c>
      <c r="H110" s="397"/>
      <c r="I110" s="381">
        <f>G98*G110</f>
        <v>88.718584431955563</v>
      </c>
      <c r="J110" s="382"/>
    </row>
    <row r="111" spans="1:10" x14ac:dyDescent="0.35">
      <c r="A111" s="383" t="s">
        <v>39</v>
      </c>
      <c r="B111" s="378"/>
      <c r="C111" s="378"/>
      <c r="D111" s="378"/>
      <c r="E111" s="378"/>
      <c r="F111" s="379"/>
      <c r="G111" s="384">
        <f>SUM(G109:H110)</f>
        <v>0.16678383666666666</v>
      </c>
      <c r="H111" s="385"/>
      <c r="I111" s="386">
        <f>G98*G111</f>
        <v>329.8016943014</v>
      </c>
      <c r="J111" s="387"/>
    </row>
    <row r="112" spans="1:10" x14ac:dyDescent="0.35">
      <c r="A112" s="168"/>
      <c r="B112" s="404"/>
      <c r="C112" s="404"/>
      <c r="D112" s="404"/>
      <c r="E112" s="404"/>
      <c r="F112" s="404"/>
      <c r="G112" s="404"/>
      <c r="H112" s="404"/>
      <c r="I112" s="404"/>
      <c r="J112" s="404"/>
    </row>
    <row r="113" spans="1:10" x14ac:dyDescent="0.35">
      <c r="A113" s="400" t="s">
        <v>101</v>
      </c>
      <c r="B113" s="400"/>
      <c r="C113" s="400"/>
      <c r="D113" s="400"/>
      <c r="E113" s="400"/>
      <c r="F113" s="400"/>
      <c r="G113" s="400"/>
      <c r="H113" s="400"/>
      <c r="I113" s="400"/>
      <c r="J113" s="400"/>
    </row>
    <row r="114" spans="1:10" x14ac:dyDescent="0.35">
      <c r="A114" s="401"/>
      <c r="B114" s="401"/>
      <c r="C114" s="401"/>
      <c r="D114" s="401"/>
      <c r="E114" s="401"/>
      <c r="F114" s="401"/>
      <c r="G114" s="402"/>
      <c r="H114" s="402"/>
      <c r="I114" s="402"/>
      <c r="J114" s="402"/>
    </row>
    <row r="115" spans="1:10" x14ac:dyDescent="0.35">
      <c r="A115" s="163" t="s">
        <v>102</v>
      </c>
      <c r="B115" s="311" t="s">
        <v>103</v>
      </c>
      <c r="C115" s="311"/>
      <c r="D115" s="311"/>
      <c r="E115" s="311"/>
      <c r="F115" s="311"/>
      <c r="G115" s="311" t="s">
        <v>34</v>
      </c>
      <c r="H115" s="311"/>
      <c r="I115" s="311"/>
      <c r="J115" s="311"/>
    </row>
    <row r="116" spans="1:10" x14ac:dyDescent="0.35">
      <c r="A116" s="160" t="s">
        <v>3</v>
      </c>
      <c r="B116" s="300" t="s">
        <v>104</v>
      </c>
      <c r="C116" s="300"/>
      <c r="D116" s="300"/>
      <c r="E116" s="300"/>
      <c r="F116" s="300"/>
      <c r="G116" s="333">
        <v>0</v>
      </c>
      <c r="H116" s="333"/>
      <c r="I116" s="333"/>
      <c r="J116" s="333"/>
    </row>
    <row r="117" spans="1:10" x14ac:dyDescent="0.35">
      <c r="A117" s="311" t="s">
        <v>39</v>
      </c>
      <c r="B117" s="311"/>
      <c r="C117" s="311"/>
      <c r="D117" s="311"/>
      <c r="E117" s="311"/>
      <c r="F117" s="311"/>
      <c r="G117" s="345">
        <f>SUM(G116)</f>
        <v>0</v>
      </c>
      <c r="H117" s="345"/>
      <c r="I117" s="345"/>
      <c r="J117" s="345"/>
    </row>
    <row r="118" spans="1:10" x14ac:dyDescent="0.35">
      <c r="A118" s="168"/>
      <c r="B118" s="398"/>
      <c r="C118" s="398"/>
      <c r="D118" s="398"/>
      <c r="E118" s="398"/>
      <c r="F118" s="398"/>
      <c r="G118" s="398"/>
      <c r="H118" s="398"/>
      <c r="I118" s="398"/>
      <c r="J118" s="398"/>
    </row>
    <row r="119" spans="1:10" x14ac:dyDescent="0.35">
      <c r="A119" s="399" t="s">
        <v>105</v>
      </c>
      <c r="B119" s="399"/>
      <c r="C119" s="399"/>
      <c r="D119" s="399"/>
      <c r="E119" s="399"/>
      <c r="F119" s="399"/>
      <c r="G119" s="399"/>
      <c r="H119" s="399"/>
      <c r="I119" s="399"/>
      <c r="J119" s="399"/>
    </row>
    <row r="120" spans="1:10" x14ac:dyDescent="0.35">
      <c r="A120" s="168"/>
      <c r="B120" s="404"/>
      <c r="C120" s="404"/>
      <c r="D120" s="404"/>
      <c r="E120" s="404"/>
      <c r="F120" s="404"/>
      <c r="G120" s="405"/>
      <c r="H120" s="405"/>
      <c r="I120" s="405"/>
      <c r="J120" s="405"/>
    </row>
    <row r="121" spans="1:10" x14ac:dyDescent="0.35">
      <c r="A121" s="163">
        <v>4</v>
      </c>
      <c r="B121" s="311" t="s">
        <v>106</v>
      </c>
      <c r="C121" s="311"/>
      <c r="D121" s="311"/>
      <c r="E121" s="311"/>
      <c r="F121" s="311"/>
      <c r="G121" s="311" t="s">
        <v>34</v>
      </c>
      <c r="H121" s="311"/>
      <c r="I121" s="311"/>
      <c r="J121" s="311"/>
    </row>
    <row r="122" spans="1:10" x14ac:dyDescent="0.35">
      <c r="A122" s="160" t="s">
        <v>88</v>
      </c>
      <c r="B122" s="300" t="s">
        <v>107</v>
      </c>
      <c r="C122" s="300"/>
      <c r="D122" s="300"/>
      <c r="E122" s="300"/>
      <c r="F122" s="300"/>
      <c r="G122" s="321">
        <f>I111</f>
        <v>329.8016943014</v>
      </c>
      <c r="H122" s="321"/>
      <c r="I122" s="321"/>
      <c r="J122" s="321"/>
    </row>
    <row r="123" spans="1:10" x14ac:dyDescent="0.35">
      <c r="A123" s="160" t="s">
        <v>102</v>
      </c>
      <c r="B123" s="403" t="s">
        <v>108</v>
      </c>
      <c r="C123" s="403"/>
      <c r="D123" s="403"/>
      <c r="E123" s="403"/>
      <c r="F123" s="403"/>
      <c r="G123" s="321">
        <f>G117</f>
        <v>0</v>
      </c>
      <c r="H123" s="321"/>
      <c r="I123" s="321"/>
      <c r="J123" s="321"/>
    </row>
    <row r="124" spans="1:10" x14ac:dyDescent="0.35">
      <c r="A124" s="311" t="s">
        <v>39</v>
      </c>
      <c r="B124" s="311"/>
      <c r="C124" s="311"/>
      <c r="D124" s="311"/>
      <c r="E124" s="311"/>
      <c r="F124" s="311"/>
      <c r="G124" s="323">
        <f>SUM(G122:J123)</f>
        <v>329.8016943014</v>
      </c>
      <c r="H124" s="323"/>
      <c r="I124" s="323"/>
      <c r="J124" s="323"/>
    </row>
    <row r="125" spans="1:10" x14ac:dyDescent="0.35">
      <c r="A125" s="168"/>
      <c r="B125" s="404"/>
      <c r="C125" s="404"/>
      <c r="D125" s="404"/>
      <c r="E125" s="404"/>
      <c r="F125" s="404"/>
      <c r="G125" s="404"/>
      <c r="H125" s="404"/>
      <c r="I125" s="404"/>
      <c r="J125" s="404"/>
    </row>
    <row r="126" spans="1:10" x14ac:dyDescent="0.35">
      <c r="A126" s="168"/>
      <c r="B126" s="398"/>
      <c r="C126" s="398"/>
      <c r="D126" s="398"/>
      <c r="E126" s="398"/>
      <c r="F126" s="398"/>
      <c r="G126" s="398"/>
      <c r="H126" s="398"/>
      <c r="I126" s="398"/>
      <c r="J126" s="398"/>
    </row>
    <row r="127" spans="1:10" x14ac:dyDescent="0.35">
      <c r="A127" s="407" t="s">
        <v>109</v>
      </c>
      <c r="B127" s="407"/>
      <c r="C127" s="407"/>
      <c r="D127" s="407"/>
      <c r="E127" s="407"/>
      <c r="F127" s="407"/>
      <c r="G127" s="407"/>
      <c r="H127" s="407"/>
      <c r="I127" s="407"/>
      <c r="J127" s="407"/>
    </row>
    <row r="128" spans="1:10" x14ac:dyDescent="0.35">
      <c r="A128" s="89"/>
      <c r="B128" s="408"/>
      <c r="C128" s="408"/>
      <c r="D128" s="408"/>
      <c r="E128" s="408"/>
      <c r="F128" s="408"/>
      <c r="G128" s="408"/>
      <c r="H128" s="408"/>
      <c r="I128" s="408"/>
      <c r="J128" s="408"/>
    </row>
    <row r="129" spans="1:10" x14ac:dyDescent="0.35">
      <c r="A129" s="167">
        <v>5</v>
      </c>
      <c r="B129" s="406" t="s">
        <v>110</v>
      </c>
      <c r="C129" s="406"/>
      <c r="D129" s="406"/>
      <c r="E129" s="406"/>
      <c r="F129" s="406"/>
      <c r="G129" s="347" t="s">
        <v>34</v>
      </c>
      <c r="H129" s="347"/>
      <c r="I129" s="347"/>
      <c r="J129" s="347"/>
    </row>
    <row r="130" spans="1:10" x14ac:dyDescent="0.35">
      <c r="A130" s="22" t="s">
        <v>3</v>
      </c>
      <c r="B130" s="346" t="s">
        <v>111</v>
      </c>
      <c r="C130" s="346"/>
      <c r="D130" s="346"/>
      <c r="E130" s="346"/>
      <c r="F130" s="346"/>
      <c r="G130" s="352">
        <f>Uniformes!F24</f>
        <v>41.54076666666667</v>
      </c>
      <c r="H130" s="352"/>
      <c r="I130" s="352"/>
      <c r="J130" s="352"/>
    </row>
    <row r="131" spans="1:10" x14ac:dyDescent="0.35">
      <c r="A131" s="22" t="s">
        <v>5</v>
      </c>
      <c r="B131" s="284" t="s">
        <v>202</v>
      </c>
      <c r="C131" s="285"/>
      <c r="D131" s="285"/>
      <c r="E131" s="285"/>
      <c r="F131" s="286"/>
      <c r="G131" s="281">
        <f>Equipamentos!J88</f>
        <v>23.272467250000009</v>
      </c>
      <c r="H131" s="282"/>
      <c r="I131" s="282"/>
      <c r="J131" s="283"/>
    </row>
    <row r="132" spans="1:10" x14ac:dyDescent="0.35">
      <c r="A132" s="347" t="s">
        <v>64</v>
      </c>
      <c r="B132" s="347"/>
      <c r="C132" s="347"/>
      <c r="D132" s="347"/>
      <c r="E132" s="347"/>
      <c r="F132" s="347"/>
      <c r="G132" s="413">
        <f>SUM(G130:J131)</f>
        <v>64.813233916666675</v>
      </c>
      <c r="H132" s="413"/>
      <c r="I132" s="413"/>
      <c r="J132" s="413"/>
    </row>
    <row r="133" spans="1:10" x14ac:dyDescent="0.35">
      <c r="A133" s="169"/>
      <c r="B133" s="414"/>
      <c r="C133" s="414"/>
      <c r="D133" s="414"/>
      <c r="E133" s="414"/>
      <c r="F133" s="414"/>
      <c r="G133" s="414"/>
      <c r="H133" s="414"/>
      <c r="I133" s="414"/>
      <c r="J133" s="414"/>
    </row>
    <row r="134" spans="1:10" x14ac:dyDescent="0.35">
      <c r="A134" s="407" t="s">
        <v>112</v>
      </c>
      <c r="B134" s="407"/>
      <c r="C134" s="407"/>
      <c r="D134" s="407"/>
      <c r="E134" s="407"/>
      <c r="F134" s="407"/>
      <c r="G134" s="407"/>
      <c r="H134" s="407"/>
      <c r="I134" s="407"/>
      <c r="J134" s="407"/>
    </row>
    <row r="135" spans="1:10" x14ac:dyDescent="0.35">
      <c r="A135" s="409" t="s">
        <v>113</v>
      </c>
      <c r="B135" s="409"/>
      <c r="C135" s="409"/>
      <c r="D135" s="409"/>
      <c r="E135" s="409"/>
      <c r="F135" s="409"/>
      <c r="G135" s="410">
        <f>G34+G80+I93+G124+G132</f>
        <v>4162.5646206807332</v>
      </c>
      <c r="H135" s="411"/>
      <c r="I135" s="411"/>
      <c r="J135" s="411"/>
    </row>
    <row r="136" spans="1:10" x14ac:dyDescent="0.35">
      <c r="A136" s="409" t="s">
        <v>114</v>
      </c>
      <c r="B136" s="409"/>
      <c r="C136" s="409"/>
      <c r="D136" s="409"/>
      <c r="E136" s="409"/>
      <c r="F136" s="409"/>
      <c r="G136" s="410">
        <f>G135+I139</f>
        <v>4276.2026348253175</v>
      </c>
      <c r="H136" s="411"/>
      <c r="I136" s="411"/>
      <c r="J136" s="411"/>
    </row>
    <row r="137" spans="1:10" x14ac:dyDescent="0.35">
      <c r="A137" s="409" t="s">
        <v>115</v>
      </c>
      <c r="B137" s="409"/>
      <c r="C137" s="409"/>
      <c r="D137" s="409"/>
      <c r="E137" s="409"/>
      <c r="F137" s="409"/>
      <c r="G137" s="412">
        <f>(G136+I140)/(1-G141)</f>
        <v>5121.9681938531585</v>
      </c>
      <c r="H137" s="412"/>
      <c r="I137" s="412"/>
      <c r="J137" s="412"/>
    </row>
    <row r="138" spans="1:10" x14ac:dyDescent="0.35">
      <c r="A138" s="167">
        <v>6</v>
      </c>
      <c r="B138" s="406" t="s">
        <v>116</v>
      </c>
      <c r="C138" s="406"/>
      <c r="D138" s="406"/>
      <c r="E138" s="406"/>
      <c r="F138" s="406"/>
      <c r="G138" s="420" t="s">
        <v>45</v>
      </c>
      <c r="H138" s="420"/>
      <c r="I138" s="420" t="s">
        <v>34</v>
      </c>
      <c r="J138" s="420"/>
    </row>
    <row r="139" spans="1:10" x14ac:dyDescent="0.35">
      <c r="A139" s="22" t="s">
        <v>3</v>
      </c>
      <c r="B139" s="346" t="s">
        <v>117</v>
      </c>
      <c r="C139" s="346"/>
      <c r="D139" s="346"/>
      <c r="E139" s="346"/>
      <c r="F139" s="346"/>
      <c r="G139" s="415">
        <v>2.7300000000000001E-2</v>
      </c>
      <c r="H139" s="415"/>
      <c r="I139" s="416">
        <f>G135*G139</f>
        <v>113.63801414458402</v>
      </c>
      <c r="J139" s="346"/>
    </row>
    <row r="140" spans="1:10" x14ac:dyDescent="0.35">
      <c r="A140" s="22" t="s">
        <v>5</v>
      </c>
      <c r="B140" s="346" t="s">
        <v>118</v>
      </c>
      <c r="C140" s="346"/>
      <c r="D140" s="346"/>
      <c r="E140" s="346"/>
      <c r="F140" s="346"/>
      <c r="G140" s="415">
        <v>2.7099999999999999E-2</v>
      </c>
      <c r="H140" s="415"/>
      <c r="I140" s="416">
        <f>G136*G140</f>
        <v>115.8850914037661</v>
      </c>
      <c r="J140" s="346"/>
    </row>
    <row r="141" spans="1:10" x14ac:dyDescent="0.35">
      <c r="A141" s="22" t="s">
        <v>8</v>
      </c>
      <c r="B141" s="346" t="s">
        <v>119</v>
      </c>
      <c r="C141" s="346"/>
      <c r="D141" s="346"/>
      <c r="E141" s="346"/>
      <c r="F141" s="346"/>
      <c r="G141" s="417">
        <f>SUM(G142:H144)</f>
        <v>0.14250000000000002</v>
      </c>
      <c r="H141" s="417"/>
      <c r="I141" s="418">
        <f>G137*G141</f>
        <v>729.88046762407521</v>
      </c>
      <c r="J141" s="419"/>
    </row>
    <row r="142" spans="1:10" x14ac:dyDescent="0.35">
      <c r="A142" s="170" t="s">
        <v>120</v>
      </c>
      <c r="B142" s="421" t="s">
        <v>121</v>
      </c>
      <c r="C142" s="421"/>
      <c r="D142" s="421"/>
      <c r="E142" s="421"/>
      <c r="F142" s="421"/>
      <c r="G142" s="422">
        <f>'Item 1.1 (Encarregado)'!G142:H142</f>
        <v>7.5999999999999998E-2</v>
      </c>
      <c r="H142" s="422"/>
      <c r="I142" s="423">
        <f>G137*G142</f>
        <v>389.26958273284004</v>
      </c>
      <c r="J142" s="421"/>
    </row>
    <row r="143" spans="1:10" x14ac:dyDescent="0.35">
      <c r="A143" s="170" t="s">
        <v>122</v>
      </c>
      <c r="B143" s="421" t="s">
        <v>123</v>
      </c>
      <c r="C143" s="421"/>
      <c r="D143" s="421"/>
      <c r="E143" s="421"/>
      <c r="F143" s="421"/>
      <c r="G143" s="422">
        <f>'Item 1.1 (Encarregado)'!G143:H143</f>
        <v>1.6500000000000001E-2</v>
      </c>
      <c r="H143" s="422"/>
      <c r="I143" s="423">
        <f>G137*G143</f>
        <v>84.512475198577121</v>
      </c>
      <c r="J143" s="421"/>
    </row>
    <row r="144" spans="1:10" x14ac:dyDescent="0.35">
      <c r="A144" s="170" t="s">
        <v>124</v>
      </c>
      <c r="B144" s="421" t="s">
        <v>125</v>
      </c>
      <c r="C144" s="421"/>
      <c r="D144" s="421"/>
      <c r="E144" s="421"/>
      <c r="F144" s="421"/>
      <c r="G144" s="422">
        <v>0.05</v>
      </c>
      <c r="H144" s="422"/>
      <c r="I144" s="423">
        <f>G137*G144</f>
        <v>256.09840969265792</v>
      </c>
      <c r="J144" s="421"/>
    </row>
    <row r="145" spans="1:13" x14ac:dyDescent="0.35">
      <c r="A145" s="347" t="s">
        <v>64</v>
      </c>
      <c r="B145" s="347"/>
      <c r="C145" s="347"/>
      <c r="D145" s="347"/>
      <c r="E145" s="347"/>
      <c r="F145" s="347"/>
      <c r="G145" s="424"/>
      <c r="H145" s="424"/>
      <c r="I145" s="416">
        <f>SUM(I139:J141)</f>
        <v>959.40357317242535</v>
      </c>
      <c r="J145" s="346"/>
    </row>
    <row r="146" spans="1:13" x14ac:dyDescent="0.35">
      <c r="A146" s="171"/>
      <c r="B146" s="426"/>
      <c r="C146" s="426"/>
      <c r="D146" s="426"/>
      <c r="E146" s="426"/>
      <c r="F146" s="426"/>
      <c r="G146" s="426"/>
      <c r="H146" s="426"/>
      <c r="I146" s="426"/>
      <c r="J146" s="426"/>
    </row>
    <row r="147" spans="1:13" x14ac:dyDescent="0.35">
      <c r="A147" s="427" t="s">
        <v>126</v>
      </c>
      <c r="B147" s="427"/>
      <c r="C147" s="427"/>
      <c r="D147" s="427"/>
      <c r="E147" s="427"/>
      <c r="F147" s="427"/>
      <c r="G147" s="427"/>
      <c r="H147" s="427"/>
      <c r="I147" s="427"/>
      <c r="J147" s="427"/>
    </row>
    <row r="148" spans="1:13" x14ac:dyDescent="0.35">
      <c r="A148" s="18"/>
      <c r="B148" s="428"/>
      <c r="C148" s="428"/>
      <c r="D148" s="428"/>
      <c r="E148" s="428"/>
      <c r="F148" s="428"/>
      <c r="G148" s="428"/>
      <c r="H148" s="428"/>
      <c r="I148" s="428"/>
      <c r="J148" s="428"/>
    </row>
    <row r="149" spans="1:13" x14ac:dyDescent="0.35">
      <c r="A149" s="167"/>
      <c r="B149" s="347" t="s">
        <v>127</v>
      </c>
      <c r="C149" s="347"/>
      <c r="D149" s="347"/>
      <c r="E149" s="347"/>
      <c r="F149" s="347"/>
      <c r="G149" s="347" t="s">
        <v>34</v>
      </c>
      <c r="H149" s="347"/>
      <c r="I149" s="347"/>
      <c r="J149" s="347"/>
    </row>
    <row r="150" spans="1:13" x14ac:dyDescent="0.35">
      <c r="A150" s="167" t="s">
        <v>3</v>
      </c>
      <c r="B150" s="346" t="s">
        <v>32</v>
      </c>
      <c r="C150" s="346"/>
      <c r="D150" s="346"/>
      <c r="E150" s="346"/>
      <c r="F150" s="346"/>
      <c r="G150" s="352">
        <f>G34</f>
        <v>1977.42</v>
      </c>
      <c r="H150" s="352"/>
      <c r="I150" s="352"/>
      <c r="J150" s="352"/>
    </row>
    <row r="151" spans="1:13" x14ac:dyDescent="0.35">
      <c r="A151" s="167" t="s">
        <v>5</v>
      </c>
      <c r="B151" s="346" t="s">
        <v>40</v>
      </c>
      <c r="C151" s="346"/>
      <c r="D151" s="346"/>
      <c r="E151" s="346"/>
      <c r="F151" s="346"/>
      <c r="G151" s="352">
        <f>G80</f>
        <v>1684.0016827960001</v>
      </c>
      <c r="H151" s="352"/>
      <c r="I151" s="352"/>
      <c r="J151" s="352"/>
    </row>
    <row r="152" spans="1:13" x14ac:dyDescent="0.35">
      <c r="A152" s="167" t="s">
        <v>8</v>
      </c>
      <c r="B152" s="346" t="s">
        <v>78</v>
      </c>
      <c r="C152" s="346"/>
      <c r="D152" s="346"/>
      <c r="E152" s="346"/>
      <c r="F152" s="346"/>
      <c r="G152" s="352">
        <f>I93</f>
        <v>106.52800966666668</v>
      </c>
      <c r="H152" s="352"/>
      <c r="I152" s="352"/>
      <c r="J152" s="352"/>
    </row>
    <row r="153" spans="1:13" x14ac:dyDescent="0.35">
      <c r="A153" s="167" t="s">
        <v>10</v>
      </c>
      <c r="B153" s="346" t="s">
        <v>85</v>
      </c>
      <c r="C153" s="346"/>
      <c r="D153" s="346"/>
      <c r="E153" s="346"/>
      <c r="F153" s="346"/>
      <c r="G153" s="352">
        <f>G124</f>
        <v>329.8016943014</v>
      </c>
      <c r="H153" s="352"/>
      <c r="I153" s="352"/>
      <c r="J153" s="352"/>
    </row>
    <row r="154" spans="1:13" x14ac:dyDescent="0.35">
      <c r="A154" s="167" t="s">
        <v>56</v>
      </c>
      <c r="B154" s="346" t="s">
        <v>109</v>
      </c>
      <c r="C154" s="346"/>
      <c r="D154" s="346"/>
      <c r="E154" s="346"/>
      <c r="F154" s="346"/>
      <c r="G154" s="352">
        <f>G132</f>
        <v>64.813233916666675</v>
      </c>
      <c r="H154" s="352"/>
      <c r="I154" s="352"/>
      <c r="J154" s="352"/>
    </row>
    <row r="155" spans="1:13" x14ac:dyDescent="0.35">
      <c r="A155" s="347" t="s">
        <v>128</v>
      </c>
      <c r="B155" s="347"/>
      <c r="C155" s="347"/>
      <c r="D155" s="347"/>
      <c r="E155" s="347"/>
      <c r="F155" s="347"/>
      <c r="G155" s="413">
        <f>SUM(G150:J154)</f>
        <v>4162.5646206807332</v>
      </c>
      <c r="H155" s="413"/>
      <c r="I155" s="413"/>
      <c r="J155" s="413"/>
      <c r="M155" s="175"/>
    </row>
    <row r="156" spans="1:13" x14ac:dyDescent="0.35">
      <c r="A156" s="167" t="s">
        <v>58</v>
      </c>
      <c r="B156" s="346" t="s">
        <v>129</v>
      </c>
      <c r="C156" s="346"/>
      <c r="D156" s="346"/>
      <c r="E156" s="346"/>
      <c r="F156" s="346"/>
      <c r="G156" s="352">
        <f>I145</f>
        <v>959.40357317242535</v>
      </c>
      <c r="H156" s="352"/>
      <c r="I156" s="352"/>
      <c r="J156" s="352"/>
    </row>
    <row r="157" spans="1:13" x14ac:dyDescent="0.35">
      <c r="A157" s="347" t="s">
        <v>130</v>
      </c>
      <c r="B157" s="347"/>
      <c r="C157" s="347"/>
      <c r="D157" s="347"/>
      <c r="E157" s="347"/>
      <c r="F157" s="347"/>
      <c r="G157" s="413">
        <f>SUM(G155:J156)</f>
        <v>5121.9681938531585</v>
      </c>
      <c r="H157" s="413"/>
      <c r="I157" s="413"/>
      <c r="J157" s="413"/>
    </row>
    <row r="158" spans="1:13" x14ac:dyDescent="0.35">
      <c r="A158" s="347" t="s">
        <v>131</v>
      </c>
      <c r="B158" s="347"/>
      <c r="C158" s="347"/>
      <c r="D158" s="347"/>
      <c r="E158" s="347"/>
      <c r="F158" s="347"/>
      <c r="G158" s="436">
        <v>1</v>
      </c>
      <c r="H158" s="436"/>
      <c r="I158" s="436"/>
      <c r="J158" s="436"/>
    </row>
    <row r="159" spans="1:13" x14ac:dyDescent="0.35">
      <c r="A159" s="11"/>
      <c r="B159" s="11"/>
      <c r="C159" s="11"/>
      <c r="D159" s="11"/>
      <c r="E159" s="11"/>
      <c r="F159" s="11"/>
      <c r="G159" s="11"/>
      <c r="H159" s="11"/>
      <c r="I159" s="11"/>
      <c r="J159" s="11"/>
    </row>
    <row r="160" spans="1:13" x14ac:dyDescent="0.35">
      <c r="A160" s="434" t="s">
        <v>132</v>
      </c>
      <c r="B160" s="434"/>
      <c r="C160" s="434"/>
      <c r="D160" s="434"/>
      <c r="E160" s="434"/>
      <c r="F160" s="434"/>
      <c r="G160" s="434"/>
      <c r="H160" s="434"/>
      <c r="I160" s="434"/>
      <c r="J160" s="434"/>
    </row>
    <row r="161" spans="1:10" x14ac:dyDescent="0.35">
      <c r="A161" s="429" t="s">
        <v>133</v>
      </c>
      <c r="B161" s="429"/>
      <c r="C161" s="429" t="s">
        <v>208</v>
      </c>
      <c r="D161" s="429"/>
      <c r="E161" s="429"/>
      <c r="F161" s="429"/>
      <c r="G161" s="429" t="s">
        <v>134</v>
      </c>
      <c r="H161" s="429"/>
      <c r="I161" s="429" t="s">
        <v>135</v>
      </c>
      <c r="J161" s="429"/>
    </row>
    <row r="162" spans="1:10" x14ac:dyDescent="0.35">
      <c r="A162" s="435">
        <f>G158</f>
        <v>1</v>
      </c>
      <c r="B162" s="429"/>
      <c r="C162" s="430">
        <f>1/(F17/A162)</f>
        <v>7.3141653440217662E-4</v>
      </c>
      <c r="D162" s="430"/>
      <c r="E162" s="430"/>
      <c r="F162" s="430"/>
      <c r="G162" s="431">
        <f>G157</f>
        <v>5121.9681938531585</v>
      </c>
      <c r="H162" s="429"/>
      <c r="I162" s="432">
        <f>G162*C162</f>
        <v>3.7462922256662532</v>
      </c>
      <c r="J162" s="432"/>
    </row>
    <row r="166" spans="1:10" x14ac:dyDescent="0.35">
      <c r="H166" s="29"/>
    </row>
  </sheetData>
  <sheetProtection algorithmName="SHA-512" hashValue="ncpk0Kcr9UapWHsJ/eKEePVjzncMwsqsJ5UZH/ccv9f6OoVfSYE72j2TwB6NFURT1HpZ6gfXVxjCMQKVOfdn1w==" saltValue="gLJefd6qdz2hO7CmEJqT8g==" spinCount="100000" sheet="1" objects="1" scenarios="1"/>
  <mergeCells count="353">
    <mergeCell ref="A5:J5"/>
    <mergeCell ref="A6:J6"/>
    <mergeCell ref="A7:J7"/>
    <mergeCell ref="A8:J8"/>
    <mergeCell ref="B9:F9"/>
    <mergeCell ref="G9:J9"/>
    <mergeCell ref="A1:J1"/>
    <mergeCell ref="A2:J2"/>
    <mergeCell ref="B3:F3"/>
    <mergeCell ref="G3:H3"/>
    <mergeCell ref="I3:J3"/>
    <mergeCell ref="A4:J4"/>
    <mergeCell ref="A13:J13"/>
    <mergeCell ref="A14:J14"/>
    <mergeCell ref="A15:J15"/>
    <mergeCell ref="A16:C16"/>
    <mergeCell ref="D16:E16"/>
    <mergeCell ref="F16:J16"/>
    <mergeCell ref="B10:F10"/>
    <mergeCell ref="G10:J10"/>
    <mergeCell ref="B11:F11"/>
    <mergeCell ref="G11:J11"/>
    <mergeCell ref="B12:F12"/>
    <mergeCell ref="G12:J12"/>
    <mergeCell ref="B21:F21"/>
    <mergeCell ref="G21:J21"/>
    <mergeCell ref="B22:F22"/>
    <mergeCell ref="G22:J22"/>
    <mergeCell ref="B23:F23"/>
    <mergeCell ref="G23:J23"/>
    <mergeCell ref="A17:C17"/>
    <mergeCell ref="D17:E17"/>
    <mergeCell ref="F17:J17"/>
    <mergeCell ref="A18:J18"/>
    <mergeCell ref="A19:J19"/>
    <mergeCell ref="B20:F20"/>
    <mergeCell ref="G20:H20"/>
    <mergeCell ref="I20:J20"/>
    <mergeCell ref="B29:F29"/>
    <mergeCell ref="G29:J29"/>
    <mergeCell ref="B30:F30"/>
    <mergeCell ref="G30:J30"/>
    <mergeCell ref="B31:F31"/>
    <mergeCell ref="G31:J31"/>
    <mergeCell ref="B24:F24"/>
    <mergeCell ref="G24:J24"/>
    <mergeCell ref="B25:F25"/>
    <mergeCell ref="G25:J25"/>
    <mergeCell ref="A26:J26"/>
    <mergeCell ref="A27:J27"/>
    <mergeCell ref="B35:F35"/>
    <mergeCell ref="G35:H35"/>
    <mergeCell ref="I35:J35"/>
    <mergeCell ref="A36:J36"/>
    <mergeCell ref="B37:F37"/>
    <mergeCell ref="G37:H37"/>
    <mergeCell ref="I37:J37"/>
    <mergeCell ref="B32:F32"/>
    <mergeCell ref="G32:J32"/>
    <mergeCell ref="B33:F33"/>
    <mergeCell ref="G33:J33"/>
    <mergeCell ref="A34:F34"/>
    <mergeCell ref="G34:J34"/>
    <mergeCell ref="B41:F41"/>
    <mergeCell ref="G41:H41"/>
    <mergeCell ref="I41:J41"/>
    <mergeCell ref="B42:F42"/>
    <mergeCell ref="G42:H42"/>
    <mergeCell ref="I42:J42"/>
    <mergeCell ref="A38:J38"/>
    <mergeCell ref="A39:F39"/>
    <mergeCell ref="G39:J39"/>
    <mergeCell ref="B40:F40"/>
    <mergeCell ref="G40:H40"/>
    <mergeCell ref="I40:J40"/>
    <mergeCell ref="A45:J45"/>
    <mergeCell ref="A46:J46"/>
    <mergeCell ref="A47:F47"/>
    <mergeCell ref="G47:J47"/>
    <mergeCell ref="A48:J48"/>
    <mergeCell ref="B49:F49"/>
    <mergeCell ref="G49:H49"/>
    <mergeCell ref="I49:J49"/>
    <mergeCell ref="B43:F43"/>
    <mergeCell ref="G43:H43"/>
    <mergeCell ref="I43:J43"/>
    <mergeCell ref="A44:F44"/>
    <mergeCell ref="G44:H44"/>
    <mergeCell ref="I44:J44"/>
    <mergeCell ref="B52:F52"/>
    <mergeCell ref="G52:H52"/>
    <mergeCell ref="I52:J52"/>
    <mergeCell ref="B53:F53"/>
    <mergeCell ref="G53:H53"/>
    <mergeCell ref="I53:J53"/>
    <mergeCell ref="B50:F50"/>
    <mergeCell ref="G50:H50"/>
    <mergeCell ref="I50:J50"/>
    <mergeCell ref="B51:F51"/>
    <mergeCell ref="G51:H51"/>
    <mergeCell ref="I51:J51"/>
    <mergeCell ref="B56:F56"/>
    <mergeCell ref="G56:H56"/>
    <mergeCell ref="I56:J56"/>
    <mergeCell ref="B57:F57"/>
    <mergeCell ref="G57:H57"/>
    <mergeCell ref="I57:J57"/>
    <mergeCell ref="B54:F54"/>
    <mergeCell ref="G54:H54"/>
    <mergeCell ref="I54:J54"/>
    <mergeCell ref="B55:F55"/>
    <mergeCell ref="G55:H55"/>
    <mergeCell ref="I55:J55"/>
    <mergeCell ref="B62:F62"/>
    <mergeCell ref="G62:H62"/>
    <mergeCell ref="I62:J62"/>
    <mergeCell ref="B63:F63"/>
    <mergeCell ref="G63:H63"/>
    <mergeCell ref="I63:J63"/>
    <mergeCell ref="A58:F58"/>
    <mergeCell ref="G58:H58"/>
    <mergeCell ref="I58:J58"/>
    <mergeCell ref="A59:J59"/>
    <mergeCell ref="A60:J60"/>
    <mergeCell ref="B61:F61"/>
    <mergeCell ref="G61:H61"/>
    <mergeCell ref="I61:J61"/>
    <mergeCell ref="B66:F66"/>
    <mergeCell ref="G66:H66"/>
    <mergeCell ref="I66:J66"/>
    <mergeCell ref="B67:F67"/>
    <mergeCell ref="G67:H67"/>
    <mergeCell ref="I67:J67"/>
    <mergeCell ref="B64:F64"/>
    <mergeCell ref="G64:H64"/>
    <mergeCell ref="I64:J64"/>
    <mergeCell ref="B65:F65"/>
    <mergeCell ref="G65:H65"/>
    <mergeCell ref="I65:J65"/>
    <mergeCell ref="B70:F70"/>
    <mergeCell ref="G70:H70"/>
    <mergeCell ref="I70:J70"/>
    <mergeCell ref="B71:F71"/>
    <mergeCell ref="G71:H71"/>
    <mergeCell ref="I71:J71"/>
    <mergeCell ref="B68:F68"/>
    <mergeCell ref="G68:H68"/>
    <mergeCell ref="I68:J68"/>
    <mergeCell ref="B69:F69"/>
    <mergeCell ref="G69:H69"/>
    <mergeCell ref="I69:J69"/>
    <mergeCell ref="B77:F77"/>
    <mergeCell ref="G77:J77"/>
    <mergeCell ref="B78:F78"/>
    <mergeCell ref="G78:J78"/>
    <mergeCell ref="B79:F79"/>
    <mergeCell ref="G79:J79"/>
    <mergeCell ref="A72:H72"/>
    <mergeCell ref="I72:J72"/>
    <mergeCell ref="A73:J73"/>
    <mergeCell ref="A74:J74"/>
    <mergeCell ref="A75:J75"/>
    <mergeCell ref="B76:F76"/>
    <mergeCell ref="G76:J76"/>
    <mergeCell ref="A85:F85"/>
    <mergeCell ref="G85:J85"/>
    <mergeCell ref="B86:F86"/>
    <mergeCell ref="G86:H86"/>
    <mergeCell ref="I86:J86"/>
    <mergeCell ref="B87:F87"/>
    <mergeCell ref="I87:J87"/>
    <mergeCell ref="A80:F80"/>
    <mergeCell ref="G80:J80"/>
    <mergeCell ref="A81:J81"/>
    <mergeCell ref="A82:J82"/>
    <mergeCell ref="A83:J83"/>
    <mergeCell ref="A84:F84"/>
    <mergeCell ref="G84:J84"/>
    <mergeCell ref="B91:F91"/>
    <mergeCell ref="G91:H91"/>
    <mergeCell ref="I91:J91"/>
    <mergeCell ref="B92:F92"/>
    <mergeCell ref="G92:H92"/>
    <mergeCell ref="I92:J92"/>
    <mergeCell ref="B88:F88"/>
    <mergeCell ref="G88:H88"/>
    <mergeCell ref="I88:J88"/>
    <mergeCell ref="B89:F89"/>
    <mergeCell ref="I89:J89"/>
    <mergeCell ref="B90:F90"/>
    <mergeCell ref="G90:H90"/>
    <mergeCell ref="I90:J90"/>
    <mergeCell ref="A97:J97"/>
    <mergeCell ref="A98:F98"/>
    <mergeCell ref="G98:J98"/>
    <mergeCell ref="B100:F100"/>
    <mergeCell ref="G100:H100"/>
    <mergeCell ref="I100:J100"/>
    <mergeCell ref="A93:F93"/>
    <mergeCell ref="G93:H93"/>
    <mergeCell ref="I93:J93"/>
    <mergeCell ref="A94:J94"/>
    <mergeCell ref="A95:J95"/>
    <mergeCell ref="B96:F96"/>
    <mergeCell ref="G96:H96"/>
    <mergeCell ref="I96:J96"/>
    <mergeCell ref="B103:F103"/>
    <mergeCell ref="G103:H103"/>
    <mergeCell ref="I103:J103"/>
    <mergeCell ref="B104:F104"/>
    <mergeCell ref="G104:H104"/>
    <mergeCell ref="I104:J104"/>
    <mergeCell ref="B101:F101"/>
    <mergeCell ref="G101:H101"/>
    <mergeCell ref="I101:J101"/>
    <mergeCell ref="B102:F102"/>
    <mergeCell ref="G102:H102"/>
    <mergeCell ref="I102:J102"/>
    <mergeCell ref="A107:F107"/>
    <mergeCell ref="G107:H107"/>
    <mergeCell ref="I107:J107"/>
    <mergeCell ref="B108:F108"/>
    <mergeCell ref="G108:H108"/>
    <mergeCell ref="I108:J108"/>
    <mergeCell ref="B105:F105"/>
    <mergeCell ref="G105:H105"/>
    <mergeCell ref="I105:J105"/>
    <mergeCell ref="B106:F106"/>
    <mergeCell ref="G106:H106"/>
    <mergeCell ref="I106:J106"/>
    <mergeCell ref="A111:F111"/>
    <mergeCell ref="G111:H111"/>
    <mergeCell ref="I111:J111"/>
    <mergeCell ref="B112:F112"/>
    <mergeCell ref="G112:H112"/>
    <mergeCell ref="I112:J112"/>
    <mergeCell ref="A109:F109"/>
    <mergeCell ref="G109:H109"/>
    <mergeCell ref="I109:J109"/>
    <mergeCell ref="B110:F110"/>
    <mergeCell ref="G110:H110"/>
    <mergeCell ref="I110:J110"/>
    <mergeCell ref="A117:F117"/>
    <mergeCell ref="G117:J117"/>
    <mergeCell ref="B118:F118"/>
    <mergeCell ref="G118:H118"/>
    <mergeCell ref="I118:J118"/>
    <mergeCell ref="A119:J119"/>
    <mergeCell ref="A113:J113"/>
    <mergeCell ref="A114:F114"/>
    <mergeCell ref="G114:J114"/>
    <mergeCell ref="B115:F115"/>
    <mergeCell ref="G115:J115"/>
    <mergeCell ref="B116:F116"/>
    <mergeCell ref="G116:J116"/>
    <mergeCell ref="B123:F123"/>
    <mergeCell ref="G123:J123"/>
    <mergeCell ref="A124:F124"/>
    <mergeCell ref="G124:J124"/>
    <mergeCell ref="B125:F125"/>
    <mergeCell ref="G125:H125"/>
    <mergeCell ref="I125:J125"/>
    <mergeCell ref="B120:F120"/>
    <mergeCell ref="G120:J120"/>
    <mergeCell ref="B121:F121"/>
    <mergeCell ref="G121:J121"/>
    <mergeCell ref="B122:F122"/>
    <mergeCell ref="G122:J122"/>
    <mergeCell ref="B129:F129"/>
    <mergeCell ref="G129:J129"/>
    <mergeCell ref="B130:F130"/>
    <mergeCell ref="G130:J130"/>
    <mergeCell ref="B131:F131"/>
    <mergeCell ref="G131:J131"/>
    <mergeCell ref="B126:F126"/>
    <mergeCell ref="G126:H126"/>
    <mergeCell ref="I126:J126"/>
    <mergeCell ref="A127:J127"/>
    <mergeCell ref="B128:F128"/>
    <mergeCell ref="G128:H128"/>
    <mergeCell ref="I128:J128"/>
    <mergeCell ref="A135:F135"/>
    <mergeCell ref="G135:J135"/>
    <mergeCell ref="A136:F136"/>
    <mergeCell ref="G136:J136"/>
    <mergeCell ref="A137:F137"/>
    <mergeCell ref="G137:J137"/>
    <mergeCell ref="A132:F132"/>
    <mergeCell ref="G132:J132"/>
    <mergeCell ref="B133:F133"/>
    <mergeCell ref="G133:H133"/>
    <mergeCell ref="I133:J133"/>
    <mergeCell ref="A134:J134"/>
    <mergeCell ref="B140:F140"/>
    <mergeCell ref="G140:H140"/>
    <mergeCell ref="I140:J140"/>
    <mergeCell ref="B141:F141"/>
    <mergeCell ref="G141:H141"/>
    <mergeCell ref="I141:J141"/>
    <mergeCell ref="B138:F138"/>
    <mergeCell ref="G138:H138"/>
    <mergeCell ref="I138:J138"/>
    <mergeCell ref="B139:F139"/>
    <mergeCell ref="G139:H139"/>
    <mergeCell ref="I139:J139"/>
    <mergeCell ref="B144:F144"/>
    <mergeCell ref="G144:H144"/>
    <mergeCell ref="I144:J144"/>
    <mergeCell ref="A145:F145"/>
    <mergeCell ref="G145:H145"/>
    <mergeCell ref="I145:J145"/>
    <mergeCell ref="B142:F142"/>
    <mergeCell ref="G142:H142"/>
    <mergeCell ref="I142:J142"/>
    <mergeCell ref="B143:F143"/>
    <mergeCell ref="G143:H143"/>
    <mergeCell ref="I143:J143"/>
    <mergeCell ref="B149:F149"/>
    <mergeCell ref="G149:J149"/>
    <mergeCell ref="B150:F150"/>
    <mergeCell ref="G150:J150"/>
    <mergeCell ref="B151:F151"/>
    <mergeCell ref="G151:J151"/>
    <mergeCell ref="B146:F146"/>
    <mergeCell ref="G146:H146"/>
    <mergeCell ref="I146:J146"/>
    <mergeCell ref="A147:J147"/>
    <mergeCell ref="B148:F148"/>
    <mergeCell ref="G148:H148"/>
    <mergeCell ref="I148:J148"/>
    <mergeCell ref="A155:F155"/>
    <mergeCell ref="G155:J155"/>
    <mergeCell ref="B156:F156"/>
    <mergeCell ref="G156:J156"/>
    <mergeCell ref="A157:F157"/>
    <mergeCell ref="G157:J157"/>
    <mergeCell ref="B152:F152"/>
    <mergeCell ref="G152:J152"/>
    <mergeCell ref="B153:F153"/>
    <mergeCell ref="G153:J153"/>
    <mergeCell ref="B154:F154"/>
    <mergeCell ref="G154:J154"/>
    <mergeCell ref="A162:B162"/>
    <mergeCell ref="C162:F162"/>
    <mergeCell ref="G162:H162"/>
    <mergeCell ref="I162:J162"/>
    <mergeCell ref="A158:F158"/>
    <mergeCell ref="G158:J158"/>
    <mergeCell ref="A160:J160"/>
    <mergeCell ref="A161:B161"/>
    <mergeCell ref="C161:F161"/>
    <mergeCell ref="G161:H161"/>
    <mergeCell ref="I161:J161"/>
  </mergeCells>
  <conditionalFormatting sqref="G157:J157">
    <cfRule type="cellIs" dxfId="4" priority="1" operator="greaterThan">
      <formula>5121.96819385316</formula>
    </cfRule>
  </conditionalFormatting>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16</vt:i4>
      </vt:variant>
    </vt:vector>
  </HeadingPairs>
  <TitlesOfParts>
    <vt:vector size="16" baseType="lpstr">
      <vt:lpstr>RESUMO</vt:lpstr>
      <vt:lpstr>Notas Explicativas</vt:lpstr>
      <vt:lpstr>Item 1.1 (Encarregado)</vt:lpstr>
      <vt:lpstr> Item 1.2 (ASG)</vt:lpstr>
      <vt:lpstr>Item 1.3 (ASG Banheirista)</vt:lpstr>
      <vt:lpstr>Item 2 (Lavador)</vt:lpstr>
      <vt:lpstr>Item 3 (ASG)</vt:lpstr>
      <vt:lpstr>Item 4.1 (ASG)</vt:lpstr>
      <vt:lpstr>Item 4.2 (ASG Banheirista)</vt:lpstr>
      <vt:lpstr>Item 5.1 (ASG)</vt:lpstr>
      <vt:lpstr>Item 5.2 (ASG Banheirista)</vt:lpstr>
      <vt:lpstr>Item 6 (Fachada)</vt:lpstr>
      <vt:lpstr>Item 7 (Materiais)</vt:lpstr>
      <vt:lpstr>Uniformes</vt:lpstr>
      <vt:lpstr>Equipamentos</vt:lpstr>
      <vt:lpstr>Distribuição dos Insumos</vt:lpstr>
    </vt:vector>
  </TitlesOfParts>
  <Company>Policia Federal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Manoel Gratex Ribeiro</dc:creator>
  <cp:lastModifiedBy>Carlos Manoel Gratex Ribeiro</cp:lastModifiedBy>
  <dcterms:created xsi:type="dcterms:W3CDTF">2024-05-20T12:38:01Z</dcterms:created>
  <dcterms:modified xsi:type="dcterms:W3CDTF">2024-07-03T18:33:14Z</dcterms:modified>
</cp:coreProperties>
</file>