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  <Override PartName="/xl/threadedComments/threadedComment3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/>
  <mc:AlternateContent xmlns:mc="http://schemas.openxmlformats.org/markup-compatibility/2006">
    <mc:Choice Requires="x15">
      <x15ac:absPath xmlns:x15ac="http://schemas.microsoft.com/office/spreadsheetml/2010/11/ac" url="C:\Users\mauricio.masb\Downloads\Edital e Anexos\"/>
    </mc:Choice>
  </mc:AlternateContent>
  <xr:revisionPtr revIDLastSave="0" documentId="8_{9A751F6F-F68F-45CE-B99D-7C2FB6B6C2A3}" xr6:coauthVersionLast="36" xr6:coauthVersionMax="36" xr10:uidLastSave="{00000000-0000-0000-0000-000000000000}"/>
  <bookViews>
    <workbookView xWindow="-90" yWindow="-90" windowWidth="28980" windowHeight="15780" firstSheet="1" activeTab="1" xr2:uid="{00000000-000D-0000-FFFF-FFFF00000000}"/>
  </bookViews>
  <sheets>
    <sheet name="SERVENTE(SI) - PMW" sheetId="19" r:id="rId1"/>
    <sheet name="SERVENTE(SI) - DEPÓSITO" sheetId="25" r:id="rId2"/>
    <sheet name="SERVENTE(SI) - AGA" sheetId="26" r:id="rId3"/>
    <sheet name="RESUMO COMPLETO" sheetId="28" r:id="rId4"/>
    <sheet name="UNIFORMES" sheetId="8" r:id="rId5"/>
    <sheet name="MATERIAIS E EPIS" sheetId="23" r:id="rId6"/>
    <sheet name="EQUIPAMENTOS" sheetId="21" r:id="rId7"/>
    <sheet name="INSUMOS" sheetId="22" r:id="rId8"/>
    <sheet name="areasxprodxfunc" sheetId="24" r:id="rId9"/>
  </sheets>
  <definedNames>
    <definedName name="_2Excel_BuiltIn_Print_Area_2_1_1" localSheetId="2">'SERVENTE(SI) - AGA'!$B$2:$L$124</definedName>
    <definedName name="_2Excel_BuiltIn_Print_Area_2_1_1" localSheetId="1">'SERVENTE(SI) - DEPÓSITO'!$B$2:$L$124</definedName>
    <definedName name="_2Excel_BuiltIn_Print_Area_2_1_1" localSheetId="0">'SERVENTE(SI) - PMW'!$B$2:$L$124</definedName>
    <definedName name="_3Excel_BuiltIn_Print_Area_2_1_1">#REF!</definedName>
    <definedName name="_xlnm.Print_Area" localSheetId="2">'SERVENTE(SI) - AGA'!$B$1:$L$212</definedName>
    <definedName name="_xlnm.Print_Area" localSheetId="1">'SERVENTE(SI) - DEPÓSITO'!$B$1:$L$212</definedName>
    <definedName name="_xlnm.Print_Area" localSheetId="0">'SERVENTE(SI) - PMW'!$B$1:$L$212</definedName>
    <definedName name="Excel_BuiltIn_Print_Area_1_1">#REF!</definedName>
    <definedName name="Excel_BuiltIn_Print_Area_2_1" localSheetId="2">'SERVENTE(SI) - AGA'!$B$2:$L$124</definedName>
    <definedName name="Excel_BuiltIn_Print_Area_2_1" localSheetId="1">'SERVENTE(SI) - DEPÓSITO'!$B$2:$L$124</definedName>
    <definedName name="Excel_BuiltIn_Print_Area_2_1" localSheetId="0">'SERVENTE(SI) - PMW'!$B$2:$L$124</definedName>
    <definedName name="Excel_BuiltIn_Print_Area_2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26" l="1"/>
  <c r="C26" i="24"/>
  <c r="C25" i="24"/>
  <c r="C24" i="24"/>
  <c r="N26" i="24"/>
  <c r="N25" i="24"/>
  <c r="M25" i="24"/>
  <c r="M4" i="24"/>
  <c r="K18" i="24"/>
  <c r="J18" i="24"/>
  <c r="I18" i="24"/>
  <c r="H18" i="24"/>
  <c r="G18" i="24"/>
  <c r="F18" i="24"/>
  <c r="E18" i="24"/>
  <c r="D18" i="24"/>
  <c r="C18" i="24"/>
  <c r="L25" i="24"/>
  <c r="H4" i="28" l="1"/>
  <c r="H3" i="28"/>
  <c r="B208" i="26"/>
  <c r="B207" i="26"/>
  <c r="B208" i="25"/>
  <c r="B207" i="25"/>
  <c r="B208" i="19"/>
  <c r="B207" i="19"/>
  <c r="F210" i="26"/>
  <c r="B209" i="26"/>
  <c r="B206" i="26"/>
  <c r="B205" i="26"/>
  <c r="B204" i="26"/>
  <c r="B203" i="26"/>
  <c r="B202" i="26"/>
  <c r="B201" i="26"/>
  <c r="B200" i="26"/>
  <c r="B199" i="26"/>
  <c r="E192" i="26"/>
  <c r="E186" i="26"/>
  <c r="E180" i="26"/>
  <c r="E174" i="26"/>
  <c r="E168" i="26"/>
  <c r="E162" i="26"/>
  <c r="E156" i="26"/>
  <c r="E150" i="26"/>
  <c r="E144" i="26"/>
  <c r="E138" i="26"/>
  <c r="E132" i="26"/>
  <c r="K110" i="26"/>
  <c r="J110" i="26"/>
  <c r="K86" i="26"/>
  <c r="K85" i="26"/>
  <c r="K84" i="26"/>
  <c r="K78" i="26"/>
  <c r="K76" i="26"/>
  <c r="K72" i="26"/>
  <c r="C66" i="26"/>
  <c r="L62" i="26"/>
  <c r="L61" i="26"/>
  <c r="L60" i="26"/>
  <c r="K56" i="26"/>
  <c r="L37" i="26"/>
  <c r="L36" i="26"/>
  <c r="L35" i="26"/>
  <c r="J33" i="26"/>
  <c r="L33" i="26" s="1"/>
  <c r="L32" i="26"/>
  <c r="F210" i="19"/>
  <c r="H2" i="28" s="1"/>
  <c r="F210" i="25"/>
  <c r="B209" i="25"/>
  <c r="B206" i="25"/>
  <c r="B205" i="25"/>
  <c r="B204" i="25"/>
  <c r="B203" i="25"/>
  <c r="B202" i="25"/>
  <c r="B201" i="25"/>
  <c r="B200" i="25"/>
  <c r="B199" i="25"/>
  <c r="E192" i="25"/>
  <c r="E186" i="25"/>
  <c r="E180" i="25"/>
  <c r="E174" i="25"/>
  <c r="E168" i="25"/>
  <c r="E162" i="25"/>
  <c r="E156" i="25"/>
  <c r="E150" i="25"/>
  <c r="E144" i="25"/>
  <c r="E138" i="25"/>
  <c r="E132" i="25"/>
  <c r="J110" i="25"/>
  <c r="K110" i="25" s="1"/>
  <c r="K86" i="25"/>
  <c r="K85" i="25"/>
  <c r="K84" i="25"/>
  <c r="K83" i="25"/>
  <c r="K72" i="25"/>
  <c r="C66" i="25"/>
  <c r="L62" i="25"/>
  <c r="L61" i="25"/>
  <c r="L60" i="25"/>
  <c r="K56" i="25"/>
  <c r="K76" i="25" s="1"/>
  <c r="L37" i="25"/>
  <c r="L36" i="25"/>
  <c r="L35" i="25"/>
  <c r="J33" i="25"/>
  <c r="L33" i="25" s="1"/>
  <c r="L32" i="25"/>
  <c r="E186" i="19"/>
  <c r="E144" i="19"/>
  <c r="E180" i="19"/>
  <c r="B202" i="19"/>
  <c r="B199" i="19"/>
  <c r="B200" i="19"/>
  <c r="B201" i="19"/>
  <c r="B203" i="19"/>
  <c r="B204" i="19"/>
  <c r="B205" i="19"/>
  <c r="B206" i="19"/>
  <c r="J110" i="19"/>
  <c r="K110" i="19" s="1"/>
  <c r="K86" i="19"/>
  <c r="K85" i="19"/>
  <c r="K84" i="19"/>
  <c r="K83" i="19"/>
  <c r="K72" i="19"/>
  <c r="D25" i="24"/>
  <c r="D26" i="24"/>
  <c r="E25" i="24"/>
  <c r="H26" i="24"/>
  <c r="M5" i="24"/>
  <c r="B57" i="24"/>
  <c r="H25" i="24"/>
  <c r="G25" i="24"/>
  <c r="F25" i="24"/>
  <c r="H24" i="24"/>
  <c r="F24" i="24"/>
  <c r="E24" i="24"/>
  <c r="D24" i="24"/>
  <c r="B24" i="24"/>
  <c r="L18" i="24"/>
  <c r="B18" i="24"/>
  <c r="N6" i="24"/>
  <c r="M6" i="24"/>
  <c r="L6" i="24"/>
  <c r="N5" i="24"/>
  <c r="B25" i="24"/>
  <c r="N4" i="24"/>
  <c r="L4" i="24"/>
  <c r="G24" i="24"/>
  <c r="M24" i="24" s="1"/>
  <c r="L24" i="24" l="1"/>
  <c r="I24" i="24"/>
  <c r="I25" i="24"/>
  <c r="I26" i="24"/>
  <c r="L34" i="26"/>
  <c r="L38" i="26" s="1"/>
  <c r="L59" i="26"/>
  <c r="L63" i="26" s="1"/>
  <c r="L68" i="26" s="1"/>
  <c r="K78" i="25"/>
  <c r="L34" i="25"/>
  <c r="L38" i="25" s="1"/>
  <c r="L59" i="25"/>
  <c r="L63" i="25" s="1"/>
  <c r="L68" i="25" s="1"/>
  <c r="K25" i="24"/>
  <c r="K26" i="24"/>
  <c r="O4" i="24"/>
  <c r="J26" i="24"/>
  <c r="O6" i="24"/>
  <c r="E26" i="24"/>
  <c r="L5" i="24"/>
  <c r="O5" i="24" s="1"/>
  <c r="J24" i="24"/>
  <c r="K24" i="24"/>
  <c r="N24" i="24" s="1"/>
  <c r="B26" i="24"/>
  <c r="J25" i="24"/>
  <c r="F26" i="24"/>
  <c r="G26" i="24"/>
  <c r="M26" i="24" s="1"/>
  <c r="L42" i="26" l="1"/>
  <c r="L44" i="26" s="1"/>
  <c r="L72" i="26" s="1"/>
  <c r="L43" i="26"/>
  <c r="L117" i="26"/>
  <c r="L43" i="25"/>
  <c r="L42" i="25"/>
  <c r="L117" i="25"/>
  <c r="O24" i="24"/>
  <c r="L26" i="24"/>
  <c r="L66" i="26" l="1"/>
  <c r="L77" i="26"/>
  <c r="L74" i="26"/>
  <c r="L75" i="26"/>
  <c r="L44" i="25"/>
  <c r="L66" i="25"/>
  <c r="L77" i="25"/>
  <c r="L74" i="25"/>
  <c r="L72" i="25"/>
  <c r="L75" i="25"/>
  <c r="L52" i="26"/>
  <c r="L51" i="26"/>
  <c r="L49" i="26"/>
  <c r="L54" i="26"/>
  <c r="L50" i="26"/>
  <c r="L48" i="26"/>
  <c r="L55" i="26"/>
  <c r="L53" i="26"/>
  <c r="L52" i="25"/>
  <c r="L50" i="25"/>
  <c r="L53" i="25"/>
  <c r="L48" i="25"/>
  <c r="L51" i="25"/>
  <c r="L54" i="25"/>
  <c r="L49" i="25"/>
  <c r="L55" i="25"/>
  <c r="O25" i="24"/>
  <c r="O26" i="24"/>
  <c r="H4" i="22"/>
  <c r="H5" i="22"/>
  <c r="H6" i="22"/>
  <c r="H7" i="22"/>
  <c r="H8" i="22"/>
  <c r="H9" i="22"/>
  <c r="H10" i="22"/>
  <c r="H11" i="22"/>
  <c r="H24" i="22" s="1"/>
  <c r="H25" i="22" s="1"/>
  <c r="H12" i="22"/>
  <c r="H13" i="22"/>
  <c r="H14" i="22"/>
  <c r="H15" i="22"/>
  <c r="H16" i="22"/>
  <c r="H17" i="22"/>
  <c r="H18" i="22"/>
  <c r="H19" i="22"/>
  <c r="H20" i="22"/>
  <c r="H21" i="22"/>
  <c r="H22" i="22"/>
  <c r="H23" i="22"/>
  <c r="H3" i="22"/>
  <c r="F4" i="22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3" i="22"/>
  <c r="F8" i="21"/>
  <c r="H8" i="21" s="1"/>
  <c r="F13" i="21"/>
  <c r="H13" i="21" s="1"/>
  <c r="D4" i="21"/>
  <c r="F4" i="21" s="1"/>
  <c r="H4" i="21" s="1"/>
  <c r="D5" i="21"/>
  <c r="F5" i="21" s="1"/>
  <c r="H5" i="21" s="1"/>
  <c r="D6" i="21"/>
  <c r="F6" i="21" s="1"/>
  <c r="H6" i="21" s="1"/>
  <c r="D7" i="21"/>
  <c r="F7" i="21" s="1"/>
  <c r="H7" i="21" s="1"/>
  <c r="D8" i="21"/>
  <c r="D9" i="21"/>
  <c r="F9" i="21" s="1"/>
  <c r="H9" i="21" s="1"/>
  <c r="D10" i="21"/>
  <c r="F10" i="21" s="1"/>
  <c r="H10" i="21" s="1"/>
  <c r="D11" i="21"/>
  <c r="F11" i="21" s="1"/>
  <c r="H11" i="21" s="1"/>
  <c r="D12" i="21"/>
  <c r="F12" i="21" s="1"/>
  <c r="H12" i="21" s="1"/>
  <c r="D13" i="21"/>
  <c r="D14" i="21"/>
  <c r="F14" i="21" s="1"/>
  <c r="H14" i="21" s="1"/>
  <c r="D15" i="21"/>
  <c r="F15" i="21" s="1"/>
  <c r="H15" i="21" s="1"/>
  <c r="D3" i="21"/>
  <c r="F3" i="21" s="1"/>
  <c r="H3" i="21" s="1"/>
  <c r="D4" i="23"/>
  <c r="F4" i="23" s="1"/>
  <c r="D5" i="23"/>
  <c r="F5" i="23" s="1"/>
  <c r="D6" i="23"/>
  <c r="F6" i="23" s="1"/>
  <c r="D7" i="23"/>
  <c r="F7" i="23" s="1"/>
  <c r="D8" i="23"/>
  <c r="F8" i="23" s="1"/>
  <c r="D9" i="23"/>
  <c r="F9" i="23" s="1"/>
  <c r="D10" i="23"/>
  <c r="F10" i="23" s="1"/>
  <c r="D11" i="23"/>
  <c r="F11" i="23" s="1"/>
  <c r="D12" i="23"/>
  <c r="F12" i="23" s="1"/>
  <c r="D13" i="23"/>
  <c r="F13" i="23" s="1"/>
  <c r="D14" i="23"/>
  <c r="F14" i="23" s="1"/>
  <c r="D15" i="23"/>
  <c r="F15" i="23" s="1"/>
  <c r="D16" i="23"/>
  <c r="F16" i="23" s="1"/>
  <c r="D17" i="23"/>
  <c r="F17" i="23" s="1"/>
  <c r="D18" i="23"/>
  <c r="F18" i="23" s="1"/>
  <c r="D19" i="23"/>
  <c r="F19" i="23" s="1"/>
  <c r="D20" i="23"/>
  <c r="F20" i="23" s="1"/>
  <c r="D3" i="23"/>
  <c r="F3" i="23" s="1"/>
  <c r="H102" i="26" l="1"/>
  <c r="L102" i="26" s="1"/>
  <c r="H102" i="19"/>
  <c r="L102" i="19" s="1"/>
  <c r="H102" i="25"/>
  <c r="L102" i="25" s="1"/>
  <c r="L56" i="26"/>
  <c r="L67" i="26" s="1"/>
  <c r="L69" i="26" s="1"/>
  <c r="L56" i="25"/>
  <c r="L67" i="25" s="1"/>
  <c r="L69" i="25" s="1"/>
  <c r="O27" i="24"/>
  <c r="F21" i="23"/>
  <c r="F22" i="23" s="1"/>
  <c r="F23" i="23" s="1"/>
  <c r="H16" i="21"/>
  <c r="H17" i="21" s="1"/>
  <c r="H101" i="26" l="1"/>
  <c r="L101" i="26" s="1"/>
  <c r="H101" i="25"/>
  <c r="L101" i="25" s="1"/>
  <c r="H101" i="19"/>
  <c r="H100" i="26"/>
  <c r="L100" i="26" s="1"/>
  <c r="H100" i="19"/>
  <c r="H100" i="25"/>
  <c r="L100" i="25" s="1"/>
  <c r="L118" i="26"/>
  <c r="L76" i="26"/>
  <c r="L76" i="25"/>
  <c r="L118" i="25"/>
  <c r="L73" i="26" l="1"/>
  <c r="L78" i="26" s="1"/>
  <c r="L73" i="25"/>
  <c r="L78" i="25" s="1"/>
  <c r="L82" i="25" s="1"/>
  <c r="G10" i="8"/>
  <c r="G9" i="8"/>
  <c r="G8" i="8"/>
  <c r="G7" i="8"/>
  <c r="G6" i="8"/>
  <c r="E150" i="19"/>
  <c r="E192" i="19"/>
  <c r="E174" i="19"/>
  <c r="E168" i="19"/>
  <c r="E162" i="19"/>
  <c r="E156" i="19"/>
  <c r="E138" i="19"/>
  <c r="E132" i="19"/>
  <c r="J33" i="19"/>
  <c r="L33" i="19" s="1"/>
  <c r="L32" i="19"/>
  <c r="L59" i="19" s="1"/>
  <c r="B209" i="19"/>
  <c r="L101" i="19"/>
  <c r="L100" i="19"/>
  <c r="C66" i="19"/>
  <c r="L62" i="19"/>
  <c r="L61" i="19"/>
  <c r="L60" i="19"/>
  <c r="K56" i="19"/>
  <c r="K76" i="19" s="1"/>
  <c r="K78" i="19" s="1"/>
  <c r="L37" i="19"/>
  <c r="L36" i="19"/>
  <c r="L35" i="19"/>
  <c r="L86" i="26" l="1"/>
  <c r="L83" i="26"/>
  <c r="L119" i="26"/>
  <c r="L85" i="26"/>
  <c r="L91" i="26"/>
  <c r="L95" i="26" s="1"/>
  <c r="L87" i="26"/>
  <c r="L84" i="26"/>
  <c r="L82" i="26"/>
  <c r="L91" i="25"/>
  <c r="L95" i="25" s="1"/>
  <c r="L86" i="25"/>
  <c r="L87" i="25"/>
  <c r="L85" i="25"/>
  <c r="L84" i="25"/>
  <c r="L83" i="25"/>
  <c r="L119" i="25"/>
  <c r="L34" i="19"/>
  <c r="L38" i="19" s="1"/>
  <c r="L63" i="19"/>
  <c r="L68" i="19" s="1"/>
  <c r="G11" i="8"/>
  <c r="G12" i="8" s="1"/>
  <c r="H99" i="26" l="1"/>
  <c r="L99" i="26" s="1"/>
  <c r="L103" i="26" s="1"/>
  <c r="L121" i="26" s="1"/>
  <c r="H99" i="25"/>
  <c r="L99" i="25" s="1"/>
  <c r="L103" i="25" s="1"/>
  <c r="L121" i="25" s="1"/>
  <c r="H99" i="19"/>
  <c r="L99" i="19" s="1"/>
  <c r="L103" i="19" s="1"/>
  <c r="L121" i="19" s="1"/>
  <c r="L88" i="25"/>
  <c r="L94" i="25" s="1"/>
  <c r="L96" i="25" s="1"/>
  <c r="L120" i="25" s="1"/>
  <c r="L122" i="25" s="1"/>
  <c r="L106" i="25" s="1"/>
  <c r="L108" i="25" s="1"/>
  <c r="L88" i="26"/>
  <c r="L94" i="26" s="1"/>
  <c r="L96" i="26" s="1"/>
  <c r="L120" i="26" s="1"/>
  <c r="L122" i="26" s="1"/>
  <c r="L106" i="26" s="1"/>
  <c r="L117" i="19"/>
  <c r="L43" i="19"/>
  <c r="L42" i="19"/>
  <c r="L107" i="25" l="1"/>
  <c r="L109" i="25" s="1"/>
  <c r="L110" i="25" s="1"/>
  <c r="L113" i="25" s="1"/>
  <c r="L108" i="26"/>
  <c r="L107" i="26"/>
  <c r="L44" i="19"/>
  <c r="L53" i="19" l="1"/>
  <c r="L74" i="19"/>
  <c r="L77" i="19"/>
  <c r="L75" i="19"/>
  <c r="L72" i="19"/>
  <c r="L48" i="19"/>
  <c r="L111" i="25"/>
  <c r="L112" i="25"/>
  <c r="L109" i="26"/>
  <c r="L110" i="26" s="1"/>
  <c r="L113" i="26" s="1"/>
  <c r="L55" i="19"/>
  <c r="L49" i="19"/>
  <c r="L50" i="19"/>
  <c r="L66" i="19"/>
  <c r="L51" i="19"/>
  <c r="L54" i="19"/>
  <c r="L52" i="19"/>
  <c r="L114" i="25" l="1"/>
  <c r="L123" i="25" s="1"/>
  <c r="L124" i="25" s="1"/>
  <c r="I192" i="25" s="1"/>
  <c r="L192" i="25" s="1"/>
  <c r="F209" i="25" s="1"/>
  <c r="K209" i="25" s="1"/>
  <c r="L111" i="26"/>
  <c r="L112" i="26"/>
  <c r="L114" i="26" s="1"/>
  <c r="L123" i="26" s="1"/>
  <c r="L124" i="26" s="1"/>
  <c r="L56" i="19"/>
  <c r="L67" i="19" s="1"/>
  <c r="L69" i="19" s="1"/>
  <c r="L118" i="19" s="1"/>
  <c r="I156" i="25" l="1"/>
  <c r="L156" i="25" s="1"/>
  <c r="F203" i="25" s="1"/>
  <c r="K203" i="25" s="1"/>
  <c r="I144" i="25"/>
  <c r="I168" i="25"/>
  <c r="L168" i="25" s="1"/>
  <c r="F205" i="25" s="1"/>
  <c r="K205" i="25" s="1"/>
  <c r="I186" i="25"/>
  <c r="L186" i="25" s="1"/>
  <c r="F208" i="25" s="1"/>
  <c r="K208" i="25" s="1"/>
  <c r="I174" i="25"/>
  <c r="L174" i="25" s="1"/>
  <c r="F206" i="25" s="1"/>
  <c r="K206" i="25" s="1"/>
  <c r="I150" i="25"/>
  <c r="L150" i="25" s="1"/>
  <c r="F202" i="25" s="1"/>
  <c r="K202" i="25" s="1"/>
  <c r="I180" i="25"/>
  <c r="L180" i="25" s="1"/>
  <c r="F207" i="25" s="1"/>
  <c r="K207" i="25" s="1"/>
  <c r="I132" i="25"/>
  <c r="L132" i="25" s="1"/>
  <c r="F199" i="25" s="1"/>
  <c r="K199" i="25" s="1"/>
  <c r="I162" i="25"/>
  <c r="L162" i="25" s="1"/>
  <c r="F204" i="25" s="1"/>
  <c r="K204" i="25" s="1"/>
  <c r="I138" i="25"/>
  <c r="L138" i="25" s="1"/>
  <c r="F200" i="25" s="1"/>
  <c r="K200" i="25" s="1"/>
  <c r="L144" i="25"/>
  <c r="F201" i="25" s="1"/>
  <c r="K201" i="25" s="1"/>
  <c r="I150" i="26"/>
  <c r="L150" i="26" s="1"/>
  <c r="F202" i="26" s="1"/>
  <c r="K202" i="26" s="1"/>
  <c r="I180" i="26"/>
  <c r="L180" i="26" s="1"/>
  <c r="F207" i="26" s="1"/>
  <c r="K207" i="26" s="1"/>
  <c r="I132" i="26"/>
  <c r="I186" i="26"/>
  <c r="L186" i="26" s="1"/>
  <c r="F208" i="26" s="1"/>
  <c r="K208" i="26" s="1"/>
  <c r="I138" i="26"/>
  <c r="I162" i="26"/>
  <c r="I192" i="26"/>
  <c r="L192" i="26" s="1"/>
  <c r="F209" i="26" s="1"/>
  <c r="K209" i="26" s="1"/>
  <c r="I144" i="26"/>
  <c r="I168" i="26"/>
  <c r="L168" i="26" s="1"/>
  <c r="F205" i="26" s="1"/>
  <c r="K205" i="26" s="1"/>
  <c r="I174" i="26"/>
  <c r="L174" i="26" s="1"/>
  <c r="F206" i="26" s="1"/>
  <c r="K206" i="26" s="1"/>
  <c r="I156" i="26"/>
  <c r="L156" i="26" s="1"/>
  <c r="F203" i="26" s="1"/>
  <c r="K203" i="26" s="1"/>
  <c r="L76" i="19"/>
  <c r="L73" i="19"/>
  <c r="L138" i="26" l="1"/>
  <c r="F200" i="26" s="1"/>
  <c r="K200" i="26" s="1"/>
  <c r="L132" i="26"/>
  <c r="F199" i="26" s="1"/>
  <c r="K199" i="26" s="1"/>
  <c r="L144" i="26"/>
  <c r="F201" i="26" s="1"/>
  <c r="K201" i="26" s="1"/>
  <c r="L162" i="26"/>
  <c r="F204" i="26" s="1"/>
  <c r="K204" i="26" s="1"/>
  <c r="K210" i="25"/>
  <c r="K211" i="25" s="1"/>
  <c r="L78" i="19"/>
  <c r="L84" i="19" s="1"/>
  <c r="K210" i="26" l="1"/>
  <c r="K211" i="26" s="1"/>
  <c r="I3" i="28"/>
  <c r="G3" i="28" s="1"/>
  <c r="L91" i="19"/>
  <c r="L95" i="19" s="1"/>
  <c r="L83" i="19"/>
  <c r="L86" i="19"/>
  <c r="L85" i="19"/>
  <c r="L87" i="19"/>
  <c r="L119" i="19"/>
  <c r="L82" i="19"/>
  <c r="I4" i="28" l="1"/>
  <c r="G4" i="28" s="1"/>
  <c r="L88" i="19"/>
  <c r="L94" i="19" s="1"/>
  <c r="L96" i="19" s="1"/>
  <c r="L120" i="19" s="1"/>
  <c r="L122" i="19" s="1"/>
  <c r="L106" i="19" s="1"/>
  <c r="J4" i="28" l="1"/>
  <c r="K4" i="28" s="1"/>
  <c r="L107" i="19"/>
  <c r="L108" i="19"/>
  <c r="L109" i="19" l="1"/>
  <c r="L110" i="19" s="1"/>
  <c r="L113" i="19" s="1"/>
  <c r="L112" i="19" l="1"/>
  <c r="L111" i="19"/>
  <c r="L114" i="19" l="1"/>
  <c r="L123" i="19" s="1"/>
  <c r="L124" i="19" s="1"/>
  <c r="I180" i="19" l="1"/>
  <c r="L180" i="19" s="1"/>
  <c r="F207" i="19" s="1"/>
  <c r="K207" i="19" s="1"/>
  <c r="I186" i="19"/>
  <c r="L186" i="19" s="1"/>
  <c r="F208" i="19" s="1"/>
  <c r="K208" i="19" s="1"/>
  <c r="I138" i="19"/>
  <c r="L138" i="19" s="1"/>
  <c r="F200" i="19" s="1"/>
  <c r="I150" i="19"/>
  <c r="I174" i="19"/>
  <c r="I156" i="19"/>
  <c r="I162" i="19"/>
  <c r="I168" i="19"/>
  <c r="I144" i="19"/>
  <c r="L144" i="19" s="1"/>
  <c r="I132" i="19"/>
  <c r="L132" i="19" s="1"/>
  <c r="F199" i="19" s="1"/>
  <c r="I192" i="19"/>
  <c r="L192" i="19" s="1"/>
  <c r="L168" i="19" l="1"/>
  <c r="F205" i="19" s="1"/>
  <c r="K205" i="19" s="1"/>
  <c r="L174" i="19"/>
  <c r="F206" i="19" s="1"/>
  <c r="K206" i="19" s="1"/>
  <c r="K199" i="19"/>
  <c r="F201" i="19"/>
  <c r="K201" i="19" s="1"/>
  <c r="L162" i="19"/>
  <c r="F204" i="19" s="1"/>
  <c r="K204" i="19" s="1"/>
  <c r="L156" i="19"/>
  <c r="F203" i="19" s="1"/>
  <c r="K203" i="19" s="1"/>
  <c r="K200" i="19"/>
  <c r="L150" i="19"/>
  <c r="F202" i="19" s="1"/>
  <c r="K202" i="19" s="1"/>
  <c r="F209" i="19"/>
  <c r="K209" i="19" s="1"/>
  <c r="K210" i="19" l="1"/>
  <c r="I2" i="28" s="1"/>
  <c r="G2" i="28" s="1"/>
  <c r="J3" i="28"/>
  <c r="I5" i="28" l="1"/>
  <c r="J2" i="28"/>
  <c r="K2" i="28" s="1"/>
  <c r="K211" i="19"/>
  <c r="K3" i="28"/>
  <c r="J5" i="28" l="1"/>
  <c r="K5" i="2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tc={FE4A7385-9C67-4097-A699-16700964EADC}</author>
    <author>tc={150C096D-0F36-4D3C-A3F9-E477E70E907A}</author>
    <author>tc={6726A998-0A9F-49D4-9C5C-762B21980E5C}</author>
    <author>tc={5E6A8C71-F4BA-4AED-9ED4-564C49FD69D9}</author>
    <author>tc={CD49418E-A6D1-4448-87D7-3750E9BD1893}</author>
  </authors>
  <commentList>
    <comment ref="H99" authorId="0" shapeId="0" xr:uid="{FE4A7385-9C67-4097-A699-16700964EADC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uniforme</t>
        </r>
      </text>
    </comment>
    <comment ref="H100" authorId="1" shapeId="0" xr:uid="{150C096D-0F36-4D3C-A3F9-E477E70E907A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materiais</t>
        </r>
      </text>
    </comment>
    <comment ref="H101" authorId="2" shapeId="0" xr:uid="{6726A998-0A9F-49D4-9C5C-762B21980E5C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equipamentos</t>
        </r>
      </text>
    </comment>
    <comment ref="H102" authorId="3" shapeId="0" xr:uid="{5E6A8C71-F4BA-4AED-9ED4-564C49FD69D9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insumos</t>
        </r>
      </text>
    </comment>
    <comment ref="C110" authorId="4" shapeId="0" xr:uid="{CD49418E-A6D1-4448-87D7-3750E9BD1893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tc={4A98D5A3-6B68-445B-8C36-DB68213B8C9F}</author>
    <author>tc={D503B034-2B17-477F-8048-06E658DD56AF}</author>
    <author>tc={545EE162-2234-4396-9017-EF9D3AF3771F}</author>
    <author>tc={9CC93B3E-FFD1-41B7-B8C7-8C33780415AE}</author>
    <author>tc={4104F6BD-0EDA-4139-A684-0B7638B29855}</author>
  </authors>
  <commentList>
    <comment ref="H99" authorId="0" shapeId="0" xr:uid="{4A98D5A3-6B68-445B-8C36-DB68213B8C9F}">
      <text>
        <r>
          <rPr>
            <sz val="10"/>
            <rFont val="Arial"/>
            <family val="2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uniformes
</t>
        </r>
      </text>
    </comment>
    <comment ref="H100" authorId="1" shapeId="0" xr:uid="{D503B034-2B17-477F-8048-06E658DD56AF}">
      <text>
        <r>
          <rPr>
            <sz val="10"/>
            <rFont val="Arial"/>
            <family val="2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materiais
</t>
        </r>
      </text>
    </comment>
    <comment ref="H101" authorId="2" shapeId="0" xr:uid="{545EE162-2234-4396-9017-EF9D3AF3771F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equipamentos</t>
        </r>
      </text>
    </comment>
    <comment ref="H102" authorId="3" shapeId="0" xr:uid="{9CC93B3E-FFD1-41B7-B8C7-8C33780415AE}">
      <text>
        <r>
          <rPr>
            <sz val="10"/>
            <rFont val="Arial"/>
            <family val="2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insumos
</t>
        </r>
      </text>
    </comment>
    <comment ref="C110" authorId="4" shapeId="0" xr:uid="{4104F6BD-0EDA-4139-A684-0B7638B29855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tc={D6AACF45-D18B-4423-A1D3-ECA66B6F995F}</author>
    <author>tc={3E6D94EB-2F0E-49D6-9C47-859AC6962B71}</author>
    <author>tc={F687FAD6-8686-42C5-9CBC-D68740DA7781}</author>
    <author>tc={193BB88C-D89C-41CB-A92C-EB11F47CD974}</author>
    <author>tc={BDC3248D-0FE2-47F7-978D-875D4EB99F84}</author>
  </authors>
  <commentList>
    <comment ref="H99" authorId="0" shapeId="0" xr:uid="{D6AACF45-D18B-4423-A1D3-ECA66B6F995F}">
      <text>
        <r>
          <rPr>
            <sz val="10"/>
            <rFont val="Arial"/>
            <family val="2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uniformes
</t>
        </r>
      </text>
    </comment>
    <comment ref="H100" authorId="1" shapeId="0" xr:uid="{3E6D94EB-2F0E-49D6-9C47-859AC6962B71}">
      <text>
        <r>
          <rPr>
            <sz val="10"/>
            <rFont val="Arial"/>
            <family val="2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materiais
</t>
        </r>
      </text>
    </comment>
    <comment ref="H101" authorId="2" shapeId="0" xr:uid="{F687FAD6-8686-42C5-9CBC-D68740DA7781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equipamentos</t>
        </r>
      </text>
    </comment>
    <comment ref="H102" authorId="3" shapeId="0" xr:uid="{193BB88C-D89C-41CB-A92C-EB11F47CD974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Preencher na aba insumos</t>
        </r>
      </text>
    </comment>
    <comment ref="C110" authorId="4" shapeId="0" xr:uid="{BDC3248D-0FE2-47F7-978D-875D4EB99F84}">
      <text>
        <r>
          <rPr>
            <sz val="10"/>
            <rFont val="Arial"/>
            <family val="2"/>
          </rPr>
  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Base de Cálculo lucro real. Cada empresa adequar para seu regime tributário.</t>
        </r>
      </text>
    </comment>
  </commentList>
</comments>
</file>

<file path=xl/sharedStrings.xml><?xml version="1.0" encoding="utf-8"?>
<sst xmlns="http://schemas.openxmlformats.org/spreadsheetml/2006/main" count="1368" uniqueCount="403">
  <si>
    <t>Nº PROCESSO</t>
  </si>
  <si>
    <t>LICITAÇÃO N.º</t>
  </si>
  <si>
    <t>PLANILHA DE CUSTOS E FORMAÇÃO DE PREÇOS</t>
  </si>
  <si>
    <t>A</t>
  </si>
  <si>
    <t>Data de apresentação da proposta (dia/mês/ano)</t>
  </si>
  <si>
    <t>B</t>
  </si>
  <si>
    <t>Município / UF</t>
  </si>
  <si>
    <t>C</t>
  </si>
  <si>
    <t>E</t>
  </si>
  <si>
    <t>F</t>
  </si>
  <si>
    <t>G</t>
  </si>
  <si>
    <t>Nº de meses de execução contratual</t>
  </si>
  <si>
    <t>TOTAL</t>
  </si>
  <si>
    <t>Categoria profissional (vinculada à execução contratual)</t>
  </si>
  <si>
    <t>Data base da categoria (dia/mês/ano)</t>
  </si>
  <si>
    <t>I</t>
  </si>
  <si>
    <t>Quant.</t>
  </si>
  <si>
    <t>Valor/Unit.</t>
  </si>
  <si>
    <t>%</t>
  </si>
  <si>
    <t>Valor ( R$ )</t>
  </si>
  <si>
    <t>Valor Unit.</t>
  </si>
  <si>
    <t>Nº de Postos</t>
  </si>
  <si>
    <t>D</t>
  </si>
  <si>
    <t>INSS</t>
  </si>
  <si>
    <t>Valor</t>
  </si>
  <si>
    <t>H</t>
  </si>
  <si>
    <t>Materiais</t>
  </si>
  <si>
    <t>Equipamentos</t>
  </si>
  <si>
    <t>4.1</t>
  </si>
  <si>
    <t xml:space="preserve">TOTAL </t>
  </si>
  <si>
    <t>AVISO PREVIO INDENIZADO</t>
  </si>
  <si>
    <t>CUSTOS INDIRETOS</t>
  </si>
  <si>
    <t>VALOR</t>
  </si>
  <si>
    <t>INSUMOS DIVERSOS</t>
  </si>
  <si>
    <t>desconto</t>
  </si>
  <si>
    <t xml:space="preserve">A </t>
  </si>
  <si>
    <t>Ano do Acordo, Convenção ou Sentença Normativa em Dissidio Coletivo.</t>
  </si>
  <si>
    <t>DISCRIMINAÇÃO DOS SERVIÇOS (dados referentes à Contratação)</t>
  </si>
  <si>
    <t>IDENTIFICAÇÃO DO SERVIÇO</t>
  </si>
  <si>
    <t>DADOS PARA COMPOSIÇÃO DOS CUSTOS REFERENTES A MÃO DE OBRA</t>
  </si>
  <si>
    <t>Classificação Brasileira de ocupações (CBO)</t>
  </si>
  <si>
    <t>Salário Base</t>
  </si>
  <si>
    <t>Adicional de Periculosidade</t>
  </si>
  <si>
    <t>Adicional de Insalubridade</t>
  </si>
  <si>
    <t>Adicional Noturno</t>
  </si>
  <si>
    <t>Adicional de Hora Noturna Reduzida</t>
  </si>
  <si>
    <t>2.2</t>
  </si>
  <si>
    <t xml:space="preserve">2.1 </t>
  </si>
  <si>
    <t>ENCARGOS PREVIDENCIARIOS (GPS), FGTS e outras contribuições</t>
  </si>
  <si>
    <t>2.3</t>
  </si>
  <si>
    <t>Encargos e Beneficios Anuais, Mensais e Diários</t>
  </si>
  <si>
    <t>2.1</t>
  </si>
  <si>
    <t>MÓDULO 5 - INSUMOS DIVERSOS</t>
  </si>
  <si>
    <t>MÓDULO 3 - PROVISÃO PARA RESCISÃO</t>
  </si>
  <si>
    <t>MÓDULO 2 - ENCARGOS E BENEFÍCIOS ANUAIS, MENSAIS E DIÁRIOS</t>
  </si>
  <si>
    <t>MÓDULO 1 - COMPOSIÇAO DA REMUNERAÇAO</t>
  </si>
  <si>
    <t>BENEFÍCIOS MENSAIS DIÁRIOS</t>
  </si>
  <si>
    <t>TRANSPORTE</t>
  </si>
  <si>
    <t>MÓDULO 6 - CUSTOS INDIRETOS, TRIBUTOS E LUCRO</t>
  </si>
  <si>
    <t>REMUNERAÇÃO</t>
  </si>
  <si>
    <t>MÒDULO 1 - COMPOSIÇAO DA REMUNERAÇAO</t>
  </si>
  <si>
    <t>MÓDULO 2 - ENCARGOS E BENEFICIOS ANUAIS, MENSAIS E DIÁRIOS</t>
  </si>
  <si>
    <t>MÓDULO 4 - CUSTO DE REPOSIÇÃO DO PROFISSIONAL AUSENTE</t>
  </si>
  <si>
    <t>SUB TOTAL (A+B+C+D+E)</t>
  </si>
  <si>
    <t>VALOR TOTAL POR EMPREGADO</t>
  </si>
  <si>
    <t>MÃO DE OBRA VINCULADA À EXECUÇÃO CONTRATUAL (VALOR POR EMPREGADO)</t>
  </si>
  <si>
    <t>IN 05/2017</t>
  </si>
  <si>
    <t>13º (DÉCIMO TERCEIRO) SALÁRIO, FÉRIAS  E ADICIONAL DE FÉRIAS</t>
  </si>
  <si>
    <t xml:space="preserve">FGTS </t>
  </si>
  <si>
    <t>SUB-TOTAL</t>
  </si>
  <si>
    <t xml:space="preserve">SUB-TOTAL </t>
  </si>
  <si>
    <t>Uniforme e Equipamentos/EPI</t>
  </si>
  <si>
    <t>SUBSTITUTO NAS AUSÊNCIAS LEGAIS</t>
  </si>
  <si>
    <t>SUBSTITUTO NA COBERTURA DE FÉRIAS</t>
  </si>
  <si>
    <t>SUBSTITUTO NA COBERTURA DE LICENÇA PATERNIDADE</t>
  </si>
  <si>
    <t>SUBSTITUTO NA COBERTURA DE OUTRAS AUSÊNCIAS (ESPECIFICAR)</t>
  </si>
  <si>
    <t xml:space="preserve">Outros (especificar) </t>
  </si>
  <si>
    <t>INCIDÊNCIA DO FGTS SOBRE O AVISO PRÉVIO INDENIZADO</t>
  </si>
  <si>
    <t>Provisão para rescisão</t>
  </si>
  <si>
    <t>AVISO PRÉVIO TRABALHADO</t>
  </si>
  <si>
    <t>4.2</t>
  </si>
  <si>
    <t>SUBSTITUTO NA INTRAJORNADA</t>
  </si>
  <si>
    <t>SUBSTITUTO NA COBERTURA DE INTERVALO PARA REPOUSO OU ALIMENTAÇÃO</t>
  </si>
  <si>
    <t>QUADRO RESUMO DO MÓDULO 4 - CUSTO DE REPOSIÇÃO PROFISSIONAL AUSENTE</t>
  </si>
  <si>
    <t>Custo de Reposição do Profissional Ausente</t>
  </si>
  <si>
    <t>DESCRIÇÃO</t>
  </si>
  <si>
    <t>Tipo de Serviço</t>
  </si>
  <si>
    <t>Unidade de Medida</t>
  </si>
  <si>
    <t>1. MÓDULOS</t>
  </si>
  <si>
    <t>Mão de obra vinculada à execução contratual</t>
  </si>
  <si>
    <t>Mão de oba</t>
  </si>
  <si>
    <t>Tipo de Serviço (mesmo serviço com características distintas)</t>
  </si>
  <si>
    <t>Salário Normativa da Categoria Profissional</t>
  </si>
  <si>
    <t>Submódulo 2.1 - 13º (décimo terceiro) Salário, Férias e Adicional de Férias</t>
  </si>
  <si>
    <t xml:space="preserve">Submódulo 2.2 - Encargos Previdenciários (GPS), Fundo de Garantia por Tempo de Serviço (FGST) e outras contribuições </t>
  </si>
  <si>
    <t>QUADRO RESUMO DO MÓDULO 2  - ENCARGOS E BENEFÍCIOS ANUAIS, MENSAIS E DIÁRIOS</t>
  </si>
  <si>
    <t>GPS, FGTS e OUTRAS CONTRIBUIÇÕES</t>
  </si>
  <si>
    <t>INCIDÊNCIA DO GPS, FGTS e OUTRAS CONTRIBUIÇÕES SOBRE O AVISO PRÉVIO TRABALHADO</t>
  </si>
  <si>
    <t xml:space="preserve">MÓDULO 4 - CUSTO DE REPOSIÇÃO DE PROFISSIONAL AUSENTE </t>
  </si>
  <si>
    <t>Submódulo 4.2- Substituto na intrajornada</t>
  </si>
  <si>
    <t>LUCRO</t>
  </si>
  <si>
    <t>MÃO - DE - OBRA</t>
  </si>
  <si>
    <t>( 1 )</t>
  </si>
  <si>
    <t>( 2 )</t>
  </si>
  <si>
    <t>( 1x2)</t>
  </si>
  <si>
    <t>PRODUTIVIDADE ( 1 / M² )</t>
  </si>
  <si>
    <t>PREÇO HOMEM-MÊS ( R$ )</t>
  </si>
  <si>
    <t>SUBTOTAL ( R$ / M² )</t>
  </si>
  <si>
    <t>SERVENTE</t>
  </si>
  <si>
    <t>PRODUTIVIDADE</t>
  </si>
  <si>
    <t>TIPO DE ÁREA</t>
  </si>
  <si>
    <t>PREÇO MENSAL UNITÁRIO (R$ / M2)</t>
  </si>
  <si>
    <t>ÁREA (M²)</t>
  </si>
  <si>
    <t>SUB - TOTAL (R$)</t>
  </si>
  <si>
    <t>TOTAL ANUAL</t>
  </si>
  <si>
    <t>2. QUADRO RESUMO DO CUSTO POR EMPREGADO</t>
  </si>
  <si>
    <r>
      <t>PREÇO MENSAL UNITÁRIO POR M</t>
    </r>
    <r>
      <rPr>
        <b/>
        <sz val="12"/>
        <color indexed="9"/>
        <rFont val="Calibri"/>
        <family val="2"/>
      </rPr>
      <t>²</t>
    </r>
    <r>
      <rPr>
        <b/>
        <sz val="12"/>
        <color indexed="9"/>
        <rFont val="Arial"/>
        <family val="2"/>
      </rPr>
      <t xml:space="preserve"> (metro quadrado)</t>
    </r>
  </si>
  <si>
    <t xml:space="preserve">P = produtividade de referência do trabalhador </t>
  </si>
  <si>
    <t xml:space="preserve">SALÁRIO - EDUCAÇÃO </t>
  </si>
  <si>
    <t>SAT (Apresentar comprovação na GFIP)</t>
  </si>
  <si>
    <t xml:space="preserve">SESC ou SESI </t>
  </si>
  <si>
    <t xml:space="preserve">SENAI ou SENAC  </t>
  </si>
  <si>
    <t xml:space="preserve">SEBRAE  </t>
  </si>
  <si>
    <t xml:space="preserve">INCRA  </t>
  </si>
  <si>
    <t>Quantidade total a contratar (em função da unidade de medida)</t>
  </si>
  <si>
    <t>13º (décimo terceiro) SALÁRIO</t>
  </si>
  <si>
    <t xml:space="preserve">Submódulo 2.3 - Benefícios Mensais e Diários </t>
  </si>
  <si>
    <t xml:space="preserve">AUXÍLIO- REFEIÇÃO/ALIMENTAÇÃO </t>
  </si>
  <si>
    <t>Submódulo 4.1 - Substituto nas Ausências Legais </t>
  </si>
  <si>
    <t>6. VALOR MENSAL DOS SERVIÇOS</t>
  </si>
  <si>
    <t>Valor (R$)</t>
  </si>
  <si>
    <t>BASE DE CÁLCULO (MODULO1 + MODULO2+MODULO3+MODULO4+MÓDULO 5)</t>
  </si>
  <si>
    <t xml:space="preserve">Valor </t>
  </si>
  <si>
    <t>5143-20</t>
  </si>
  <si>
    <t>LIMPEZA  E CONSERVAÇÃO</t>
  </si>
  <si>
    <t>01 DE JANEIRO</t>
  </si>
  <si>
    <t xml:space="preserve">             C.3. Tributos Municipais (ISS)              </t>
  </si>
  <si>
    <t xml:space="preserve">             C.1. Tributos Federais (PIS)              </t>
  </si>
  <si>
    <t xml:space="preserve">             C.2. Tributos Federais (COFINS)              </t>
  </si>
  <si>
    <t>LIMPEZA E CONSERVAÇÃO</t>
  </si>
  <si>
    <t>VALOR UNITÁRIO</t>
  </si>
  <si>
    <t>ITENS</t>
  </si>
  <si>
    <t>UNID. FORN.</t>
  </si>
  <si>
    <t xml:space="preserve">VALOR TOTAL </t>
  </si>
  <si>
    <t>SERVENTE DE LIMPEZA - UNIFORME</t>
  </si>
  <si>
    <t>4. COMPLEMENTO DOS SERVIÇOS DE LIMPEZA E CONSERVAÇÃO</t>
  </si>
  <si>
    <t xml:space="preserve">PLANILHA DE ESTIMATIVA DE CUSTO
</t>
  </si>
  <si>
    <t>FÉRIAS E ADICIONAL DE FÉRIAS</t>
  </si>
  <si>
    <t xml:space="preserve">PLANO ODONTOLÓGICO </t>
  </si>
  <si>
    <t xml:space="preserve">AUXÍLIO MORTE </t>
  </si>
  <si>
    <t xml:space="preserve">PRODUTIVIDADE ADOTADA </t>
  </si>
  <si>
    <t>UNIDADE</t>
  </si>
  <si>
    <t>PAR</t>
  </si>
  <si>
    <t xml:space="preserve">SUBSTITUTO NA COBERTURA DE AUSÊNCIAS POR DOENÇA </t>
  </si>
  <si>
    <t xml:space="preserve">SUBSTITUTO NA COBERTURA DE AUSÊNCIAS LEGAIS </t>
  </si>
  <si>
    <t>SUBSTITUTO NA COBERTURA DE AUSENCIA POR ACIDENTE DE TRABALHO</t>
  </si>
  <si>
    <t>PALMAS/TO</t>
  </si>
  <si>
    <t>TOTAL Mensal</t>
  </si>
  <si>
    <t>EQUIPAMENTOS</t>
  </si>
  <si>
    <t>Descrição</t>
  </si>
  <si>
    <t>Escova sanitária</t>
  </si>
  <si>
    <t>Escova de nylon</t>
  </si>
  <si>
    <t>Espanador</t>
  </si>
  <si>
    <t>Óculos de proteção</t>
  </si>
  <si>
    <t>Qtde Palmas</t>
  </si>
  <si>
    <t>Qtde Araguaina</t>
  </si>
  <si>
    <t>MATERIAL</t>
  </si>
  <si>
    <t>UNIDADE DE MEDIDA</t>
  </si>
  <si>
    <t>QUANT PMW</t>
  </si>
  <si>
    <t>Álcool etílico 92,8% - 01 Litro.</t>
  </si>
  <si>
    <t>Desinfetante líquido concentrado de uso geral, Galão c/ 05 Litros.</t>
  </si>
  <si>
    <t>Detergente líquido concentrado de uso geral, Galão c/ 05 Litros.</t>
  </si>
  <si>
    <t>GL</t>
  </si>
  <si>
    <t>FR</t>
  </si>
  <si>
    <t>Desodorizador sanitário, tipo pastilha adesiva.</t>
  </si>
  <si>
    <t>UND</t>
  </si>
  <si>
    <t>Esponja dupla face - 110 x 75 mm x 20 mm.</t>
  </si>
  <si>
    <t>Esponja de aço – pacote c/ 08 unidades.</t>
  </si>
  <si>
    <t>Flanela - 60 x 60 cm.</t>
  </si>
  <si>
    <t>Limpa Alumínio – frasco de 500 ml.</t>
  </si>
  <si>
    <t>Limpador multiuso, desengordurante e bactericida - Frasco 500 ml.</t>
  </si>
  <si>
    <t>Pano multiuso, de pia - pacote com 05 unidades</t>
  </si>
  <si>
    <t>Pano de chão, tipo saco, algodão cru, cor branco, lavado e alvejado - aproximadamente 70 x 45 cm.</t>
  </si>
  <si>
    <t>FD</t>
  </si>
  <si>
    <t>Saco de lixo de 200 litros, com solda contínua, cor preta, aproximadamente 92 x 105 cm - fardo com 100 unidades.</t>
  </si>
  <si>
    <t>Saco de lixo de 100 litros, com solda contínua, cor preta, aproximadamente 75 x 105 cm - fardo com 100 unidades.</t>
  </si>
  <si>
    <t>Saco de lixo de 40 litros, cor preta, aproximadamente 60 x 60 cm – fardo com 100 unidades.</t>
  </si>
  <si>
    <t>PCT</t>
  </si>
  <si>
    <t>KG</t>
  </si>
  <si>
    <t xml:space="preserve">SERVIÇO PÚBLICO FEDERAL
MJSP - POLÍCIA FEDERAL
COMISSÃO PERMANENTE DE LICITAÇÕES - CPL/SELOG/SR/PF/TO
</t>
  </si>
  <si>
    <t xml:space="preserve">PREGÃO ELETRÔNICO Nº </t>
  </si>
  <si>
    <t>SERVIÇO PÚBLICO FEDERAL
MJSP - POLÍCIA FEDERAL
COMISSÃO PERMANENTE DE LICITAÇÕES - CPL/SELOG/SR/PF/TO</t>
  </si>
  <si>
    <t>RELAÇÃO DE MATERIAL DE LIMPEZA - MENSAL</t>
  </si>
  <si>
    <t>2023/2023</t>
  </si>
  <si>
    <t>M²</t>
  </si>
  <si>
    <t>MULTA DO FGTS SOBRE AVISO PRÉVIO INDENIZADO</t>
  </si>
  <si>
    <t>FATURAMENTO (TOTAL MODULOS + M6A +M6B)</t>
  </si>
  <si>
    <t>CALCULO POR DENTRO</t>
  </si>
  <si>
    <t>TRIBUTOS</t>
  </si>
  <si>
    <t>1/800</t>
  </si>
  <si>
    <t>Calças compridas com elástico e cordão, em gabardine, em cor sóbria;</t>
  </si>
  <si>
    <t>Botas, na cor preta, com solado baixo em borracha</t>
  </si>
  <si>
    <t>Meias em algodão;</t>
  </si>
  <si>
    <t>-</t>
  </si>
  <si>
    <t>Valor médio Unitário</t>
  </si>
  <si>
    <t>Aspirador de pó/água, potência mínima 1.400W, com sopro de ar, filtro, reservatório de 14L ou superior, selo procel A.</t>
  </si>
  <si>
    <t>Abafador para ruídos em formato de concha, regulável, com nível de redução de ruídos acima de 85DB</t>
  </si>
  <si>
    <t>Aparador para grama - roçadeira, potência 1700W, rotação 12300 rpm, gasolina.</t>
  </si>
  <si>
    <t>Balde plástico c/ alça de arame galvanizado - 12 Litros</t>
  </si>
  <si>
    <t>Bico para mangueira 1/2 em aço, tipo pistola</t>
  </si>
  <si>
    <t>Carrinho de mão pneu com câmara</t>
  </si>
  <si>
    <t>Chapéu com proteção para nuca</t>
  </si>
  <si>
    <t>Desentupidor de pia, cabo de madeira ou plástico, comprimento do cabo: 20cm</t>
  </si>
  <si>
    <t>Desentupidor de vaso sanitário em borracha; cabo em madeira; comprimento do cabo: 50cm</t>
  </si>
  <si>
    <t>Enxada com cabo</t>
  </si>
  <si>
    <t>Enceradeira industrial, 1 base de madeira, 1 disco abrasivo, 1 escova nylon, medida: 350mm, motor 3/4hp, antichoque, trava de segurança, rodas fortiprene alta durabilidade, 220v</t>
  </si>
  <si>
    <t>Escada de 04 metros articulada</t>
  </si>
  <si>
    <t>Escada de alumínio, contendo 07 degraus articuláveis, antiderrapante.</t>
  </si>
  <si>
    <t>Lavadora alta pressão profissional, na voltagem 220v, pressão mínima de 1600 libras vazão 360l/h, em polipropileno, com carrinho de transporte, alça, aplicador de detergente integrado, auto escova, bico lança com jato leque e concentrado, potencia mínima 1600w, função autostop.</t>
  </si>
  <si>
    <t>Luva de tecido (malha pigmentada) – par</t>
  </si>
  <si>
    <t>Mangueira jardim tipo emborrachada ½, comprimento mínimo de 50 metros.</t>
  </si>
  <si>
    <t>Pá grande, material aço, cabo madeira</t>
  </si>
  <si>
    <t>Pá plástica coletora de lixo, mínimo 16x18, cabo 80cm</t>
  </si>
  <si>
    <t>Rastelo para grama</t>
  </si>
  <si>
    <t>Rodo (40 cm com cabo) - 02 borrachas</t>
  </si>
  <si>
    <t>Rodo (60 cm com cabo) - 02 borrachas</t>
  </si>
  <si>
    <t>Tesoura para grama</t>
  </si>
  <si>
    <t>Vassoura piaçava (ou similar), cerdas de nylon chapa com capa e cabo revestido em plástico com no mínimo 120 cm de comprimento.</t>
  </si>
  <si>
    <t>Vassoura Gari, comprimento do cabo: 150cm.</t>
  </si>
  <si>
    <t>Vassoura de Pelo 40 cm, com cabo madeira. Material Cepo: madeira, material cerdas: nylon, cabo de madeira com comprimento de 1,20 m, comprimento Cepo: 40 cm, aplicação: limpeza em geral, características adicionais: com cabo perfeitamente reto lixado e recoberto com capa plástica.</t>
  </si>
  <si>
    <t>Vassoura para limpeza de teto, tipo vasculho, cerdas de sisal, cabo de madeira de 1,70 m.</t>
  </si>
  <si>
    <t>Carro Funcional Limpeza, especificações mínimas: 03 prateleiras, 04 baldes, saco funcional e tampa. Comprimento x Largura x Altura: 114 cm x 48 cm x 96 cm</t>
  </si>
  <si>
    <t>UNF</t>
  </si>
  <si>
    <t>Água sanitária de 1ª qualidade (Hipoclorito de sódio) concentrada com registro na ANVISA – Galão c/ 05 Litros.</t>
  </si>
  <si>
    <t>Detergente líquido tipo lava louças - Frasco de 500 ml.</t>
  </si>
  <si>
    <t>Desodorizador de ar, aromatizante de ambientes - frasco com 360 ml, não agressivo a camada de ôzonio.</t>
  </si>
  <si>
    <t>Limpa vidro líquido – 500 ml</t>
  </si>
  <si>
    <t>Luva de borracha, antiderrapante.</t>
  </si>
  <si>
    <t>Sabão em Barra de 1° qualidade 100% biodegradável com Registro ANVISA – pacote com 05 unidades.</t>
  </si>
  <si>
    <t>Sabão em pó 100% biodegradável com Registro ANVISA – caixa de 01 kg.</t>
  </si>
  <si>
    <t>MARCA/REFERÊNCIA</t>
  </si>
  <si>
    <t>Q-Boa ou similar</t>
  </si>
  <si>
    <t>Pinhosol ou similar</t>
  </si>
  <si>
    <t>Veja ou similar</t>
  </si>
  <si>
    <t>Limpol, Ipê ou similar</t>
  </si>
  <si>
    <t>Bom Ar ou similar</t>
  </si>
  <si>
    <t>3M ou similar</t>
  </si>
  <si>
    <t>Bombril ou similar</t>
  </si>
  <si>
    <t>Sanro ou similar</t>
  </si>
  <si>
    <t>Perfex ou similar</t>
  </si>
  <si>
    <t>Brilhante ou similar</t>
  </si>
  <si>
    <t>QUANT AGA</t>
  </si>
  <si>
    <t xml:space="preserve">Valor Total </t>
  </si>
  <si>
    <t>Vida útil ano</t>
  </si>
  <si>
    <t>Qtde Total</t>
  </si>
  <si>
    <t>LT</t>
  </si>
  <si>
    <t xml:space="preserve">VALOR  TOTAL </t>
  </si>
  <si>
    <t>QUANT TOTAL</t>
  </si>
  <si>
    <t>Valor Total Semestral</t>
  </si>
  <si>
    <t>TOTAL MENSAL</t>
  </si>
  <si>
    <t>TOTAL POR POSTO - MENSAL</t>
  </si>
  <si>
    <t>QUANT ANUAL</t>
  </si>
  <si>
    <t>Camisesta manga curta</t>
  </si>
  <si>
    <t>Camiseta manga longa</t>
  </si>
  <si>
    <t xml:space="preserve">*Depreciação realizada método linha reta = (valor do equipamento x 100%-a taxa de depreciação IN RFB nº 1700/2017) / (meses do contrato(12) x tempo de vida útil) </t>
  </si>
  <si>
    <r>
      <t xml:space="preserve">Depreciação mensal </t>
    </r>
    <r>
      <rPr>
        <b/>
        <sz val="11"/>
        <color rgb="FFFF0000"/>
        <rFont val="Arial"/>
        <family val="2"/>
      </rPr>
      <t>*</t>
    </r>
  </si>
  <si>
    <t>Qtde total semestral</t>
  </si>
  <si>
    <t>MATERIAIS E EPIs</t>
  </si>
  <si>
    <t>Áreas</t>
  </si>
  <si>
    <t>Áreas Totais por unidade</t>
  </si>
  <si>
    <t>Metragem de áreas</t>
  </si>
  <si>
    <t>Área Interna</t>
  </si>
  <si>
    <t>Área Externa</t>
  </si>
  <si>
    <t>Fachada</t>
  </si>
  <si>
    <t>Piso frio/ acarpetado</t>
  </si>
  <si>
    <t>Depósito e almoxarifado</t>
  </si>
  <si>
    <t>Laboratório</t>
  </si>
  <si>
    <t>Oficina</t>
  </si>
  <si>
    <t>Hall e saguão</t>
  </si>
  <si>
    <t>Banheiros</t>
  </si>
  <si>
    <t>Pisos pavimentados - estacionamento</t>
  </si>
  <si>
    <t>Varrição de Passeios/arruamentos</t>
  </si>
  <si>
    <t>Face externa SEM risco</t>
  </si>
  <si>
    <t>Face interna</t>
  </si>
  <si>
    <t>Fachada Envidraçada</t>
  </si>
  <si>
    <t>Áreas Internas</t>
  </si>
  <si>
    <t>Áreas Externas</t>
  </si>
  <si>
    <t>Esquadrias e Fachadas</t>
  </si>
  <si>
    <t>Total</t>
  </si>
  <si>
    <t>Produtividades da IN 05/2017</t>
  </si>
  <si>
    <t>Mínima</t>
  </si>
  <si>
    <t>Máxima</t>
  </si>
  <si>
    <t>ÁREAS INTERNAS</t>
  </si>
  <si>
    <t>Pisos Acarpetados e frios</t>
  </si>
  <si>
    <t>Almoxarifados/depósitos</t>
  </si>
  <si>
    <t>Laboratórios</t>
  </si>
  <si>
    <t>Hall e Saguão</t>
  </si>
  <si>
    <t>Banheiros e copas</t>
  </si>
  <si>
    <t>ÁREAS EXTERNAS</t>
  </si>
  <si>
    <t>Pátios/Áreas verdes c/ baixa frequência</t>
  </si>
  <si>
    <t>ESQUADRIAS EXTERNAS</t>
  </si>
  <si>
    <t>Produtividades</t>
  </si>
  <si>
    <t>Face externa c/ exposição a risco</t>
  </si>
  <si>
    <t>UNIDADES</t>
  </si>
  <si>
    <t>Face externa s/ exposição a risco</t>
  </si>
  <si>
    <t>Frequência</t>
  </si>
  <si>
    <t>Diária</t>
  </si>
  <si>
    <t>Semanal</t>
  </si>
  <si>
    <t>Mensal</t>
  </si>
  <si>
    <t>Bimestral</t>
  </si>
  <si>
    <t>Semestral</t>
  </si>
  <si>
    <t>FACHADA ENVIDRAÇADA</t>
  </si>
  <si>
    <t>Fachada envidraçada</t>
  </si>
  <si>
    <t>Memória de cálculo</t>
  </si>
  <si>
    <t>Frequência diária</t>
  </si>
  <si>
    <t>=1/produtividade</t>
  </si>
  <si>
    <t>Frequência semanal</t>
  </si>
  <si>
    <t>=(1/produtividade) * (1/188,76)*(32) onde 32 é o resultado de 8h diárias 4 vezes no mês</t>
  </si>
  <si>
    <t>Frequência quinzenal</t>
  </si>
  <si>
    <t>=(1/produtividade) * (1/188,76)*(16) onde 16 é o resultado de 8h diárias 2 vezes por mês</t>
  </si>
  <si>
    <t>Frequência mensal</t>
  </si>
  <si>
    <t>=(1/produtividade) * (1/188,76)*(8) onde 8 é o resultado de 8h diárias 1 vez por mês</t>
  </si>
  <si>
    <t>Frequência semestral</t>
  </si>
  <si>
    <t>=(1/produtividade) * (1/188,76)*(1,33) onde 1,33 é o resultado de 8h diárias diluídas em seis meses</t>
  </si>
  <si>
    <t>Referência - jornada de 44h semanais</t>
  </si>
  <si>
    <t xml:space="preserve">Número de horas no mês: </t>
  </si>
  <si>
    <t>Sendo: 4,29 corresponde ao nº de semanas/mês</t>
  </si>
  <si>
    <t>Referências</t>
  </si>
  <si>
    <t xml:space="preserve">            44 corresponde a jornada semanal</t>
  </si>
  <si>
    <t>FREQUÊNCIA</t>
  </si>
  <si>
    <t>DIÁRIA</t>
  </si>
  <si>
    <t>SEMANAL</t>
  </si>
  <si>
    <t>BIMESTRAL</t>
  </si>
  <si>
    <t>SEMESTRAL</t>
  </si>
  <si>
    <t xml:space="preserve">Número de hora no mês: </t>
  </si>
  <si>
    <t>PRODUTIVIDADE x FREQUENCIA</t>
  </si>
  <si>
    <t>Regras para arredondamento</t>
  </si>
  <si>
    <t>valor  = x,Y</t>
  </si>
  <si>
    <t>Número de funcionários a serem alocados</t>
  </si>
  <si>
    <t>Se Y &gt; 5 arredonda para cima</t>
  </si>
  <si>
    <t>Se Y &lt;= 5 arredonda para baixo</t>
  </si>
  <si>
    <t>Edifício Sede SR</t>
  </si>
  <si>
    <t>Depósito</t>
  </si>
  <si>
    <t>Araguaína</t>
  </si>
  <si>
    <t>Pisos pavimentados</t>
  </si>
  <si>
    <t>Áreas Verdes com baixa frequência</t>
  </si>
  <si>
    <t>Áreas Verdes com baixa</t>
  </si>
  <si>
    <t xml:space="preserve">total </t>
  </si>
  <si>
    <t>1/360</t>
  </si>
  <si>
    <t>1/200</t>
  </si>
  <si>
    <t>1/1800</t>
  </si>
  <si>
    <t>1/6000</t>
  </si>
  <si>
    <t>TOTAL POR POSTO - MENSAL ( CONSIDERANDO 07 POSTOS)</t>
  </si>
  <si>
    <t>TOTAL POR POSTO - MENSAL (Considerando 07 Postos)</t>
  </si>
  <si>
    <t>TOTAL MENSAL POR POSTO (Considerando 07 postos)</t>
  </si>
  <si>
    <t>Insumos</t>
  </si>
  <si>
    <t>CUSTOS INDIRETOS, TRIBUTOS E LUCRO</t>
  </si>
  <si>
    <t>1/130</t>
  </si>
  <si>
    <t>ÁREA INTERNA - PISOS FRIOS  - DIÁRIO</t>
  </si>
  <si>
    <t>ÁREA INTERNA - BANHEIROS - DIÁRIOS</t>
  </si>
  <si>
    <t>ÁREA EXTERNA - Varrição de passeios e arruamentos - DIÁRIO</t>
  </si>
  <si>
    <t>1/300</t>
  </si>
  <si>
    <t>ÁREA EXTERNA - Face externa sem exposição de situação de risco - BIMESTRAL</t>
  </si>
  <si>
    <t>ÁREA EXTERNA - Fachadas envidraçadas - SEMESTRAL</t>
  </si>
  <si>
    <t>1/1500</t>
  </si>
  <si>
    <t>ÁREA EXTERNA - Pátios e áreas verdes com baixa frequência - SEMANAL</t>
  </si>
  <si>
    <t>ÁREA EXTERNA - Pátios e áreas verdes com alta frequência - SEMANAL</t>
  </si>
  <si>
    <t>TOTAL AREA</t>
  </si>
  <si>
    <t>ARAGUAÍNA/TO</t>
  </si>
  <si>
    <t>04 postos</t>
  </si>
  <si>
    <t>01 posto</t>
  </si>
  <si>
    <t>02 postos</t>
  </si>
  <si>
    <t>Grupo</t>
  </si>
  <si>
    <t>Localidade</t>
  </si>
  <si>
    <t>Item</t>
  </si>
  <si>
    <t>Valor da unidade de medida - R$</t>
  </si>
  <si>
    <t>Quantidade</t>
  </si>
  <si>
    <t>Valor Mensal - R$</t>
  </si>
  <si>
    <t>Valor Total 12 meses</t>
  </si>
  <si>
    <t>Valor Total 60 meses</t>
  </si>
  <si>
    <t>m²</t>
  </si>
  <si>
    <t>Palmas - Sede</t>
  </si>
  <si>
    <t>Palmas- Depósito</t>
  </si>
  <si>
    <t>Limpeza e conservação (CBO 5143-20</t>
  </si>
  <si>
    <t>SIM</t>
  </si>
  <si>
    <t>NÃO</t>
  </si>
  <si>
    <t>VALOR TOTAL</t>
  </si>
  <si>
    <t>MULTA DO FGTS SOBRE AVISO PRÉVIO TRABALHADO</t>
  </si>
  <si>
    <t>MENSAL</t>
  </si>
  <si>
    <t>ÁREA INTERNA -  Áreas com espaços livres (sagão/hall) - DIÁRIO</t>
  </si>
  <si>
    <t>1/1000</t>
  </si>
  <si>
    <t>ÁREA EXTERNA - PISOS PAVIMENTADOS ADJACENTES/CONTÍGUOS ÀS EDIFICAÇÕES - SEMANAL</t>
  </si>
  <si>
    <t>ÁREA INTERNA - Laboratórios - SEMANAL</t>
  </si>
  <si>
    <t>ÁREA INTERNA -  Áreas com espaços livres(SAGUÃO/HALL) - DIÁRIO</t>
  </si>
  <si>
    <t>Quinzenal</t>
  </si>
  <si>
    <t>ÁREA INTERNA - Almoxarifados/depósitos - QUINZENAL</t>
  </si>
  <si>
    <t>Limpeza e conservação (CBO 5143-20)</t>
  </si>
  <si>
    <t>SUBSTITUTO NA COBERTURA DE LICENÇA MATERNIDADE</t>
  </si>
  <si>
    <t>Processo Administrativo n.° 08297.001529/2023-79</t>
  </si>
  <si>
    <t xml:space="preserve">PLANILHA DE ESTIMATIVA DE CUSTO - </t>
  </si>
  <si>
    <t>Alterar somente as células que estão em verde</t>
  </si>
  <si>
    <t>Uniforme</t>
  </si>
  <si>
    <t xml:space="preserve">Uniforme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</si>
</sst>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&quot;R$&quot;* #,##0.00_);_(&quot;R$&quot;* \(#,##0.00\);_(&quot;R$&quot;* \-??_);_(@_)"/>
    <numFmt numFmtId="166" formatCode="0.000"/>
    <numFmt numFmtId="167" formatCode="0.0000"/>
    <numFmt numFmtId="168" formatCode="&quot;R$&quot;\ #,##0.00"/>
    <numFmt numFmtId="169" formatCode="0.000000000000"/>
    <numFmt numFmtId="170" formatCode="_-&quot;R$&quot;* #,##0.00000_-;\-&quot;R$&quot;* #,##0.00000_-;_-&quot;R$&quot;* &quot;-&quot;?????_-;_-@_-"/>
    <numFmt numFmtId="171" formatCode="0.00000"/>
    <numFmt numFmtId="172" formatCode="0.000000"/>
  </numFmts>
  <fonts count="57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12"/>
      <color indexed="9"/>
      <name val="Arial"/>
      <family val="2"/>
    </font>
    <font>
      <b/>
      <sz val="12"/>
      <color indexed="9"/>
      <name val="Calibri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9"/>
      <color rgb="FF00000A"/>
      <name val="Arial"/>
      <family val="2"/>
    </font>
    <font>
      <sz val="12"/>
      <color theme="0"/>
      <name val="Arial"/>
      <family val="2"/>
    </font>
    <font>
      <sz val="12"/>
      <color rgb="FFFF0000"/>
      <name val="Arial"/>
      <family val="2"/>
    </font>
    <font>
      <sz val="12"/>
      <color theme="1"/>
      <name val="Arial"/>
      <family val="2"/>
    </font>
    <font>
      <b/>
      <sz val="18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name val="Century Gothic"/>
      <family val="2"/>
    </font>
    <font>
      <sz val="12"/>
      <name val="Century Gothic"/>
      <family val="2"/>
    </font>
    <font>
      <sz val="11"/>
      <name val="Century Gothic"/>
      <family val="2"/>
    </font>
    <font>
      <b/>
      <sz val="12"/>
      <color theme="1"/>
      <name val="Century Gothic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9"/>
        <bgColor indexed="26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26"/>
      </patternFill>
    </fill>
    <fill>
      <patternFill patternType="solid">
        <fgColor theme="3" tint="0.39997558519241921"/>
        <bgColor indexed="4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26"/>
      </patternFill>
    </fill>
    <fill>
      <patternFill patternType="solid">
        <fgColor theme="0" tint="-0.249977111117893"/>
        <bgColor indexed="41"/>
      </patternFill>
    </fill>
    <fill>
      <patternFill patternType="solid">
        <fgColor theme="0" tint="-0.34998626667073579"/>
        <bgColor indexed="42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26"/>
      </patternFill>
    </fill>
    <fill>
      <patternFill patternType="solid">
        <fgColor rgb="FF92D050"/>
        <bgColor indexed="26"/>
      </patternFill>
    </fill>
    <fill>
      <patternFill patternType="solid">
        <fgColor rgb="FF92D050"/>
        <bgColor indexed="64"/>
      </patternFill>
    </fill>
  </fills>
  <borders count="101">
    <border>
      <left/>
      <right/>
      <top/>
      <bottom/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medium">
        <color indexed="58"/>
      </left>
      <right style="medium">
        <color indexed="58"/>
      </right>
      <top style="medium">
        <color indexed="58"/>
      </top>
      <bottom style="medium">
        <color indexed="58"/>
      </bottom>
      <diagonal/>
    </border>
    <border>
      <left style="medium">
        <color indexed="58"/>
      </left>
      <right/>
      <top/>
      <bottom style="medium">
        <color indexed="58"/>
      </bottom>
      <diagonal/>
    </border>
    <border>
      <left style="medium">
        <color indexed="58"/>
      </left>
      <right style="medium">
        <color indexed="58"/>
      </right>
      <top/>
      <bottom style="medium">
        <color indexed="58"/>
      </bottom>
      <diagonal/>
    </border>
    <border>
      <left/>
      <right style="medium">
        <color indexed="58"/>
      </right>
      <top style="medium">
        <color indexed="58"/>
      </top>
      <bottom style="medium">
        <color indexed="58"/>
      </bottom>
      <diagonal/>
    </border>
    <border>
      <left style="medium">
        <color indexed="58"/>
      </left>
      <right style="medium">
        <color indexed="58"/>
      </right>
      <top/>
      <bottom/>
      <diagonal/>
    </border>
    <border>
      <left/>
      <right/>
      <top/>
      <bottom style="medium">
        <color indexed="5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58"/>
      </top>
      <bottom/>
      <diagonal/>
    </border>
    <border>
      <left style="medium">
        <color indexed="58"/>
      </left>
      <right style="medium">
        <color indexed="58"/>
      </right>
      <top style="medium">
        <color indexed="58"/>
      </top>
      <bottom/>
      <diagonal/>
    </border>
    <border>
      <left/>
      <right style="medium">
        <color indexed="58"/>
      </right>
      <top/>
      <bottom style="medium">
        <color indexed="58"/>
      </bottom>
      <diagonal/>
    </border>
    <border>
      <left style="medium">
        <color indexed="58"/>
      </left>
      <right/>
      <top style="medium">
        <color indexed="58"/>
      </top>
      <bottom style="medium">
        <color indexed="58"/>
      </bottom>
      <diagonal/>
    </border>
    <border>
      <left/>
      <right/>
      <top style="medium">
        <color indexed="58"/>
      </top>
      <bottom style="medium">
        <color indexed="58"/>
      </bottom>
      <diagonal/>
    </border>
    <border>
      <left/>
      <right/>
      <top/>
      <bottom style="medium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/>
      <diagonal/>
    </border>
    <border>
      <left style="thin">
        <color indexed="58"/>
      </left>
      <right style="thin">
        <color indexed="58"/>
      </right>
      <top/>
      <bottom/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58"/>
      </top>
      <bottom/>
      <diagonal/>
    </border>
    <border>
      <left/>
      <right style="medium">
        <color indexed="58"/>
      </right>
      <top style="medium">
        <color indexed="5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58"/>
      </right>
      <top style="medium">
        <color indexed="64"/>
      </top>
      <bottom style="medium">
        <color indexed="58"/>
      </bottom>
      <diagonal/>
    </border>
    <border>
      <left style="thin">
        <color indexed="64"/>
      </left>
      <right style="medium">
        <color indexed="58"/>
      </right>
      <top style="medium">
        <color indexed="58"/>
      </top>
      <bottom style="medium">
        <color indexed="58"/>
      </bottom>
      <diagonal/>
    </border>
    <border>
      <left/>
      <right style="medium">
        <color indexed="5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58"/>
      </left>
      <right/>
      <top style="medium">
        <color indexed="58"/>
      </top>
      <bottom/>
      <diagonal/>
    </border>
    <border>
      <left style="thin">
        <color indexed="58"/>
      </left>
      <right/>
      <top style="thin">
        <color indexed="5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58"/>
      </right>
      <top style="thin">
        <color indexed="58"/>
      </top>
      <bottom/>
      <diagonal/>
    </border>
    <border>
      <left style="medium">
        <color indexed="64"/>
      </left>
      <right style="thin">
        <color indexed="58"/>
      </right>
      <top style="medium">
        <color indexed="64"/>
      </top>
      <bottom style="medium">
        <color indexed="64"/>
      </bottom>
      <diagonal/>
    </border>
    <border>
      <left style="thin">
        <color indexed="58"/>
      </left>
      <right style="thin">
        <color indexed="58"/>
      </right>
      <top style="medium">
        <color indexed="64"/>
      </top>
      <bottom style="medium">
        <color indexed="64"/>
      </bottom>
      <diagonal/>
    </border>
    <border>
      <left style="thin">
        <color indexed="5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58"/>
      </bottom>
      <diagonal/>
    </border>
    <border>
      <left/>
      <right style="thin">
        <color indexed="58"/>
      </right>
      <top/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/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/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64"/>
      </bottom>
      <diagonal/>
    </border>
    <border>
      <left/>
      <right/>
      <top style="thin">
        <color indexed="58"/>
      </top>
      <bottom style="thin">
        <color indexed="64"/>
      </bottom>
      <diagonal/>
    </border>
    <border>
      <left/>
      <right style="thin">
        <color indexed="58"/>
      </right>
      <top style="thin">
        <color indexed="58"/>
      </top>
      <bottom style="thin">
        <color indexed="64"/>
      </bottom>
      <diagonal/>
    </border>
    <border>
      <left/>
      <right style="thin">
        <color indexed="5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/>
      <bottom/>
      <diagonal/>
    </border>
    <border>
      <left/>
      <right style="thin">
        <color indexed="58"/>
      </right>
      <top/>
      <bottom/>
      <diagonal/>
    </border>
    <border>
      <left style="thin">
        <color indexed="5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58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58"/>
      </bottom>
      <diagonal/>
    </border>
    <border>
      <left/>
      <right/>
      <top style="thin">
        <color indexed="64"/>
      </top>
      <bottom/>
      <diagonal/>
    </border>
    <border>
      <left style="medium">
        <color indexed="58"/>
      </left>
      <right style="medium">
        <color indexed="58"/>
      </right>
      <top style="medium">
        <color indexed="64"/>
      </top>
      <bottom style="medium">
        <color indexed="64"/>
      </bottom>
      <diagonal/>
    </border>
    <border>
      <left style="medium">
        <color indexed="5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58"/>
      </top>
      <bottom style="medium">
        <color indexed="5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58"/>
      </right>
      <top/>
      <bottom style="medium">
        <color indexed="58"/>
      </bottom>
      <diagonal/>
    </border>
    <border>
      <left style="medium">
        <color indexed="64"/>
      </left>
      <right style="medium">
        <color indexed="58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11" borderId="4" applyNumberFormat="0" applyAlignment="0" applyProtection="0"/>
    <xf numFmtId="0" fontId="8" fillId="0" borderId="6" applyNumberFormat="0" applyFill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4" applyNumberFormat="0" applyAlignment="0" applyProtection="0"/>
    <xf numFmtId="0" fontId="11" fillId="16" borderId="0" applyNumberFormat="0" applyBorder="0" applyAlignment="0" applyProtection="0"/>
    <xf numFmtId="165" fontId="20" fillId="0" borderId="0" applyFill="0" applyBorder="0" applyAlignment="0" applyProtection="0"/>
    <xf numFmtId="164" fontId="30" fillId="0" borderId="0" applyFont="0" applyFill="0" applyBorder="0" applyAlignment="0" applyProtection="0"/>
    <xf numFmtId="0" fontId="20" fillId="0" borderId="0"/>
    <xf numFmtId="0" fontId="20" fillId="4" borderId="7" applyNumberFormat="0" applyAlignment="0" applyProtection="0"/>
    <xf numFmtId="9" fontId="1" fillId="0" borderId="0" applyFill="0" applyBorder="0" applyAlignment="0" applyProtection="0"/>
    <xf numFmtId="0" fontId="12" fillId="11" borderId="8" applyNumberFormat="0" applyAlignment="0" applyProtection="0"/>
    <xf numFmtId="0" fontId="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17" borderId="5" applyNumberFormat="0" applyAlignment="0" applyProtection="0"/>
    <xf numFmtId="43" fontId="1" fillId="0" borderId="0" applyFill="0" applyBorder="0" applyAlignment="0" applyProtection="0"/>
  </cellStyleXfs>
  <cellXfs count="570">
    <xf numFmtId="0" fontId="0" fillId="0" borderId="0" xfId="0"/>
    <xf numFmtId="0" fontId="16" fillId="0" borderId="0" xfId="0" applyFont="1"/>
    <xf numFmtId="0" fontId="0" fillId="11" borderId="0" xfId="0" applyFill="1"/>
    <xf numFmtId="0" fontId="17" fillId="11" borderId="0" xfId="0" applyFont="1" applyFill="1" applyAlignment="1">
      <alignment horizontal="left"/>
    </xf>
    <xf numFmtId="0" fontId="17" fillId="11" borderId="10" xfId="0" applyFont="1" applyFill="1" applyBorder="1" applyAlignment="1">
      <alignment horizontal="center" vertical="center"/>
    </xf>
    <xf numFmtId="0" fontId="16" fillId="11" borderId="0" xfId="0" applyFont="1" applyFill="1"/>
    <xf numFmtId="14" fontId="16" fillId="11" borderId="10" xfId="0" applyNumberFormat="1" applyFont="1" applyFill="1" applyBorder="1" applyAlignment="1">
      <alignment horizontal="center" vertical="center"/>
    </xf>
    <xf numFmtId="0" fontId="17" fillId="11" borderId="11" xfId="0" applyFont="1" applyFill="1" applyBorder="1" applyAlignment="1">
      <alignment horizontal="center" vertical="center"/>
    </xf>
    <xf numFmtId="0" fontId="17" fillId="11" borderId="12" xfId="0" applyFont="1" applyFill="1" applyBorder="1" applyAlignment="1">
      <alignment horizontal="center" vertical="center"/>
    </xf>
    <xf numFmtId="10" fontId="16" fillId="11" borderId="10" xfId="0" applyNumberFormat="1" applyFont="1" applyFill="1" applyBorder="1" applyAlignment="1">
      <alignment horizontal="center" vertical="center"/>
    </xf>
    <xf numFmtId="10" fontId="16" fillId="11" borderId="13" xfId="0" applyNumberFormat="1" applyFont="1" applyFill="1" applyBorder="1" applyAlignment="1">
      <alignment horizontal="center" vertical="center"/>
    </xf>
    <xf numFmtId="0" fontId="17" fillId="11" borderId="14" xfId="0" applyFont="1" applyFill="1" applyBorder="1" applyAlignment="1">
      <alignment horizontal="center" vertical="center"/>
    </xf>
    <xf numFmtId="165" fontId="16" fillId="11" borderId="13" xfId="34" applyFont="1" applyFill="1" applyBorder="1" applyAlignment="1" applyProtection="1">
      <alignment vertical="center"/>
    </xf>
    <xf numFmtId="0" fontId="17" fillId="11" borderId="15" xfId="0" applyFont="1" applyFill="1" applyBorder="1" applyAlignment="1">
      <alignment horizontal="left" vertical="center"/>
    </xf>
    <xf numFmtId="165" fontId="16" fillId="11" borderId="16" xfId="0" applyNumberFormat="1" applyFont="1" applyFill="1" applyBorder="1" applyAlignment="1">
      <alignment vertical="center"/>
    </xf>
    <xf numFmtId="0" fontId="16" fillId="11" borderId="15" xfId="0" applyFont="1" applyFill="1" applyBorder="1" applyAlignment="1">
      <alignment horizontal="left" vertical="center"/>
    </xf>
    <xf numFmtId="0" fontId="18" fillId="11" borderId="16" xfId="0" applyFont="1" applyFill="1" applyBorder="1" applyAlignment="1">
      <alignment horizontal="center" vertical="center"/>
    </xf>
    <xf numFmtId="0" fontId="18" fillId="11" borderId="17" xfId="0" applyFont="1" applyFill="1" applyBorder="1" applyAlignment="1">
      <alignment horizontal="center" vertical="center"/>
    </xf>
    <xf numFmtId="10" fontId="16" fillId="11" borderId="12" xfId="38" applyNumberFormat="1" applyFont="1" applyFill="1" applyBorder="1" applyAlignment="1">
      <alignment horizontal="center" vertical="center"/>
    </xf>
    <xf numFmtId="165" fontId="19" fillId="11" borderId="16" xfId="0" applyNumberFormat="1" applyFont="1" applyFill="1" applyBorder="1" applyAlignment="1">
      <alignment vertical="center"/>
    </xf>
    <xf numFmtId="165" fontId="19" fillId="11" borderId="12" xfId="0" applyNumberFormat="1" applyFont="1" applyFill="1" applyBorder="1" applyAlignment="1">
      <alignment vertical="center"/>
    </xf>
    <xf numFmtId="10" fontId="16" fillId="0" borderId="16" xfId="0" applyNumberFormat="1" applyFont="1" applyBorder="1" applyAlignment="1">
      <alignment horizontal="center"/>
    </xf>
    <xf numFmtId="165" fontId="16" fillId="11" borderId="12" xfId="34" applyFont="1" applyFill="1" applyBorder="1" applyAlignment="1">
      <alignment vertical="center"/>
    </xf>
    <xf numFmtId="165" fontId="19" fillId="11" borderId="14" xfId="0" applyNumberFormat="1" applyFont="1" applyFill="1" applyBorder="1" applyAlignment="1">
      <alignment vertical="center"/>
    </xf>
    <xf numFmtId="165" fontId="16" fillId="11" borderId="10" xfId="0" applyNumberFormat="1" applyFont="1" applyFill="1" applyBorder="1" applyAlignment="1">
      <alignment vertical="center"/>
    </xf>
    <xf numFmtId="165" fontId="17" fillId="18" borderId="0" xfId="34" applyFont="1" applyFill="1" applyBorder="1" applyAlignment="1" applyProtection="1">
      <alignment vertical="center"/>
    </xf>
    <xf numFmtId="10" fontId="16" fillId="18" borderId="0" xfId="0" applyNumberFormat="1" applyFont="1" applyFill="1" applyAlignment="1">
      <alignment horizontal="center" vertical="center"/>
    </xf>
    <xf numFmtId="0" fontId="0" fillId="18" borderId="0" xfId="0" applyFill="1"/>
    <xf numFmtId="0" fontId="22" fillId="20" borderId="0" xfId="0" applyFont="1" applyFill="1"/>
    <xf numFmtId="0" fontId="32" fillId="20" borderId="0" xfId="0" applyFont="1" applyFill="1" applyAlignment="1">
      <alignment horizontal="center"/>
    </xf>
    <xf numFmtId="10" fontId="33" fillId="20" borderId="0" xfId="38" applyNumberFormat="1" applyFont="1" applyFill="1" applyAlignment="1">
      <alignment horizontal="center"/>
    </xf>
    <xf numFmtId="43" fontId="0" fillId="11" borderId="0" xfId="0" applyNumberFormat="1" applyFill="1"/>
    <xf numFmtId="10" fontId="16" fillId="11" borderId="20" xfId="0" applyNumberFormat="1" applyFont="1" applyFill="1" applyBorder="1" applyAlignment="1">
      <alignment horizontal="center" vertical="center"/>
    </xf>
    <xf numFmtId="0" fontId="16" fillId="11" borderId="21" xfId="0" applyFont="1" applyFill="1" applyBorder="1" applyAlignment="1">
      <alignment vertical="center"/>
    </xf>
    <xf numFmtId="0" fontId="16" fillId="11" borderId="22" xfId="0" applyFont="1" applyFill="1" applyBorder="1" applyAlignment="1">
      <alignment vertical="center"/>
    </xf>
    <xf numFmtId="0" fontId="17" fillId="18" borderId="0" xfId="0" applyFont="1" applyFill="1" applyAlignment="1">
      <alignment horizontal="center" vertical="center"/>
    </xf>
    <xf numFmtId="164" fontId="0" fillId="11" borderId="0" xfId="0" applyNumberFormat="1" applyFill="1"/>
    <xf numFmtId="169" fontId="0" fillId="11" borderId="0" xfId="0" applyNumberFormat="1" applyFill="1"/>
    <xf numFmtId="10" fontId="16" fillId="21" borderId="12" xfId="38" applyNumberFormat="1" applyFont="1" applyFill="1" applyBorder="1" applyAlignment="1">
      <alignment horizontal="center" vertical="center"/>
    </xf>
    <xf numFmtId="165" fontId="16" fillId="21" borderId="13" xfId="34" applyFont="1" applyFill="1" applyBorder="1" applyAlignment="1" applyProtection="1">
      <alignment vertical="center"/>
    </xf>
    <xf numFmtId="10" fontId="16" fillId="21" borderId="10" xfId="0" applyNumberFormat="1" applyFont="1" applyFill="1" applyBorder="1" applyAlignment="1">
      <alignment horizontal="center" vertical="center"/>
    </xf>
    <xf numFmtId="165" fontId="16" fillId="21" borderId="20" xfId="34" applyFont="1" applyFill="1" applyBorder="1" applyAlignment="1" applyProtection="1">
      <alignment vertical="center"/>
    </xf>
    <xf numFmtId="165" fontId="16" fillId="21" borderId="10" xfId="34" applyFont="1" applyFill="1" applyBorder="1" applyAlignment="1">
      <alignment vertical="center"/>
    </xf>
    <xf numFmtId="170" fontId="0" fillId="11" borderId="0" xfId="0" applyNumberFormat="1" applyFill="1"/>
    <xf numFmtId="0" fontId="24" fillId="0" borderId="0" xfId="0" applyFont="1" applyAlignment="1">
      <alignment vertical="center"/>
    </xf>
    <xf numFmtId="0" fontId="17" fillId="18" borderId="10" xfId="0" applyFont="1" applyFill="1" applyBorder="1" applyAlignment="1">
      <alignment horizontal="center" vertical="center"/>
    </xf>
    <xf numFmtId="10" fontId="1" fillId="0" borderId="16" xfId="38" applyNumberFormat="1" applyBorder="1" applyAlignment="1">
      <alignment horizontal="center" vertical="center"/>
    </xf>
    <xf numFmtId="9" fontId="16" fillId="18" borderId="13" xfId="0" applyNumberFormat="1" applyFont="1" applyFill="1" applyBorder="1" applyAlignment="1">
      <alignment vertical="center"/>
    </xf>
    <xf numFmtId="9" fontId="16" fillId="18" borderId="13" xfId="0" applyNumberFormat="1" applyFont="1" applyFill="1" applyBorder="1" applyAlignment="1">
      <alignment horizontal="right" vertical="center"/>
    </xf>
    <xf numFmtId="0" fontId="17" fillId="18" borderId="0" xfId="0" applyFont="1" applyFill="1" applyAlignment="1">
      <alignment horizontal="left" vertical="center"/>
    </xf>
    <xf numFmtId="0" fontId="34" fillId="0" borderId="0" xfId="0" applyFont="1"/>
    <xf numFmtId="0" fontId="34" fillId="0" borderId="0" xfId="0" applyFont="1" applyAlignment="1">
      <alignment vertical="center" wrapText="1"/>
    </xf>
    <xf numFmtId="0" fontId="16" fillId="18" borderId="18" xfId="0" applyFont="1" applyFill="1" applyBorder="1" applyAlignment="1">
      <alignment horizontal="left" vertical="center"/>
    </xf>
    <xf numFmtId="0" fontId="17" fillId="11" borderId="19" xfId="0" applyFont="1" applyFill="1" applyBorder="1" applyAlignment="1">
      <alignment horizontal="center" vertical="center"/>
    </xf>
    <xf numFmtId="0" fontId="35" fillId="0" borderId="0" xfId="0" applyFont="1"/>
    <xf numFmtId="0" fontId="34" fillId="0" borderId="23" xfId="0" applyFont="1" applyBorder="1" applyAlignment="1">
      <alignment horizontal="left" vertical="center" wrapText="1"/>
    </xf>
    <xf numFmtId="165" fontId="17" fillId="21" borderId="24" xfId="0" applyNumberFormat="1" applyFont="1" applyFill="1" applyBorder="1" applyAlignment="1">
      <alignment horizontal="center"/>
    </xf>
    <xf numFmtId="165" fontId="17" fillId="21" borderId="25" xfId="0" applyNumberFormat="1" applyFont="1" applyFill="1" applyBorder="1" applyAlignment="1">
      <alignment horizontal="center"/>
    </xf>
    <xf numFmtId="165" fontId="16" fillId="11" borderId="26" xfId="34" applyFont="1" applyFill="1" applyBorder="1" applyAlignment="1" applyProtection="1">
      <alignment horizontal="center" vertical="center"/>
    </xf>
    <xf numFmtId="0" fontId="27" fillId="11" borderId="0" xfId="0" applyFont="1" applyFill="1" applyAlignment="1">
      <alignment horizontal="center"/>
    </xf>
    <xf numFmtId="0" fontId="27" fillId="11" borderId="0" xfId="0" applyFont="1" applyFill="1" applyAlignment="1">
      <alignment horizontal="center" vertical="center"/>
    </xf>
    <xf numFmtId="165" fontId="17" fillId="11" borderId="0" xfId="34" applyFont="1" applyFill="1" applyBorder="1" applyAlignment="1" applyProtection="1">
      <alignment horizontal="center"/>
    </xf>
    <xf numFmtId="165" fontId="17" fillId="11" borderId="0" xfId="34" applyFont="1" applyFill="1" applyBorder="1" applyAlignment="1" applyProtection="1">
      <alignment horizontal="center" vertical="center"/>
    </xf>
    <xf numFmtId="0" fontId="23" fillId="18" borderId="0" xfId="0" applyFont="1" applyFill="1"/>
    <xf numFmtId="0" fontId="22" fillId="18" borderId="0" xfId="0" applyFont="1" applyFill="1"/>
    <xf numFmtId="0" fontId="37" fillId="19" borderId="0" xfId="0" applyFont="1" applyFill="1" applyAlignment="1">
      <alignment horizontal="center"/>
    </xf>
    <xf numFmtId="0" fontId="32" fillId="18" borderId="0" xfId="0" applyFont="1" applyFill="1" applyAlignment="1">
      <alignment horizontal="center"/>
    </xf>
    <xf numFmtId="0" fontId="30" fillId="19" borderId="0" xfId="0" applyFont="1" applyFill="1" applyAlignment="1">
      <alignment horizontal="center"/>
    </xf>
    <xf numFmtId="10" fontId="37" fillId="19" borderId="0" xfId="0" applyNumberFormat="1" applyFont="1" applyFill="1" applyAlignment="1">
      <alignment horizontal="center"/>
    </xf>
    <xf numFmtId="10" fontId="33" fillId="18" borderId="0" xfId="38" applyNumberFormat="1" applyFont="1" applyFill="1" applyAlignment="1">
      <alignment horizontal="center"/>
    </xf>
    <xf numFmtId="10" fontId="23" fillId="18" borderId="0" xfId="0" applyNumberFormat="1" applyFont="1" applyFill="1" applyAlignment="1">
      <alignment horizontal="center"/>
    </xf>
    <xf numFmtId="44" fontId="23" fillId="18" borderId="0" xfId="0" applyNumberFormat="1" applyFont="1" applyFill="1"/>
    <xf numFmtId="44" fontId="37" fillId="19" borderId="0" xfId="0" applyNumberFormat="1" applyFont="1" applyFill="1" applyAlignment="1">
      <alignment horizontal="center"/>
    </xf>
    <xf numFmtId="44" fontId="0" fillId="11" borderId="0" xfId="0" applyNumberFormat="1" applyFill="1"/>
    <xf numFmtId="0" fontId="38" fillId="0" borderId="28" xfId="0" applyFont="1" applyBorder="1" applyAlignment="1">
      <alignment horizontal="center" vertical="center" wrapText="1"/>
    </xf>
    <xf numFmtId="164" fontId="40" fillId="0" borderId="29" xfId="34" applyNumberFormat="1" applyFont="1" applyFill="1" applyBorder="1" applyAlignment="1">
      <alignment vertical="center" wrapText="1"/>
    </xf>
    <xf numFmtId="0" fontId="41" fillId="0" borderId="0" xfId="0" applyFont="1"/>
    <xf numFmtId="0" fontId="42" fillId="19" borderId="29" xfId="0" applyFont="1" applyFill="1" applyBorder="1" applyAlignment="1">
      <alignment horizontal="center" vertical="center" wrapText="1"/>
    </xf>
    <xf numFmtId="0" fontId="36" fillId="23" borderId="10" xfId="0" applyFont="1" applyFill="1" applyBorder="1" applyAlignment="1">
      <alignment horizontal="center" vertical="center"/>
    </xf>
    <xf numFmtId="0" fontId="36" fillId="23" borderId="12" xfId="0" applyFont="1" applyFill="1" applyBorder="1" applyAlignment="1">
      <alignment horizontal="center" vertical="center"/>
    </xf>
    <xf numFmtId="0" fontId="36" fillId="23" borderId="32" xfId="0" applyFont="1" applyFill="1" applyBorder="1" applyAlignment="1">
      <alignment horizontal="center" vertical="center"/>
    </xf>
    <xf numFmtId="165" fontId="36" fillId="23" borderId="20" xfId="0" applyNumberFormat="1" applyFont="1" applyFill="1" applyBorder="1"/>
    <xf numFmtId="0" fontId="36" fillId="23" borderId="20" xfId="0" applyFont="1" applyFill="1" applyBorder="1" applyAlignment="1">
      <alignment horizontal="center" vertical="center"/>
    </xf>
    <xf numFmtId="165" fontId="36" fillId="23" borderId="20" xfId="34" applyFont="1" applyFill="1" applyBorder="1" applyAlignment="1" applyProtection="1">
      <alignment vertical="center"/>
    </xf>
    <xf numFmtId="0" fontId="36" fillId="23" borderId="15" xfId="0" applyFont="1" applyFill="1" applyBorder="1" applyAlignment="1">
      <alignment vertical="center"/>
    </xf>
    <xf numFmtId="0" fontId="36" fillId="23" borderId="15" xfId="0" applyFont="1" applyFill="1" applyBorder="1" applyAlignment="1">
      <alignment horizontal="center" vertical="center"/>
    </xf>
    <xf numFmtId="165" fontId="36" fillId="23" borderId="13" xfId="34" applyFont="1" applyFill="1" applyBorder="1" applyAlignment="1" applyProtection="1">
      <alignment vertical="center"/>
    </xf>
    <xf numFmtId="0" fontId="36" fillId="23" borderId="33" xfId="0" applyFont="1" applyFill="1" applyBorder="1" applyAlignment="1">
      <alignment horizontal="center"/>
    </xf>
    <xf numFmtId="0" fontId="36" fillId="23" borderId="16" xfId="0" applyFont="1" applyFill="1" applyBorder="1" applyAlignment="1">
      <alignment horizontal="center" vertical="center"/>
    </xf>
    <xf numFmtId="168" fontId="36" fillId="23" borderId="12" xfId="44" applyNumberFormat="1" applyFont="1" applyFill="1" applyBorder="1" applyAlignment="1">
      <alignment horizontal="center" vertical="center"/>
    </xf>
    <xf numFmtId="0" fontId="36" fillId="23" borderId="33" xfId="0" applyFont="1" applyFill="1" applyBorder="1" applyAlignment="1">
      <alignment horizontal="center" vertical="center"/>
    </xf>
    <xf numFmtId="0" fontId="43" fillId="23" borderId="35" xfId="0" applyFont="1" applyFill="1" applyBorder="1" applyAlignment="1">
      <alignment horizontal="center" vertical="center"/>
    </xf>
    <xf numFmtId="0" fontId="36" fillId="23" borderId="35" xfId="0" applyFont="1" applyFill="1" applyBorder="1" applyAlignment="1">
      <alignment horizontal="center" vertical="center" shrinkToFit="1"/>
    </xf>
    <xf numFmtId="0" fontId="36" fillId="23" borderId="16" xfId="0" applyFont="1" applyFill="1" applyBorder="1" applyAlignment="1">
      <alignment horizontal="center" vertical="center" shrinkToFit="1"/>
    </xf>
    <xf numFmtId="0" fontId="36" fillId="24" borderId="36" xfId="0" applyFont="1" applyFill="1" applyBorder="1" applyAlignment="1">
      <alignment vertical="center"/>
    </xf>
    <xf numFmtId="165" fontId="36" fillId="24" borderId="12" xfId="34" applyFont="1" applyFill="1" applyBorder="1" applyAlignment="1" applyProtection="1">
      <alignment vertical="center"/>
    </xf>
    <xf numFmtId="168" fontId="17" fillId="20" borderId="12" xfId="38" applyNumberFormat="1" applyFont="1" applyFill="1" applyBorder="1" applyAlignment="1">
      <alignment horizontal="center" vertical="center"/>
    </xf>
    <xf numFmtId="168" fontId="17" fillId="20" borderId="10" xfId="34" applyNumberFormat="1" applyFont="1" applyFill="1" applyBorder="1" applyAlignment="1" applyProtection="1">
      <alignment horizontal="center" vertical="center"/>
      <protection locked="0"/>
    </xf>
    <xf numFmtId="0" fontId="16" fillId="20" borderId="10" xfId="0" applyFont="1" applyFill="1" applyBorder="1" applyAlignment="1" applyProtection="1">
      <alignment horizontal="center" vertical="center"/>
      <protection locked="0"/>
    </xf>
    <xf numFmtId="0" fontId="16" fillId="20" borderId="12" xfId="0" applyFont="1" applyFill="1" applyBorder="1" applyAlignment="1" applyProtection="1">
      <alignment horizontal="center" vertical="center"/>
      <protection locked="0"/>
    </xf>
    <xf numFmtId="0" fontId="16" fillId="20" borderId="14" xfId="0" applyFont="1" applyFill="1" applyBorder="1" applyAlignment="1" applyProtection="1">
      <alignment horizontal="center" vertical="center"/>
      <protection locked="0"/>
    </xf>
    <xf numFmtId="0" fontId="16" fillId="20" borderId="13" xfId="0" applyFont="1" applyFill="1" applyBorder="1" applyAlignment="1" applyProtection="1">
      <alignment horizontal="center" vertical="center"/>
      <protection locked="0"/>
    </xf>
    <xf numFmtId="0" fontId="16" fillId="20" borderId="20" xfId="0" applyFont="1" applyFill="1" applyBorder="1" applyAlignment="1" applyProtection="1">
      <alignment horizontal="center" vertical="center"/>
      <protection locked="0"/>
    </xf>
    <xf numFmtId="0" fontId="16" fillId="20" borderId="38" xfId="0" applyFont="1" applyFill="1" applyBorder="1" applyAlignment="1" applyProtection="1">
      <alignment horizontal="center" vertical="center"/>
      <protection locked="0"/>
    </xf>
    <xf numFmtId="165" fontId="16" fillId="20" borderId="13" xfId="0" applyNumberFormat="1" applyFont="1" applyFill="1" applyBorder="1" applyAlignment="1" applyProtection="1">
      <alignment vertical="center"/>
      <protection locked="0"/>
    </xf>
    <xf numFmtId="9" fontId="16" fillId="20" borderId="21" xfId="0" applyNumberFormat="1" applyFont="1" applyFill="1" applyBorder="1" applyAlignment="1" applyProtection="1">
      <alignment horizontal="center" vertical="center"/>
      <protection locked="0"/>
    </xf>
    <xf numFmtId="0" fontId="16" fillId="20" borderId="20" xfId="0" applyFont="1" applyFill="1" applyBorder="1" applyAlignment="1" applyProtection="1">
      <alignment vertical="center"/>
      <protection locked="0"/>
    </xf>
    <xf numFmtId="9" fontId="16" fillId="20" borderId="15" xfId="0" applyNumberFormat="1" applyFont="1" applyFill="1" applyBorder="1" applyAlignment="1" applyProtection="1">
      <alignment horizontal="center" vertical="center"/>
      <protection locked="0"/>
    </xf>
    <xf numFmtId="164" fontId="16" fillId="20" borderId="20" xfId="0" applyNumberFormat="1" applyFont="1" applyFill="1" applyBorder="1" applyAlignment="1" applyProtection="1">
      <alignment vertical="center"/>
      <protection locked="0"/>
    </xf>
    <xf numFmtId="9" fontId="44" fillId="20" borderId="15" xfId="0" applyNumberFormat="1" applyFont="1" applyFill="1" applyBorder="1" applyAlignment="1" applyProtection="1">
      <alignment horizontal="center" vertical="center"/>
      <protection locked="0"/>
    </xf>
    <xf numFmtId="0" fontId="16" fillId="20" borderId="12" xfId="0" applyFont="1" applyFill="1" applyBorder="1" applyAlignment="1">
      <alignment horizontal="center" vertical="center" wrapText="1"/>
    </xf>
    <xf numFmtId="168" fontId="16" fillId="20" borderId="19" xfId="34" applyNumberFormat="1" applyFont="1" applyFill="1" applyBorder="1" applyAlignment="1" applyProtection="1">
      <alignment horizontal="center" vertical="center"/>
      <protection locked="0"/>
    </xf>
    <xf numFmtId="0" fontId="16" fillId="20" borderId="39" xfId="0" applyFont="1" applyFill="1" applyBorder="1" applyAlignment="1" applyProtection="1">
      <alignment horizontal="center" vertical="center" wrapText="1" shrinkToFit="1"/>
      <protection locked="0"/>
    </xf>
    <xf numFmtId="49" fontId="16" fillId="20" borderId="14" xfId="0" applyNumberFormat="1" applyFont="1" applyFill="1" applyBorder="1" applyAlignment="1" applyProtection="1">
      <alignment horizontal="center" vertical="center"/>
      <protection locked="0"/>
    </xf>
    <xf numFmtId="1" fontId="16" fillId="20" borderId="10" xfId="0" applyNumberFormat="1" applyFont="1" applyFill="1" applyBorder="1" applyAlignment="1" applyProtection="1">
      <alignment horizontal="center" vertical="center"/>
      <protection locked="0"/>
    </xf>
    <xf numFmtId="165" fontId="16" fillId="0" borderId="0" xfId="0" applyNumberFormat="1" applyFont="1"/>
    <xf numFmtId="0" fontId="34" fillId="0" borderId="0" xfId="0" applyFont="1" applyAlignment="1">
      <alignment horizontal="left" vertical="center" wrapText="1"/>
    </xf>
    <xf numFmtId="0" fontId="36" fillId="23" borderId="13" xfId="0" applyFont="1" applyFill="1" applyBorder="1" applyAlignment="1">
      <alignment horizontal="center" vertical="center"/>
    </xf>
    <xf numFmtId="0" fontId="16" fillId="18" borderId="41" xfId="0" applyFont="1" applyFill="1" applyBorder="1" applyAlignment="1">
      <alignment horizontal="left" vertical="center"/>
    </xf>
    <xf numFmtId="0" fontId="16" fillId="18" borderId="22" xfId="0" applyFont="1" applyFill="1" applyBorder="1" applyAlignment="1">
      <alignment horizontal="left" vertical="center"/>
    </xf>
    <xf numFmtId="0" fontId="31" fillId="11" borderId="0" xfId="0" applyFont="1" applyFill="1" applyAlignment="1">
      <alignment horizontal="center"/>
    </xf>
    <xf numFmtId="0" fontId="16" fillId="18" borderId="21" xfId="0" applyFont="1" applyFill="1" applyBorder="1" applyAlignment="1">
      <alignment vertical="center"/>
    </xf>
    <xf numFmtId="0" fontId="16" fillId="18" borderId="22" xfId="0" applyFont="1" applyFill="1" applyBorder="1" applyAlignment="1">
      <alignment vertical="center"/>
    </xf>
    <xf numFmtId="0" fontId="36" fillId="23" borderId="35" xfId="0" applyFont="1" applyFill="1" applyBorder="1" applyAlignment="1">
      <alignment horizontal="left" vertical="center"/>
    </xf>
    <xf numFmtId="49" fontId="17" fillId="20" borderId="12" xfId="0" applyNumberFormat="1" applyFont="1" applyFill="1" applyBorder="1" applyAlignment="1">
      <alignment horizontal="center" vertical="center" wrapText="1"/>
    </xf>
    <xf numFmtId="165" fontId="16" fillId="11" borderId="24" xfId="34" applyFont="1" applyFill="1" applyBorder="1" applyAlignment="1" applyProtection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vertical="center"/>
    </xf>
    <xf numFmtId="4" fontId="16" fillId="11" borderId="0" xfId="0" applyNumberFormat="1" applyFont="1" applyFill="1"/>
    <xf numFmtId="0" fontId="16" fillId="11" borderId="0" xfId="0" applyFont="1" applyFill="1" applyAlignment="1">
      <alignment horizontal="center" vertical="center"/>
    </xf>
    <xf numFmtId="2" fontId="16" fillId="11" borderId="0" xfId="0" applyNumberFormat="1" applyFont="1" applyFill="1"/>
    <xf numFmtId="167" fontId="16" fillId="11" borderId="0" xfId="0" applyNumberFormat="1" applyFont="1" applyFill="1"/>
    <xf numFmtId="166" fontId="16" fillId="11" borderId="0" xfId="0" applyNumberFormat="1" applyFont="1" applyFill="1"/>
    <xf numFmtId="168" fontId="16" fillId="20" borderId="20" xfId="0" applyNumberFormat="1" applyFont="1" applyFill="1" applyBorder="1" applyAlignment="1" applyProtection="1">
      <alignment vertical="center"/>
      <protection locked="0"/>
    </xf>
    <xf numFmtId="0" fontId="0" fillId="19" borderId="29" xfId="0" applyFill="1" applyBorder="1" applyAlignment="1">
      <alignment horizontal="center" vertical="center"/>
    </xf>
    <xf numFmtId="165" fontId="20" fillId="19" borderId="29" xfId="34" applyFill="1" applyBorder="1" applyAlignment="1">
      <alignment horizontal="center" vertical="center"/>
    </xf>
    <xf numFmtId="44" fontId="0" fillId="0" borderId="29" xfId="34" applyNumberFormat="1" applyFont="1" applyFill="1" applyBorder="1" applyAlignment="1">
      <alignment horizontal="center" vertical="center"/>
    </xf>
    <xf numFmtId="2" fontId="17" fillId="21" borderId="22" xfId="0" applyNumberFormat="1" applyFont="1" applyFill="1" applyBorder="1" applyAlignment="1">
      <alignment vertical="center"/>
    </xf>
    <xf numFmtId="2" fontId="17" fillId="20" borderId="75" xfId="0" applyNumberFormat="1" applyFont="1" applyFill="1" applyBorder="1" applyAlignment="1">
      <alignment vertical="center"/>
    </xf>
    <xf numFmtId="168" fontId="17" fillId="28" borderId="29" xfId="34" applyNumberFormat="1" applyFont="1" applyFill="1" applyBorder="1" applyAlignment="1" applyProtection="1">
      <alignment vertical="center"/>
    </xf>
    <xf numFmtId="0" fontId="37" fillId="25" borderId="29" xfId="0" applyFont="1" applyFill="1" applyBorder="1" applyAlignment="1">
      <alignment horizontal="center" vertical="center" wrapText="1"/>
    </xf>
    <xf numFmtId="0" fontId="0" fillId="0" borderId="29" xfId="0" applyBorder="1" applyAlignment="1">
      <alignment wrapText="1"/>
    </xf>
    <xf numFmtId="0" fontId="0" fillId="19" borderId="43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165" fontId="0" fillId="19" borderId="29" xfId="34" applyFont="1" applyFill="1" applyBorder="1" applyAlignment="1">
      <alignment horizontal="center" vertical="center"/>
    </xf>
    <xf numFmtId="0" fontId="28" fillId="29" borderId="44" xfId="0" applyFont="1" applyFill="1" applyBorder="1" applyAlignment="1">
      <alignment horizontal="center" vertical="center" wrapText="1"/>
    </xf>
    <xf numFmtId="0" fontId="28" fillId="29" borderId="76" xfId="0" applyFont="1" applyFill="1" applyBorder="1" applyAlignment="1">
      <alignment horizontal="center" vertical="center" wrapText="1"/>
    </xf>
    <xf numFmtId="0" fontId="29" fillId="29" borderId="44" xfId="0" applyFont="1" applyFill="1" applyBorder="1" applyAlignment="1">
      <alignment horizontal="center" vertical="center" wrapText="1"/>
    </xf>
    <xf numFmtId="0" fontId="28" fillId="22" borderId="44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left" vertical="center" wrapText="1"/>
    </xf>
    <xf numFmtId="0" fontId="48" fillId="25" borderId="29" xfId="0" applyFont="1" applyFill="1" applyBorder="1" applyAlignment="1">
      <alignment horizontal="center" vertical="center" wrapText="1"/>
    </xf>
    <xf numFmtId="0" fontId="39" fillId="22" borderId="29" xfId="0" applyFont="1" applyFill="1" applyBorder="1" applyAlignment="1">
      <alignment horizontal="center" vertical="center" wrapText="1"/>
    </xf>
    <xf numFmtId="164" fontId="39" fillId="22" borderId="29" xfId="34" applyNumberFormat="1" applyFont="1" applyFill="1" applyBorder="1" applyAlignment="1">
      <alignment horizontal="center" vertical="center" wrapText="1"/>
    </xf>
    <xf numFmtId="164" fontId="39" fillId="22" borderId="29" xfId="34" applyNumberFormat="1" applyFont="1" applyFill="1" applyBorder="1" applyAlignment="1">
      <alignment vertical="center" wrapText="1"/>
    </xf>
    <xf numFmtId="0" fontId="48" fillId="25" borderId="30" xfId="0" applyFont="1" applyFill="1" applyBorder="1" applyAlignment="1">
      <alignment horizontal="center" vertical="center" wrapText="1"/>
    </xf>
    <xf numFmtId="0" fontId="0" fillId="19" borderId="30" xfId="0" applyFill="1" applyBorder="1" applyAlignment="1">
      <alignment horizontal="center" vertical="center"/>
    </xf>
    <xf numFmtId="0" fontId="0" fillId="0" borderId="30" xfId="34" applyNumberFormat="1" applyFont="1" applyBorder="1" applyAlignment="1">
      <alignment horizontal="center" vertical="center"/>
    </xf>
    <xf numFmtId="44" fontId="0" fillId="0" borderId="29" xfId="0" applyNumberFormat="1" applyBorder="1"/>
    <xf numFmtId="0" fontId="50" fillId="0" borderId="0" xfId="0" applyFont="1" applyAlignment="1">
      <alignment wrapText="1"/>
    </xf>
    <xf numFmtId="0" fontId="0" fillId="0" borderId="29" xfId="0" applyBorder="1" applyAlignment="1">
      <alignment horizontal="center" vertical="center" wrapText="1"/>
    </xf>
    <xf numFmtId="0" fontId="0" fillId="19" borderId="29" xfId="0" applyFill="1" applyBorder="1" applyAlignment="1">
      <alignment horizontal="center" vertical="center" wrapText="1"/>
    </xf>
    <xf numFmtId="44" fontId="28" fillId="25" borderId="29" xfId="34" applyNumberFormat="1" applyFont="1" applyFill="1" applyBorder="1" applyAlignment="1">
      <alignment horizontal="center" vertical="center"/>
    </xf>
    <xf numFmtId="0" fontId="52" fillId="0" borderId="0" xfId="0" applyFont="1"/>
    <xf numFmtId="0" fontId="51" fillId="33" borderId="81" xfId="0" applyFont="1" applyFill="1" applyBorder="1" applyAlignment="1">
      <alignment horizontal="center" vertical="center"/>
    </xf>
    <xf numFmtId="0" fontId="51" fillId="33" borderId="29" xfId="0" applyFont="1" applyFill="1" applyBorder="1" applyAlignment="1">
      <alignment horizontal="center" vertical="center" wrapText="1"/>
    </xf>
    <xf numFmtId="0" fontId="51" fillId="33" borderId="81" xfId="0" applyFont="1" applyFill="1" applyBorder="1" applyAlignment="1">
      <alignment horizontal="center" vertical="center" wrapText="1"/>
    </xf>
    <xf numFmtId="0" fontId="51" fillId="32" borderId="76" xfId="0" applyFont="1" applyFill="1" applyBorder="1" applyAlignment="1">
      <alignment horizontal="center" vertical="center" wrapText="1"/>
    </xf>
    <xf numFmtId="0" fontId="51" fillId="32" borderId="44" xfId="0" applyFont="1" applyFill="1" applyBorder="1" applyAlignment="1">
      <alignment horizontal="center" vertical="center" wrapText="1"/>
    </xf>
    <xf numFmtId="0" fontId="51" fillId="32" borderId="82" xfId="0" applyFont="1" applyFill="1" applyBorder="1" applyAlignment="1">
      <alignment horizontal="center" vertical="center" wrapText="1"/>
    </xf>
    <xf numFmtId="0" fontId="52" fillId="0" borderId="80" xfId="0" applyFont="1" applyBorder="1" applyAlignment="1">
      <alignment vertical="center" wrapText="1"/>
    </xf>
    <xf numFmtId="2" fontId="52" fillId="0" borderId="29" xfId="0" applyNumberFormat="1" applyFont="1" applyBorder="1" applyAlignment="1">
      <alignment horizontal="center" vertical="center" wrapText="1"/>
    </xf>
    <xf numFmtId="2" fontId="52" fillId="0" borderId="81" xfId="0" applyNumberFormat="1" applyFont="1" applyBorder="1" applyAlignment="1">
      <alignment horizontal="center" vertical="center" wrapText="1"/>
    </xf>
    <xf numFmtId="43" fontId="52" fillId="0" borderId="43" xfId="44" applyFont="1" applyFill="1" applyBorder="1" applyAlignment="1">
      <alignment horizontal="center" wrapText="1"/>
    </xf>
    <xf numFmtId="43" fontId="52" fillId="0" borderId="29" xfId="44" applyFont="1" applyFill="1" applyBorder="1" applyAlignment="1">
      <alignment horizontal="center" wrapText="1"/>
    </xf>
    <xf numFmtId="43" fontId="52" fillId="0" borderId="81" xfId="44" applyFont="1" applyFill="1" applyBorder="1" applyAlignment="1">
      <alignment horizontal="center" wrapText="1"/>
    </xf>
    <xf numFmtId="0" fontId="51" fillId="31" borderId="83" xfId="0" applyFont="1" applyFill="1" applyBorder="1" applyAlignment="1">
      <alignment horizontal="center" vertical="center"/>
    </xf>
    <xf numFmtId="0" fontId="51" fillId="31" borderId="28" xfId="0" applyFont="1" applyFill="1" applyBorder="1" applyAlignment="1">
      <alignment horizontal="center" vertical="center"/>
    </xf>
    <xf numFmtId="0" fontId="51" fillId="31" borderId="84" xfId="0" applyFont="1" applyFill="1" applyBorder="1" applyAlignment="1">
      <alignment horizontal="center" vertical="center"/>
    </xf>
    <xf numFmtId="0" fontId="52" fillId="0" borderId="80" xfId="0" applyFont="1" applyBorder="1" applyAlignment="1">
      <alignment vertical="center"/>
    </xf>
    <xf numFmtId="0" fontId="52" fillId="0" borderId="29" xfId="0" applyFont="1" applyBorder="1" applyAlignment="1">
      <alignment horizontal="center" vertical="center"/>
    </xf>
    <xf numFmtId="0" fontId="52" fillId="0" borderId="81" xfId="0" applyFont="1" applyBorder="1" applyAlignment="1">
      <alignment horizontal="center" vertical="center"/>
    </xf>
    <xf numFmtId="0" fontId="52" fillId="37" borderId="29" xfId="0" applyFont="1" applyFill="1" applyBorder="1" applyAlignment="1">
      <alignment horizontal="center" vertical="center"/>
    </xf>
    <xf numFmtId="0" fontId="52" fillId="37" borderId="81" xfId="0" applyFont="1" applyFill="1" applyBorder="1" applyAlignment="1">
      <alignment horizontal="center" vertical="center"/>
    </xf>
    <xf numFmtId="167" fontId="52" fillId="0" borderId="0" xfId="0" applyNumberFormat="1" applyFont="1"/>
    <xf numFmtId="0" fontId="51" fillId="36" borderId="80" xfId="0" applyFont="1" applyFill="1" applyBorder="1" applyAlignment="1">
      <alignment horizontal="center" vertical="center" wrapText="1"/>
    </xf>
    <xf numFmtId="0" fontId="51" fillId="36" borderId="29" xfId="0" applyFont="1" applyFill="1" applyBorder="1" applyAlignment="1">
      <alignment horizontal="center" vertical="center" wrapText="1"/>
    </xf>
    <xf numFmtId="0" fontId="51" fillId="36" borderId="81" xfId="0" applyFont="1" applyFill="1" applyBorder="1" applyAlignment="1">
      <alignment horizontal="center" vertical="center" wrapText="1"/>
    </xf>
    <xf numFmtId="0" fontId="53" fillId="36" borderId="29" xfId="0" applyFont="1" applyFill="1" applyBorder="1" applyAlignment="1">
      <alignment horizontal="center" vertical="center"/>
    </xf>
    <xf numFmtId="0" fontId="53" fillId="36" borderId="81" xfId="0" applyFont="1" applyFill="1" applyBorder="1" applyAlignment="1">
      <alignment horizontal="center" vertical="center"/>
    </xf>
    <xf numFmtId="0" fontId="52" fillId="0" borderId="71" xfId="0" applyFont="1" applyBorder="1" applyAlignment="1">
      <alignment horizontal="left" vertical="center"/>
    </xf>
    <xf numFmtId="0" fontId="52" fillId="0" borderId="72" xfId="0" applyFont="1" applyBorder="1" applyAlignment="1">
      <alignment horizontal="center" vertical="center"/>
    </xf>
    <xf numFmtId="0" fontId="52" fillId="0" borderId="73" xfId="0" applyFont="1" applyBorder="1" applyAlignment="1">
      <alignment horizontal="center" vertical="center"/>
    </xf>
    <xf numFmtId="0" fontId="52" fillId="0" borderId="86" xfId="0" applyFont="1" applyBorder="1" applyAlignment="1">
      <alignment vertical="center"/>
    </xf>
    <xf numFmtId="49" fontId="0" fillId="0" borderId="0" xfId="0" applyNumberFormat="1" applyAlignment="1">
      <alignment horizontal="left" vertical="center"/>
    </xf>
    <xf numFmtId="0" fontId="37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0" fontId="52" fillId="0" borderId="87" xfId="0" applyFont="1" applyBorder="1" applyAlignment="1">
      <alignment vertical="center"/>
    </xf>
    <xf numFmtId="0" fontId="52" fillId="0" borderId="88" xfId="0" applyFont="1" applyBorder="1" applyAlignment="1">
      <alignment vertical="center"/>
    </xf>
    <xf numFmtId="49" fontId="0" fillId="0" borderId="23" xfId="0" applyNumberFormat="1" applyBorder="1" applyAlignment="1">
      <alignment horizontal="left" vertical="center"/>
    </xf>
    <xf numFmtId="0" fontId="52" fillId="0" borderId="23" xfId="0" applyFont="1" applyBorder="1" applyAlignment="1">
      <alignment vertical="center"/>
    </xf>
    <xf numFmtId="0" fontId="52" fillId="0" borderId="89" xfId="0" applyFont="1" applyBorder="1" applyAlignment="1">
      <alignment vertical="center"/>
    </xf>
    <xf numFmtId="0" fontId="0" fillId="0" borderId="71" xfId="0" applyBorder="1" applyAlignment="1">
      <alignment vertical="center" wrapText="1"/>
    </xf>
    <xf numFmtId="0" fontId="0" fillId="0" borderId="73" xfId="0" applyBorder="1" applyAlignment="1">
      <alignment horizontal="center" vertical="center"/>
    </xf>
    <xf numFmtId="0" fontId="52" fillId="0" borderId="0" xfId="0" applyFont="1" applyAlignment="1">
      <alignment horizontal="left" vertical="center"/>
    </xf>
    <xf numFmtId="0" fontId="0" fillId="0" borderId="74" xfId="0" applyBorder="1" applyAlignment="1">
      <alignment vertical="center"/>
    </xf>
    <xf numFmtId="0" fontId="0" fillId="0" borderId="78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37" fillId="0" borderId="92" xfId="0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0" fillId="0" borderId="83" xfId="0" applyBorder="1" applyAlignment="1">
      <alignment vertical="center"/>
    </xf>
    <xf numFmtId="0" fontId="0" fillId="0" borderId="30" xfId="0" applyBorder="1" applyAlignment="1">
      <alignment horizontal="center" vertical="center"/>
    </xf>
    <xf numFmtId="0" fontId="0" fillId="0" borderId="9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4" xfId="0" applyBorder="1" applyAlignment="1">
      <alignment vertical="center"/>
    </xf>
    <xf numFmtId="171" fontId="0" fillId="0" borderId="72" xfId="0" applyNumberFormat="1" applyBorder="1" applyAlignment="1">
      <alignment horizontal="center" vertical="center"/>
    </xf>
    <xf numFmtId="172" fontId="0" fillId="0" borderId="72" xfId="0" applyNumberFormat="1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1" fillId="0" borderId="85" xfId="0" applyFont="1" applyBorder="1" applyAlignment="1">
      <alignment horizontal="center"/>
    </xf>
    <xf numFmtId="0" fontId="51" fillId="0" borderId="79" xfId="0" applyFont="1" applyBorder="1" applyAlignment="1">
      <alignment horizontal="center"/>
    </xf>
    <xf numFmtId="0" fontId="52" fillId="0" borderId="86" xfId="0" applyFont="1" applyBorder="1"/>
    <xf numFmtId="0" fontId="52" fillId="0" borderId="87" xfId="0" applyFont="1" applyBorder="1"/>
    <xf numFmtId="0" fontId="51" fillId="32" borderId="80" xfId="0" applyFont="1" applyFill="1" applyBorder="1" applyAlignment="1">
      <alignment horizontal="center" vertical="center" wrapText="1"/>
    </xf>
    <xf numFmtId="0" fontId="51" fillId="32" borderId="29" xfId="0" applyFont="1" applyFill="1" applyBorder="1" applyAlignment="1">
      <alignment horizontal="center" vertical="center" wrapText="1"/>
    </xf>
    <xf numFmtId="0" fontId="52" fillId="0" borderId="88" xfId="0" applyFont="1" applyBorder="1"/>
    <xf numFmtId="0" fontId="52" fillId="0" borderId="89" xfId="0" applyFont="1" applyBorder="1"/>
    <xf numFmtId="0" fontId="53" fillId="32" borderId="29" xfId="0" applyFont="1" applyFill="1" applyBorder="1" applyAlignment="1">
      <alignment horizontal="center" vertical="center"/>
    </xf>
    <xf numFmtId="2" fontId="52" fillId="0" borderId="29" xfId="0" applyNumberFormat="1" applyFont="1" applyBorder="1" applyAlignment="1">
      <alignment horizontal="center" wrapText="1"/>
    </xf>
    <xf numFmtId="166" fontId="52" fillId="0" borderId="29" xfId="0" applyNumberFormat="1" applyFont="1" applyBorder="1" applyAlignment="1">
      <alignment horizontal="center" wrapText="1"/>
    </xf>
    <xf numFmtId="166" fontId="51" fillId="0" borderId="81" xfId="0" applyNumberFormat="1" applyFont="1" applyBorder="1" applyAlignment="1">
      <alignment horizontal="center" wrapText="1"/>
    </xf>
    <xf numFmtId="0" fontId="54" fillId="0" borderId="29" xfId="0" applyFont="1" applyBorder="1" applyAlignment="1">
      <alignment horizontal="center" wrapText="1"/>
    </xf>
    <xf numFmtId="0" fontId="54" fillId="0" borderId="81" xfId="0" applyFont="1" applyBorder="1" applyAlignment="1">
      <alignment horizontal="center" wrapText="1"/>
    </xf>
    <xf numFmtId="0" fontId="51" fillId="0" borderId="77" xfId="0" applyFont="1" applyBorder="1" applyAlignment="1">
      <alignment horizontal="center" vertical="center" wrapText="1"/>
    </xf>
    <xf numFmtId="0" fontId="51" fillId="0" borderId="78" xfId="0" applyFont="1" applyBorder="1" applyAlignment="1">
      <alignment horizontal="center" vertical="center" wrapText="1"/>
    </xf>
    <xf numFmtId="0" fontId="51" fillId="0" borderId="70" xfId="0" applyFont="1" applyBorder="1" applyAlignment="1">
      <alignment horizontal="center" vertical="center" wrapText="1"/>
    </xf>
    <xf numFmtId="0" fontId="52" fillId="0" borderId="80" xfId="0" applyFont="1" applyBorder="1" applyAlignment="1">
      <alignment horizontal="left" vertical="center" wrapText="1"/>
    </xf>
    <xf numFmtId="166" fontId="52" fillId="0" borderId="0" xfId="0" applyNumberFormat="1" applyFont="1"/>
    <xf numFmtId="44" fontId="28" fillId="25" borderId="29" xfId="0" applyNumberFormat="1" applyFont="1" applyFill="1" applyBorder="1"/>
    <xf numFmtId="165" fontId="37" fillId="25" borderId="29" xfId="0" applyNumberFormat="1" applyFont="1" applyFill="1" applyBorder="1" applyAlignment="1">
      <alignment horizontal="center" vertical="center"/>
    </xf>
    <xf numFmtId="168" fontId="37" fillId="25" borderId="29" xfId="0" applyNumberFormat="1" applyFont="1" applyFill="1" applyBorder="1" applyAlignment="1">
      <alignment horizontal="center" vertical="center"/>
    </xf>
    <xf numFmtId="168" fontId="0" fillId="0" borderId="0" xfId="0" applyNumberFormat="1"/>
    <xf numFmtId="0" fontId="17" fillId="11" borderId="96" xfId="0" applyFont="1" applyFill="1" applyBorder="1" applyAlignment="1">
      <alignment horizontal="center" vertical="center"/>
    </xf>
    <xf numFmtId="14" fontId="16" fillId="20" borderId="98" xfId="0" applyNumberFormat="1" applyFont="1" applyFill="1" applyBorder="1" applyAlignment="1" applyProtection="1">
      <alignment horizontal="center" vertical="center"/>
      <protection locked="0"/>
    </xf>
    <xf numFmtId="0" fontId="16" fillId="11" borderId="11" xfId="0" applyFont="1" applyFill="1" applyBorder="1" applyAlignment="1">
      <alignment vertical="center"/>
    </xf>
    <xf numFmtId="0" fontId="16" fillId="11" borderId="15" xfId="0" applyFont="1" applyFill="1" applyBorder="1" applyAlignment="1">
      <alignment vertical="center"/>
    </xf>
    <xf numFmtId="165" fontId="36" fillId="23" borderId="16" xfId="0" applyNumberFormat="1" applyFont="1" applyFill="1" applyBorder="1" applyAlignment="1">
      <alignment horizontal="center" vertical="center"/>
    </xf>
    <xf numFmtId="168" fontId="17" fillId="28" borderId="44" xfId="34" applyNumberFormat="1" applyFont="1" applyFill="1" applyBorder="1" applyAlignment="1" applyProtection="1">
      <alignment vertical="center"/>
    </xf>
    <xf numFmtId="168" fontId="17" fillId="20" borderId="92" xfId="34" applyNumberFormat="1" applyFont="1" applyFill="1" applyBorder="1" applyAlignment="1" applyProtection="1">
      <alignment vertical="center"/>
      <protection locked="0"/>
    </xf>
    <xf numFmtId="168" fontId="17" fillId="20" borderId="93" xfId="34" applyNumberFormat="1" applyFont="1" applyFill="1" applyBorder="1" applyAlignment="1" applyProtection="1">
      <alignment vertical="center"/>
      <protection locked="0"/>
    </xf>
    <xf numFmtId="168" fontId="17" fillId="20" borderId="95" xfId="34" applyNumberFormat="1" applyFont="1" applyFill="1" applyBorder="1" applyAlignment="1" applyProtection="1">
      <alignment vertical="center"/>
      <protection locked="0"/>
    </xf>
    <xf numFmtId="0" fontId="34" fillId="0" borderId="0" xfId="0" applyFont="1" applyAlignment="1">
      <alignment horizontal="center"/>
    </xf>
    <xf numFmtId="49" fontId="17" fillId="18" borderId="0" xfId="0" applyNumberFormat="1" applyFont="1" applyFill="1" applyAlignment="1">
      <alignment horizontal="center" vertical="center"/>
    </xf>
    <xf numFmtId="0" fontId="55" fillId="38" borderId="77" xfId="0" applyFont="1" applyFill="1" applyBorder="1" applyAlignment="1">
      <alignment horizontal="center" vertical="center"/>
    </xf>
    <xf numFmtId="0" fontId="55" fillId="38" borderId="78" xfId="0" applyFont="1" applyFill="1" applyBorder="1" applyAlignment="1">
      <alignment horizontal="center" vertical="center" wrapText="1"/>
    </xf>
    <xf numFmtId="0" fontId="55" fillId="38" borderId="78" xfId="0" applyFont="1" applyFill="1" applyBorder="1" applyAlignment="1">
      <alignment horizontal="center" vertical="center"/>
    </xf>
    <xf numFmtId="0" fontId="55" fillId="38" borderId="70" xfId="0" applyFont="1" applyFill="1" applyBorder="1" applyAlignment="1">
      <alignment horizontal="center" vertical="center" wrapText="1"/>
    </xf>
    <xf numFmtId="0" fontId="56" fillId="0" borderId="29" xfId="0" applyFont="1" applyBorder="1" applyAlignment="1">
      <alignment horizontal="center" vertical="center"/>
    </xf>
    <xf numFmtId="0" fontId="56" fillId="0" borderId="29" xfId="0" applyFont="1" applyBorder="1" applyAlignment="1">
      <alignment horizontal="center" vertical="center" wrapText="1"/>
    </xf>
    <xf numFmtId="165" fontId="56" fillId="0" borderId="29" xfId="34" applyFont="1" applyBorder="1" applyAlignment="1">
      <alignment horizontal="center" vertical="center" wrapText="1"/>
    </xf>
    <xf numFmtId="165" fontId="56" fillId="39" borderId="29" xfId="34" applyFont="1" applyFill="1" applyBorder="1" applyAlignment="1">
      <alignment horizontal="center" vertical="center" wrapText="1"/>
    </xf>
    <xf numFmtId="2" fontId="56" fillId="39" borderId="29" xfId="0" applyNumberFormat="1" applyFont="1" applyFill="1" applyBorder="1" applyAlignment="1">
      <alignment horizontal="center" vertical="center" wrapText="1"/>
    </xf>
    <xf numFmtId="0" fontId="56" fillId="0" borderId="29" xfId="0" applyFont="1" applyBorder="1" applyAlignment="1">
      <alignment vertical="center" wrapText="1"/>
    </xf>
    <xf numFmtId="165" fontId="28" fillId="0" borderId="29" xfId="0" applyNumberFormat="1" applyFont="1" applyBorder="1"/>
    <xf numFmtId="0" fontId="36" fillId="23" borderId="67" xfId="0" applyFont="1" applyFill="1" applyBorder="1" applyAlignment="1">
      <alignment horizontal="center" vertical="center"/>
    </xf>
    <xf numFmtId="0" fontId="17" fillId="40" borderId="12" xfId="0" applyFont="1" applyFill="1" applyBorder="1" applyAlignment="1">
      <alignment horizontal="center" vertical="center"/>
    </xf>
    <xf numFmtId="165" fontId="16" fillId="40" borderId="13" xfId="34" applyFont="1" applyFill="1" applyBorder="1" applyAlignment="1" applyProtection="1">
      <alignment vertical="center"/>
    </xf>
    <xf numFmtId="0" fontId="36" fillId="23" borderId="100" xfId="0" applyFont="1" applyFill="1" applyBorder="1" applyAlignment="1">
      <alignment horizontal="center" vertical="center"/>
    </xf>
    <xf numFmtId="0" fontId="36" fillId="23" borderId="35" xfId="0" applyFont="1" applyFill="1" applyBorder="1" applyAlignment="1">
      <alignment vertical="center"/>
    </xf>
    <xf numFmtId="0" fontId="36" fillId="23" borderId="35" xfId="0" applyFont="1" applyFill="1" applyBorder="1" applyAlignment="1">
      <alignment horizontal="center" vertical="center"/>
    </xf>
    <xf numFmtId="0" fontId="36" fillId="23" borderId="68" xfId="0" applyFont="1" applyFill="1" applyBorder="1" applyAlignment="1">
      <alignment horizontal="center" vertical="center"/>
    </xf>
    <xf numFmtId="10" fontId="16" fillId="18" borderId="12" xfId="38" applyNumberFormat="1" applyFont="1" applyFill="1" applyBorder="1" applyAlignment="1">
      <alignment horizontal="center" vertical="center"/>
    </xf>
    <xf numFmtId="165" fontId="16" fillId="18" borderId="12" xfId="34" applyFont="1" applyFill="1" applyBorder="1" applyAlignment="1">
      <alignment vertical="center"/>
    </xf>
    <xf numFmtId="0" fontId="36" fillId="23" borderId="21" xfId="0" applyFont="1" applyFill="1" applyBorder="1" applyAlignment="1">
      <alignment horizontal="center" vertical="center"/>
    </xf>
    <xf numFmtId="168" fontId="16" fillId="41" borderId="19" xfId="34" applyNumberFormat="1" applyFont="1" applyFill="1" applyBorder="1" applyAlignment="1" applyProtection="1">
      <alignment horizontal="center" vertical="center"/>
    </xf>
    <xf numFmtId="49" fontId="16" fillId="41" borderId="14" xfId="0" applyNumberFormat="1" applyFont="1" applyFill="1" applyBorder="1" applyAlignment="1" applyProtection="1">
      <alignment horizontal="center" vertical="center"/>
      <protection locked="0"/>
    </xf>
    <xf numFmtId="0" fontId="16" fillId="20" borderId="10" xfId="0" applyFont="1" applyFill="1" applyBorder="1" applyAlignment="1">
      <alignment horizontal="center" vertical="center"/>
    </xf>
    <xf numFmtId="165" fontId="16" fillId="20" borderId="13" xfId="0" applyNumberFormat="1" applyFont="1" applyFill="1" applyBorder="1" applyAlignment="1">
      <alignment vertical="center"/>
    </xf>
    <xf numFmtId="9" fontId="16" fillId="20" borderId="11" xfId="0" applyNumberFormat="1" applyFont="1" applyFill="1" applyBorder="1" applyAlignment="1">
      <alignment horizontal="center" vertical="center"/>
    </xf>
    <xf numFmtId="0" fontId="16" fillId="20" borderId="20" xfId="0" applyFont="1" applyFill="1" applyBorder="1" applyAlignment="1">
      <alignment horizontal="center" vertical="center"/>
    </xf>
    <xf numFmtId="168" fontId="16" fillId="20" borderId="20" xfId="0" applyNumberFormat="1" applyFont="1" applyFill="1" applyBorder="1" applyAlignment="1">
      <alignment vertical="center"/>
    </xf>
    <xf numFmtId="9" fontId="16" fillId="20" borderId="15" xfId="0" applyNumberFormat="1" applyFont="1" applyFill="1" applyBorder="1" applyAlignment="1">
      <alignment horizontal="center" vertical="center"/>
    </xf>
    <xf numFmtId="164" fontId="16" fillId="20" borderId="20" xfId="0" applyNumberFormat="1" applyFont="1" applyFill="1" applyBorder="1" applyAlignment="1">
      <alignment vertical="center"/>
    </xf>
    <xf numFmtId="9" fontId="44" fillId="20" borderId="15" xfId="0" applyNumberFormat="1" applyFont="1" applyFill="1" applyBorder="1" applyAlignment="1">
      <alignment horizontal="center" vertical="center"/>
    </xf>
    <xf numFmtId="0" fontId="16" fillId="20" borderId="20" xfId="0" applyFont="1" applyFill="1" applyBorder="1" applyAlignment="1">
      <alignment vertical="center"/>
    </xf>
    <xf numFmtId="10" fontId="16" fillId="41" borderId="10" xfId="0" applyNumberFormat="1" applyFont="1" applyFill="1" applyBorder="1" applyAlignment="1">
      <alignment horizontal="center" vertical="center"/>
    </xf>
    <xf numFmtId="10" fontId="16" fillId="42" borderId="14" xfId="38" applyNumberFormat="1" applyFont="1" applyFill="1" applyBorder="1" applyAlignment="1" applyProtection="1">
      <alignment horizontal="center" vertical="center"/>
      <protection locked="0"/>
    </xf>
    <xf numFmtId="10" fontId="16" fillId="41" borderId="19" xfId="0" applyNumberFormat="1" applyFont="1" applyFill="1" applyBorder="1" applyAlignment="1">
      <alignment horizontal="center" vertical="center"/>
    </xf>
    <xf numFmtId="165" fontId="16" fillId="41" borderId="40" xfId="34" applyFont="1" applyFill="1" applyBorder="1" applyAlignment="1" applyProtection="1">
      <alignment horizontal="center" vertical="center"/>
      <protection locked="0"/>
    </xf>
    <xf numFmtId="165" fontId="16" fillId="41" borderId="16" xfId="34" applyFont="1" applyFill="1" applyBorder="1" applyAlignment="1" applyProtection="1">
      <alignment horizontal="center" vertical="center"/>
      <protection locked="0"/>
    </xf>
    <xf numFmtId="165" fontId="16" fillId="41" borderId="17" xfId="34" applyFont="1" applyFill="1" applyBorder="1" applyAlignment="1" applyProtection="1">
      <alignment horizontal="center" vertical="center"/>
      <protection locked="0"/>
    </xf>
    <xf numFmtId="0" fontId="16" fillId="20" borderId="12" xfId="0" applyFont="1" applyFill="1" applyBorder="1" applyAlignment="1">
      <alignment horizontal="center" vertical="center"/>
    </xf>
    <xf numFmtId="0" fontId="16" fillId="20" borderId="14" xfId="0" applyFont="1" applyFill="1" applyBorder="1" applyAlignment="1">
      <alignment horizontal="center" vertical="center"/>
    </xf>
    <xf numFmtId="0" fontId="16" fillId="20" borderId="13" xfId="0" applyFont="1" applyFill="1" applyBorder="1" applyAlignment="1">
      <alignment horizontal="center" vertical="center"/>
    </xf>
    <xf numFmtId="0" fontId="16" fillId="20" borderId="38" xfId="0" applyFont="1" applyFill="1" applyBorder="1" applyAlignment="1">
      <alignment horizontal="center" vertical="center"/>
    </xf>
    <xf numFmtId="10" fontId="16" fillId="41" borderId="12" xfId="38" applyNumberFormat="1" applyFont="1" applyFill="1" applyBorder="1" applyAlignment="1">
      <alignment horizontal="center" vertical="center"/>
    </xf>
    <xf numFmtId="10" fontId="1" fillId="42" borderId="16" xfId="38" applyNumberFormat="1" applyFill="1" applyBorder="1" applyAlignment="1">
      <alignment horizontal="center" vertical="center"/>
    </xf>
    <xf numFmtId="168" fontId="17" fillId="20" borderId="12" xfId="38" applyNumberFormat="1" applyFont="1" applyFill="1" applyBorder="1" applyAlignment="1" applyProtection="1">
      <alignment horizontal="center" vertical="center"/>
    </xf>
    <xf numFmtId="168" fontId="17" fillId="20" borderId="10" xfId="34" applyNumberFormat="1" applyFont="1" applyFill="1" applyBorder="1" applyAlignment="1" applyProtection="1">
      <alignment horizontal="center" vertical="center"/>
    </xf>
    <xf numFmtId="168" fontId="17" fillId="20" borderId="92" xfId="34" applyNumberFormat="1" applyFont="1" applyFill="1" applyBorder="1" applyAlignment="1" applyProtection="1">
      <alignment vertical="center"/>
    </xf>
    <xf numFmtId="168" fontId="17" fillId="20" borderId="93" xfId="34" applyNumberFormat="1" applyFont="1" applyFill="1" applyBorder="1" applyAlignment="1" applyProtection="1">
      <alignment vertical="center"/>
    </xf>
    <xf numFmtId="168" fontId="17" fillId="20" borderId="95" xfId="34" applyNumberFormat="1" applyFont="1" applyFill="1" applyBorder="1" applyAlignment="1" applyProtection="1">
      <alignment vertical="center"/>
    </xf>
    <xf numFmtId="168" fontId="36" fillId="23" borderId="12" xfId="44" applyNumberFormat="1" applyFont="1" applyFill="1" applyBorder="1" applyAlignment="1" applyProtection="1">
      <alignment horizontal="center" vertical="center"/>
    </xf>
    <xf numFmtId="14" fontId="16" fillId="41" borderId="10" xfId="0" applyNumberFormat="1" applyFont="1" applyFill="1" applyBorder="1" applyAlignment="1">
      <alignment horizontal="center" vertical="center"/>
    </xf>
    <xf numFmtId="10" fontId="17" fillId="41" borderId="99" xfId="0" applyNumberFormat="1" applyFont="1" applyFill="1" applyBorder="1" applyAlignment="1">
      <alignment vertical="center"/>
    </xf>
    <xf numFmtId="10" fontId="17" fillId="41" borderId="37" xfId="0" applyNumberFormat="1" applyFont="1" applyFill="1" applyBorder="1" applyAlignment="1">
      <alignment vertical="center"/>
    </xf>
    <xf numFmtId="10" fontId="17" fillId="41" borderId="75" xfId="0" applyNumberFormat="1" applyFont="1" applyFill="1" applyBorder="1" applyAlignment="1">
      <alignment vertical="center"/>
    </xf>
    <xf numFmtId="164" fontId="0" fillId="42" borderId="29" xfId="0" applyNumberFormat="1" applyFill="1" applyBorder="1" applyAlignment="1">
      <alignment horizontal="center" vertical="center"/>
    </xf>
    <xf numFmtId="165" fontId="20" fillId="42" borderId="29" xfId="34" applyFill="1" applyBorder="1" applyAlignment="1">
      <alignment horizontal="center" vertical="center"/>
    </xf>
    <xf numFmtId="165" fontId="0" fillId="42" borderId="29" xfId="34" applyFont="1" applyFill="1" applyBorder="1" applyAlignment="1">
      <alignment horizontal="center" vertical="center"/>
    </xf>
    <xf numFmtId="44" fontId="0" fillId="42" borderId="29" xfId="34" applyNumberFormat="1" applyFont="1" applyFill="1" applyBorder="1" applyAlignment="1">
      <alignment horizontal="center" vertical="center"/>
    </xf>
    <xf numFmtId="0" fontId="17" fillId="11" borderId="21" xfId="0" applyFont="1" applyFill="1" applyBorder="1" applyAlignment="1">
      <alignment horizontal="center" vertical="center"/>
    </xf>
    <xf numFmtId="0" fontId="17" fillId="11" borderId="22" xfId="0" applyFont="1" applyFill="1" applyBorder="1" applyAlignment="1">
      <alignment horizontal="center" vertical="center"/>
    </xf>
    <xf numFmtId="0" fontId="16" fillId="18" borderId="21" xfId="0" applyFont="1" applyFill="1" applyBorder="1" applyAlignment="1">
      <alignment horizontal="left" vertical="center"/>
    </xf>
    <xf numFmtId="0" fontId="16" fillId="18" borderId="22" xfId="0" applyFont="1" applyFill="1" applyBorder="1" applyAlignment="1">
      <alignment horizontal="left" vertical="center"/>
    </xf>
    <xf numFmtId="0" fontId="36" fillId="23" borderId="33" xfId="0" applyFont="1" applyFill="1" applyBorder="1" applyAlignment="1">
      <alignment horizontal="center"/>
    </xf>
    <xf numFmtId="0" fontId="36" fillId="23" borderId="35" xfId="0" applyFont="1" applyFill="1" applyBorder="1" applyAlignment="1">
      <alignment horizontal="center"/>
    </xf>
    <xf numFmtId="0" fontId="36" fillId="23" borderId="49" xfId="0" applyFont="1" applyFill="1" applyBorder="1" applyAlignment="1">
      <alignment horizontal="center"/>
    </xf>
    <xf numFmtId="0" fontId="17" fillId="22" borderId="42" xfId="0" applyFont="1" applyFill="1" applyBorder="1" applyAlignment="1">
      <alignment horizontal="center" vertical="center"/>
    </xf>
    <xf numFmtId="0" fontId="17" fillId="22" borderId="45" xfId="0" applyFont="1" applyFill="1" applyBorder="1" applyAlignment="1">
      <alignment horizontal="center" vertical="center"/>
    </xf>
    <xf numFmtId="165" fontId="17" fillId="22" borderId="42" xfId="34" applyFont="1" applyFill="1" applyBorder="1" applyAlignment="1" applyProtection="1">
      <alignment horizontal="center" vertical="center"/>
    </xf>
    <xf numFmtId="165" fontId="17" fillId="22" borderId="45" xfId="34" applyFont="1" applyFill="1" applyBorder="1" applyAlignment="1" applyProtection="1">
      <alignment horizontal="center" vertical="center"/>
    </xf>
    <xf numFmtId="0" fontId="17" fillId="22" borderId="46" xfId="0" applyFont="1" applyFill="1" applyBorder="1" applyAlignment="1">
      <alignment horizontal="center" vertical="center"/>
    </xf>
    <xf numFmtId="0" fontId="17" fillId="22" borderId="47" xfId="0" applyFont="1" applyFill="1" applyBorder="1" applyAlignment="1">
      <alignment horizontal="center" vertical="center"/>
    </xf>
    <xf numFmtId="165" fontId="17" fillId="22" borderId="48" xfId="34" applyFont="1" applyFill="1" applyBorder="1" applyAlignment="1" applyProtection="1">
      <alignment horizontal="center" vertical="center"/>
    </xf>
    <xf numFmtId="165" fontId="17" fillId="22" borderId="49" xfId="34" applyFont="1" applyFill="1" applyBorder="1" applyAlignment="1" applyProtection="1">
      <alignment horizontal="center" vertical="center"/>
    </xf>
    <xf numFmtId="0" fontId="31" fillId="0" borderId="50" xfId="0" applyFont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36" fillId="26" borderId="26" xfId="0" applyFont="1" applyFill="1" applyBorder="1" applyAlignment="1">
      <alignment horizontal="center" vertical="center"/>
    </xf>
    <xf numFmtId="0" fontId="36" fillId="26" borderId="26" xfId="0" applyFont="1" applyFill="1" applyBorder="1" applyAlignment="1">
      <alignment horizontal="center" vertical="center" wrapText="1" shrinkToFit="1"/>
    </xf>
    <xf numFmtId="0" fontId="16" fillId="0" borderId="52" xfId="0" applyFont="1" applyBorder="1" applyAlignment="1">
      <alignment horizontal="left" vertical="center" wrapText="1"/>
    </xf>
    <xf numFmtId="0" fontId="16" fillId="0" borderId="59" xfId="0" applyFont="1" applyBorder="1" applyAlignment="1">
      <alignment horizontal="left" vertical="center" wrapText="1"/>
    </xf>
    <xf numFmtId="0" fontId="16" fillId="0" borderId="53" xfId="0" applyFont="1" applyBorder="1" applyAlignment="1">
      <alignment horizontal="left" vertical="center" wrapText="1"/>
    </xf>
    <xf numFmtId="165" fontId="16" fillId="0" borderId="26" xfId="34" applyFont="1" applyFill="1" applyBorder="1" applyAlignment="1" applyProtection="1">
      <alignment horizontal="center" vertical="center"/>
    </xf>
    <xf numFmtId="2" fontId="16" fillId="19" borderId="26" xfId="0" applyNumberFormat="1" applyFont="1" applyFill="1" applyBorder="1" applyAlignment="1">
      <alignment horizontal="center" vertical="center"/>
    </xf>
    <xf numFmtId="165" fontId="16" fillId="0" borderId="52" xfId="34" applyFont="1" applyFill="1" applyBorder="1" applyAlignment="1" applyProtection="1">
      <alignment horizontal="center" vertical="center"/>
    </xf>
    <xf numFmtId="165" fontId="16" fillId="0" borderId="53" xfId="34" applyFont="1" applyFill="1" applyBorder="1" applyAlignment="1" applyProtection="1">
      <alignment horizontal="center" vertical="center"/>
    </xf>
    <xf numFmtId="0" fontId="16" fillId="0" borderId="26" xfId="0" applyFont="1" applyBorder="1" applyAlignment="1">
      <alignment horizontal="left" vertical="center" wrapText="1"/>
    </xf>
    <xf numFmtId="0" fontId="36" fillId="26" borderId="42" xfId="0" applyFont="1" applyFill="1" applyBorder="1" applyAlignment="1">
      <alignment horizontal="center" vertical="center" wrapText="1"/>
    </xf>
    <xf numFmtId="0" fontId="36" fillId="26" borderId="45" xfId="0" applyFont="1" applyFill="1" applyBorder="1" applyAlignment="1">
      <alignment horizontal="center" vertical="center" wrapText="1"/>
    </xf>
    <xf numFmtId="0" fontId="36" fillId="26" borderId="54" xfId="0" applyFont="1" applyFill="1" applyBorder="1" applyAlignment="1">
      <alignment horizontal="center" vertical="center" wrapText="1"/>
    </xf>
    <xf numFmtId="0" fontId="36" fillId="26" borderId="51" xfId="0" applyFont="1" applyFill="1" applyBorder="1" applyAlignment="1">
      <alignment horizontal="center" vertical="center" wrapText="1"/>
    </xf>
    <xf numFmtId="0" fontId="16" fillId="11" borderId="55" xfId="0" applyFont="1" applyFill="1" applyBorder="1" applyAlignment="1">
      <alignment horizontal="center" vertical="center"/>
    </xf>
    <xf numFmtId="0" fontId="16" fillId="11" borderId="56" xfId="0" applyFont="1" applyFill="1" applyBorder="1" applyAlignment="1">
      <alignment horizontal="center" vertical="center"/>
    </xf>
    <xf numFmtId="0" fontId="16" fillId="11" borderId="57" xfId="0" applyFont="1" applyFill="1" applyBorder="1" applyAlignment="1">
      <alignment horizontal="center" vertical="center"/>
    </xf>
    <xf numFmtId="0" fontId="16" fillId="11" borderId="42" xfId="0" applyFont="1" applyFill="1" applyBorder="1" applyAlignment="1">
      <alignment horizontal="center" vertical="center"/>
    </xf>
    <xf numFmtId="0" fontId="16" fillId="11" borderId="31" xfId="0" applyFont="1" applyFill="1" applyBorder="1" applyAlignment="1">
      <alignment horizontal="center" vertical="center"/>
    </xf>
    <xf numFmtId="0" fontId="16" fillId="11" borderId="45" xfId="0" applyFont="1" applyFill="1" applyBorder="1" applyAlignment="1">
      <alignment horizontal="center" vertical="center"/>
    </xf>
    <xf numFmtId="165" fontId="16" fillId="11" borderId="30" xfId="0" applyNumberFormat="1" applyFont="1" applyFill="1" applyBorder="1" applyAlignment="1">
      <alignment horizontal="center" vertical="center"/>
    </xf>
    <xf numFmtId="165" fontId="16" fillId="11" borderId="28" xfId="0" applyNumberFormat="1" applyFont="1" applyFill="1" applyBorder="1" applyAlignment="1">
      <alignment horizontal="center" vertical="center"/>
    </xf>
    <xf numFmtId="165" fontId="16" fillId="11" borderId="58" xfId="0" applyNumberFormat="1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/>
    </xf>
    <xf numFmtId="49" fontId="17" fillId="18" borderId="29" xfId="0" applyNumberFormat="1" applyFont="1" applyFill="1" applyBorder="1" applyAlignment="1">
      <alignment horizontal="center" vertical="center"/>
    </xf>
    <xf numFmtId="0" fontId="36" fillId="23" borderId="52" xfId="0" applyFont="1" applyFill="1" applyBorder="1" applyAlignment="1">
      <alignment horizontal="left" vertical="center" wrapText="1"/>
    </xf>
    <xf numFmtId="0" fontId="36" fillId="23" borderId="59" xfId="0" applyFont="1" applyFill="1" applyBorder="1" applyAlignment="1">
      <alignment horizontal="left" vertical="center" wrapText="1"/>
    </xf>
    <xf numFmtId="0" fontId="36" fillId="23" borderId="53" xfId="0" applyFont="1" applyFill="1" applyBorder="1" applyAlignment="1">
      <alignment horizontal="left" vertical="center" wrapText="1"/>
    </xf>
    <xf numFmtId="0" fontId="17" fillId="21" borderId="42" xfId="0" applyFont="1" applyFill="1" applyBorder="1" applyAlignment="1">
      <alignment horizontal="center" vertical="center"/>
    </xf>
    <xf numFmtId="0" fontId="17" fillId="21" borderId="31" xfId="0" applyFont="1" applyFill="1" applyBorder="1" applyAlignment="1">
      <alignment horizontal="center" vertical="center"/>
    </xf>
    <xf numFmtId="0" fontId="17" fillId="21" borderId="45" xfId="0" applyFont="1" applyFill="1" applyBorder="1" applyAlignment="1">
      <alignment horizontal="center" vertical="center"/>
    </xf>
    <xf numFmtId="0" fontId="17" fillId="21" borderId="60" xfId="0" applyFont="1" applyFill="1" applyBorder="1" applyAlignment="1">
      <alignment horizontal="center" vertical="center"/>
    </xf>
    <xf numFmtId="0" fontId="17" fillId="21" borderId="0" xfId="0" applyFont="1" applyFill="1" applyAlignment="1">
      <alignment horizontal="center" vertical="center"/>
    </xf>
    <xf numFmtId="0" fontId="17" fillId="21" borderId="61" xfId="0" applyFont="1" applyFill="1" applyBorder="1" applyAlignment="1">
      <alignment horizontal="center" vertical="center"/>
    </xf>
    <xf numFmtId="49" fontId="17" fillId="21" borderId="42" xfId="0" applyNumberFormat="1" applyFont="1" applyFill="1" applyBorder="1" applyAlignment="1">
      <alignment horizontal="center" vertical="center"/>
    </xf>
    <xf numFmtId="49" fontId="17" fillId="21" borderId="31" xfId="0" applyNumberFormat="1" applyFont="1" applyFill="1" applyBorder="1" applyAlignment="1">
      <alignment horizontal="center" vertical="center"/>
    </xf>
    <xf numFmtId="49" fontId="17" fillId="21" borderId="45" xfId="0" applyNumberFormat="1" applyFont="1" applyFill="1" applyBorder="1" applyAlignment="1">
      <alignment horizontal="center" vertical="center"/>
    </xf>
    <xf numFmtId="49" fontId="17" fillId="21" borderId="42" xfId="0" applyNumberFormat="1" applyFont="1" applyFill="1" applyBorder="1" applyAlignment="1">
      <alignment horizontal="center"/>
    </xf>
    <xf numFmtId="49" fontId="17" fillId="21" borderId="31" xfId="0" applyNumberFormat="1" applyFont="1" applyFill="1" applyBorder="1" applyAlignment="1">
      <alignment horizontal="center"/>
    </xf>
    <xf numFmtId="49" fontId="17" fillId="21" borderId="45" xfId="0" applyNumberFormat="1" applyFont="1" applyFill="1" applyBorder="1" applyAlignment="1">
      <alignment horizontal="center"/>
    </xf>
    <xf numFmtId="0" fontId="17" fillId="21" borderId="25" xfId="0" applyFont="1" applyFill="1" applyBorder="1" applyAlignment="1">
      <alignment horizontal="center" vertical="center"/>
    </xf>
    <xf numFmtId="0" fontId="17" fillId="21" borderId="25" xfId="0" applyFont="1" applyFill="1" applyBorder="1" applyAlignment="1">
      <alignment horizontal="center"/>
    </xf>
    <xf numFmtId="0" fontId="17" fillId="18" borderId="29" xfId="0" applyFont="1" applyFill="1" applyBorder="1" applyAlignment="1">
      <alignment horizontal="center" vertical="center"/>
    </xf>
    <xf numFmtId="0" fontId="16" fillId="0" borderId="29" xfId="0" applyFont="1" applyBorder="1" applyAlignment="1">
      <alignment horizontal="center"/>
    </xf>
    <xf numFmtId="165" fontId="16" fillId="11" borderId="31" xfId="0" applyNumberFormat="1" applyFont="1" applyFill="1" applyBorder="1" applyAlignment="1">
      <alignment horizontal="center" vertical="center"/>
    </xf>
    <xf numFmtId="165" fontId="16" fillId="11" borderId="45" xfId="0" applyNumberFormat="1" applyFont="1" applyFill="1" applyBorder="1" applyAlignment="1">
      <alignment horizontal="center" vertical="center"/>
    </xf>
    <xf numFmtId="0" fontId="17" fillId="18" borderId="30" xfId="0" applyFont="1" applyFill="1" applyBorder="1" applyAlignment="1">
      <alignment horizontal="center" vertical="center"/>
    </xf>
    <xf numFmtId="0" fontId="17" fillId="18" borderId="28" xfId="0" applyFont="1" applyFill="1" applyBorder="1" applyAlignment="1">
      <alignment horizontal="center" vertical="center"/>
    </xf>
    <xf numFmtId="0" fontId="17" fillId="18" borderId="43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center"/>
    </xf>
    <xf numFmtId="0" fontId="34" fillId="0" borderId="28" xfId="0" applyFont="1" applyBorder="1" applyAlignment="1">
      <alignment horizontal="center"/>
    </xf>
    <xf numFmtId="0" fontId="34" fillId="0" borderId="43" xfId="0" applyFont="1" applyBorder="1" applyAlignment="1">
      <alignment horizontal="center"/>
    </xf>
    <xf numFmtId="0" fontId="17" fillId="21" borderId="54" xfId="0" applyFont="1" applyFill="1" applyBorder="1" applyAlignment="1">
      <alignment horizontal="center" vertical="center"/>
    </xf>
    <xf numFmtId="0" fontId="17" fillId="21" borderId="50" xfId="0" applyFont="1" applyFill="1" applyBorder="1" applyAlignment="1">
      <alignment horizontal="center" vertical="center"/>
    </xf>
    <xf numFmtId="0" fontId="17" fillId="21" borderId="51" xfId="0" applyFont="1" applyFill="1" applyBorder="1" applyAlignment="1">
      <alignment horizontal="center" vertical="center"/>
    </xf>
    <xf numFmtId="0" fontId="17" fillId="21" borderId="62" xfId="0" applyFont="1" applyFill="1" applyBorder="1" applyAlignment="1">
      <alignment horizontal="center"/>
    </xf>
    <xf numFmtId="0" fontId="17" fillId="21" borderId="63" xfId="0" applyFont="1" applyFill="1" applyBorder="1" applyAlignment="1">
      <alignment horizontal="center"/>
    </xf>
    <xf numFmtId="0" fontId="17" fillId="21" borderId="64" xfId="0" applyFont="1" applyFill="1" applyBorder="1" applyAlignment="1">
      <alignment horizontal="center"/>
    </xf>
    <xf numFmtId="165" fontId="16" fillId="11" borderId="42" xfId="0" applyNumberFormat="1" applyFont="1" applyFill="1" applyBorder="1" applyAlignment="1">
      <alignment horizontal="center" vertical="center"/>
    </xf>
    <xf numFmtId="0" fontId="36" fillId="23" borderId="21" xfId="0" applyFont="1" applyFill="1" applyBorder="1" applyAlignment="1">
      <alignment horizontal="left" vertical="center"/>
    </xf>
    <xf numFmtId="0" fontId="36" fillId="23" borderId="22" xfId="0" applyFont="1" applyFill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36" fillId="23" borderId="33" xfId="0" applyFont="1" applyFill="1" applyBorder="1" applyAlignment="1">
      <alignment horizontal="left" vertical="center"/>
    </xf>
    <xf numFmtId="0" fontId="36" fillId="23" borderId="35" xfId="0" applyFont="1" applyFill="1" applyBorder="1" applyAlignment="1">
      <alignment horizontal="left" vertical="center"/>
    </xf>
    <xf numFmtId="0" fontId="36" fillId="23" borderId="49" xfId="0" applyFont="1" applyFill="1" applyBorder="1" applyAlignment="1">
      <alignment horizontal="left" vertical="center"/>
    </xf>
    <xf numFmtId="0" fontId="36" fillId="23" borderId="52" xfId="0" applyFont="1" applyFill="1" applyBorder="1" applyAlignment="1">
      <alignment horizontal="left" wrapText="1"/>
    </xf>
    <xf numFmtId="0" fontId="36" fillId="23" borderId="59" xfId="0" applyFont="1" applyFill="1" applyBorder="1" applyAlignment="1">
      <alignment horizontal="left" wrapText="1"/>
    </xf>
    <xf numFmtId="0" fontId="36" fillId="23" borderId="53" xfId="0" applyFont="1" applyFill="1" applyBorder="1" applyAlignment="1">
      <alignment horizontal="left" wrapText="1"/>
    </xf>
    <xf numFmtId="0" fontId="17" fillId="21" borderId="54" xfId="0" applyFont="1" applyFill="1" applyBorder="1" applyAlignment="1">
      <alignment horizontal="center"/>
    </xf>
    <xf numFmtId="0" fontId="17" fillId="21" borderId="50" xfId="0" applyFont="1" applyFill="1" applyBorder="1" applyAlignment="1">
      <alignment horizontal="center"/>
    </xf>
    <xf numFmtId="0" fontId="17" fillId="21" borderId="51" xfId="0" applyFont="1" applyFill="1" applyBorder="1" applyAlignment="1">
      <alignment horizontal="center"/>
    </xf>
    <xf numFmtId="10" fontId="18" fillId="11" borderId="65" xfId="0" applyNumberFormat="1" applyFont="1" applyFill="1" applyBorder="1" applyAlignment="1">
      <alignment horizontal="left" vertical="center"/>
    </xf>
    <xf numFmtId="10" fontId="18" fillId="11" borderId="27" xfId="0" applyNumberFormat="1" applyFont="1" applyFill="1" applyBorder="1" applyAlignment="1">
      <alignment horizontal="left" vertical="center"/>
    </xf>
    <xf numFmtId="10" fontId="18" fillId="11" borderId="36" xfId="0" applyNumberFormat="1" applyFont="1" applyFill="1" applyBorder="1" applyAlignment="1">
      <alignment horizontal="left" vertical="center"/>
    </xf>
    <xf numFmtId="0" fontId="36" fillId="23" borderId="21" xfId="0" applyFont="1" applyFill="1" applyBorder="1" applyAlignment="1">
      <alignment horizontal="right" vertical="center"/>
    </xf>
    <xf numFmtId="0" fontId="36" fillId="23" borderId="22" xfId="0" applyFont="1" applyFill="1" applyBorder="1" applyAlignment="1">
      <alignment horizontal="right" vertical="center"/>
    </xf>
    <xf numFmtId="0" fontId="36" fillId="23" borderId="13" xfId="0" applyFont="1" applyFill="1" applyBorder="1" applyAlignment="1">
      <alignment horizontal="right" vertical="center"/>
    </xf>
    <xf numFmtId="0" fontId="16" fillId="11" borderId="10" xfId="0" applyFont="1" applyFill="1" applyBorder="1" applyAlignment="1">
      <alignment vertical="center"/>
    </xf>
    <xf numFmtId="165" fontId="16" fillId="20" borderId="21" xfId="34" applyFont="1" applyFill="1" applyBorder="1" applyAlignment="1" applyProtection="1">
      <alignment horizontal="center" vertical="center"/>
    </xf>
    <xf numFmtId="165" fontId="16" fillId="20" borderId="13" xfId="34" applyFont="1" applyFill="1" applyBorder="1" applyAlignment="1" applyProtection="1">
      <alignment horizontal="center" vertical="center"/>
    </xf>
    <xf numFmtId="0" fontId="31" fillId="11" borderId="0" xfId="0" applyFont="1" applyFill="1" applyAlignment="1">
      <alignment horizontal="center" vertical="center"/>
    </xf>
    <xf numFmtId="0" fontId="36" fillId="23" borderId="35" xfId="0" applyFont="1" applyFill="1" applyBorder="1" applyAlignment="1">
      <alignment horizontal="left"/>
    </xf>
    <xf numFmtId="0" fontId="0" fillId="11" borderId="0" xfId="0" applyFill="1" applyAlignment="1">
      <alignment horizontal="left"/>
    </xf>
    <xf numFmtId="165" fontId="45" fillId="20" borderId="21" xfId="34" applyFont="1" applyFill="1" applyBorder="1" applyAlignment="1" applyProtection="1">
      <alignment horizontal="center" vertical="center"/>
    </xf>
    <xf numFmtId="165" fontId="45" fillId="20" borderId="13" xfId="34" applyFont="1" applyFill="1" applyBorder="1" applyAlignment="1" applyProtection="1">
      <alignment horizontal="center" vertical="center"/>
    </xf>
    <xf numFmtId="0" fontId="0" fillId="11" borderId="0" xfId="0" applyFill="1" applyAlignment="1">
      <alignment horizontal="left" vertical="center"/>
    </xf>
    <xf numFmtId="0" fontId="0" fillId="11" borderId="0" xfId="0" applyFill="1" applyAlignment="1">
      <alignment horizontal="center"/>
    </xf>
    <xf numFmtId="0" fontId="16" fillId="18" borderId="13" xfId="0" applyFont="1" applyFill="1" applyBorder="1" applyAlignment="1">
      <alignment horizontal="left" vertical="center"/>
    </xf>
    <xf numFmtId="0" fontId="36" fillId="23" borderId="10" xfId="0" applyFont="1" applyFill="1" applyBorder="1" applyAlignment="1">
      <alignment horizontal="left" vertical="center"/>
    </xf>
    <xf numFmtId="0" fontId="36" fillId="23" borderId="21" xfId="0" applyFont="1" applyFill="1" applyBorder="1" applyAlignment="1">
      <alignment horizontal="center" vertical="center"/>
    </xf>
    <xf numFmtId="0" fontId="36" fillId="23" borderId="13" xfId="0" applyFont="1" applyFill="1" applyBorder="1" applyAlignment="1">
      <alignment horizontal="center" vertical="center"/>
    </xf>
    <xf numFmtId="0" fontId="36" fillId="23" borderId="15" xfId="0" applyFont="1" applyFill="1" applyBorder="1" applyAlignment="1">
      <alignment horizontal="left" vertical="center"/>
    </xf>
    <xf numFmtId="0" fontId="16" fillId="11" borderId="10" xfId="0" applyFont="1" applyFill="1" applyBorder="1" applyAlignment="1">
      <alignment horizontal="left" vertical="center"/>
    </xf>
    <xf numFmtId="0" fontId="17" fillId="18" borderId="15" xfId="0" applyFont="1" applyFill="1" applyBorder="1" applyAlignment="1">
      <alignment horizontal="left" vertical="center"/>
    </xf>
    <xf numFmtId="0" fontId="36" fillId="23" borderId="13" xfId="0" applyFont="1" applyFill="1" applyBorder="1" applyAlignment="1">
      <alignment horizontal="left" vertical="center"/>
    </xf>
    <xf numFmtId="0" fontId="16" fillId="21" borderId="21" xfId="0" applyFont="1" applyFill="1" applyBorder="1" applyAlignment="1">
      <alignment horizontal="right" vertical="center"/>
    </xf>
    <xf numFmtId="0" fontId="16" fillId="21" borderId="22" xfId="0" applyFont="1" applyFill="1" applyBorder="1" applyAlignment="1">
      <alignment horizontal="right" vertical="center"/>
    </xf>
    <xf numFmtId="0" fontId="16" fillId="21" borderId="13" xfId="0" applyFont="1" applyFill="1" applyBorder="1" applyAlignment="1">
      <alignment horizontal="right" vertical="center"/>
    </xf>
    <xf numFmtId="0" fontId="31" fillId="11" borderId="0" xfId="0" applyFont="1" applyFill="1" applyAlignment="1">
      <alignment horizontal="center"/>
    </xf>
    <xf numFmtId="0" fontId="36" fillId="23" borderId="11" xfId="0" applyFont="1" applyFill="1" applyBorder="1" applyAlignment="1">
      <alignment horizontal="left" vertical="center"/>
    </xf>
    <xf numFmtId="0" fontId="16" fillId="18" borderId="21" xfId="0" applyFont="1" applyFill="1" applyBorder="1" applyAlignment="1">
      <alignment vertical="center"/>
    </xf>
    <xf numFmtId="0" fontId="16" fillId="18" borderId="22" xfId="0" applyFont="1" applyFill="1" applyBorder="1" applyAlignment="1">
      <alignment vertical="center"/>
    </xf>
    <xf numFmtId="0" fontId="16" fillId="21" borderId="21" xfId="0" applyFont="1" applyFill="1" applyBorder="1" applyAlignment="1">
      <alignment horizontal="right"/>
    </xf>
    <xf numFmtId="0" fontId="16" fillId="21" borderId="22" xfId="0" applyFont="1" applyFill="1" applyBorder="1" applyAlignment="1">
      <alignment horizontal="right"/>
    </xf>
    <xf numFmtId="0" fontId="16" fillId="21" borderId="15" xfId="0" applyFont="1" applyFill="1" applyBorder="1" applyAlignment="1">
      <alignment horizontal="right"/>
    </xf>
    <xf numFmtId="0" fontId="16" fillId="21" borderId="13" xfId="0" applyFont="1" applyFill="1" applyBorder="1" applyAlignment="1">
      <alignment horizontal="right"/>
    </xf>
    <xf numFmtId="0" fontId="16" fillId="40" borderId="21" xfId="0" applyFont="1" applyFill="1" applyBorder="1" applyAlignment="1">
      <alignment horizontal="left" vertical="center"/>
    </xf>
    <xf numFmtId="0" fontId="16" fillId="40" borderId="22" xfId="0" applyFont="1" applyFill="1" applyBorder="1" applyAlignment="1">
      <alignment horizontal="left" vertical="center"/>
    </xf>
    <xf numFmtId="0" fontId="16" fillId="40" borderId="13" xfId="0" applyFont="1" applyFill="1" applyBorder="1" applyAlignment="1">
      <alignment horizontal="left" vertical="center"/>
    </xf>
    <xf numFmtId="0" fontId="16" fillId="11" borderId="12" xfId="0" applyFont="1" applyFill="1" applyBorder="1" applyAlignment="1">
      <alignment horizontal="left" vertical="center"/>
    </xf>
    <xf numFmtId="0" fontId="36" fillId="23" borderId="21" xfId="0" applyFont="1" applyFill="1" applyBorder="1" applyAlignment="1">
      <alignment horizontal="right"/>
    </xf>
    <xf numFmtId="0" fontId="36" fillId="23" borderId="22" xfId="0" applyFont="1" applyFill="1" applyBorder="1" applyAlignment="1">
      <alignment horizontal="right"/>
    </xf>
    <xf numFmtId="0" fontId="36" fillId="23" borderId="13" xfId="0" applyFont="1" applyFill="1" applyBorder="1" applyAlignment="1">
      <alignment horizontal="right"/>
    </xf>
    <xf numFmtId="0" fontId="16" fillId="18" borderId="0" xfId="0" applyFont="1" applyFill="1" applyAlignment="1">
      <alignment horizontal="left" vertical="center"/>
    </xf>
    <xf numFmtId="0" fontId="46" fillId="27" borderId="0" xfId="0" applyFont="1" applyFill="1" applyAlignment="1">
      <alignment horizontal="center" vertical="center" wrapText="1"/>
    </xf>
    <xf numFmtId="0" fontId="21" fillId="11" borderId="0" xfId="0" applyFont="1" applyFill="1" applyAlignment="1">
      <alignment horizontal="center" vertical="center" wrapText="1"/>
    </xf>
    <xf numFmtId="0" fontId="17" fillId="11" borderId="0" xfId="0" applyFont="1" applyFill="1" applyAlignment="1">
      <alignment horizontal="center"/>
    </xf>
    <xf numFmtId="0" fontId="36" fillId="23" borderId="14" xfId="0" applyFont="1" applyFill="1" applyBorder="1" applyAlignment="1">
      <alignment horizontal="center" vertical="center"/>
    </xf>
    <xf numFmtId="0" fontId="36" fillId="23" borderId="14" xfId="0" applyFont="1" applyFill="1" applyBorder="1" applyAlignment="1" applyProtection="1">
      <alignment horizontal="center" vertical="center"/>
      <protection locked="0"/>
    </xf>
    <xf numFmtId="0" fontId="36" fillId="23" borderId="67" xfId="0" applyFont="1" applyFill="1" applyBorder="1" applyAlignment="1">
      <alignment horizontal="center" vertical="center"/>
    </xf>
    <xf numFmtId="49" fontId="36" fillId="41" borderId="67" xfId="0" applyNumberFormat="1" applyFont="1" applyFill="1" applyBorder="1" applyAlignment="1" applyProtection="1">
      <alignment horizontal="center" vertical="center"/>
      <protection locked="0"/>
    </xf>
    <xf numFmtId="49" fontId="36" fillId="41" borderId="68" xfId="0" applyNumberFormat="1" applyFont="1" applyFill="1" applyBorder="1" applyAlignment="1" applyProtection="1">
      <alignment horizontal="center" vertical="center"/>
      <protection locked="0"/>
    </xf>
    <xf numFmtId="0" fontId="35" fillId="0" borderId="0" xfId="0" applyFont="1" applyAlignment="1">
      <alignment horizontal="left" vertical="center" wrapText="1"/>
    </xf>
    <xf numFmtId="0" fontId="16" fillId="11" borderId="18" xfId="0" applyFont="1" applyFill="1" applyBorder="1" applyAlignment="1">
      <alignment horizontal="justify" vertical="center" wrapText="1"/>
    </xf>
    <xf numFmtId="0" fontId="16" fillId="11" borderId="18" xfId="0" applyFont="1" applyFill="1" applyBorder="1" applyAlignment="1">
      <alignment horizontal="justify" vertical="center"/>
    </xf>
    <xf numFmtId="0" fontId="17" fillId="11" borderId="15" xfId="0" applyFont="1" applyFill="1" applyBorder="1" applyAlignment="1">
      <alignment horizontal="left"/>
    </xf>
    <xf numFmtId="0" fontId="17" fillId="11" borderId="0" xfId="0" applyFont="1" applyFill="1" applyAlignment="1">
      <alignment horizontal="left"/>
    </xf>
    <xf numFmtId="0" fontId="36" fillId="23" borderId="22" xfId="0" applyFont="1" applyFill="1" applyBorder="1" applyAlignment="1">
      <alignment horizontal="center" vertical="center"/>
    </xf>
    <xf numFmtId="0" fontId="36" fillId="23" borderId="21" xfId="0" applyFont="1" applyFill="1" applyBorder="1" applyAlignment="1">
      <alignment horizontal="center" vertical="center" wrapText="1"/>
    </xf>
    <xf numFmtId="0" fontId="36" fillId="23" borderId="13" xfId="0" applyFont="1" applyFill="1" applyBorder="1" applyAlignment="1">
      <alignment horizontal="center" vertical="center" wrapText="1"/>
    </xf>
    <xf numFmtId="0" fontId="17" fillId="11" borderId="13" xfId="0" applyFont="1" applyFill="1" applyBorder="1" applyAlignment="1">
      <alignment horizontal="center" vertical="center"/>
    </xf>
    <xf numFmtId="0" fontId="17" fillId="41" borderId="21" xfId="0" applyFont="1" applyFill="1" applyBorder="1" applyAlignment="1">
      <alignment horizontal="center" vertical="center"/>
    </xf>
    <xf numFmtId="0" fontId="17" fillId="41" borderId="13" xfId="0" applyFont="1" applyFill="1" applyBorder="1" applyAlignment="1">
      <alignment horizontal="center" vertical="center"/>
    </xf>
    <xf numFmtId="0" fontId="17" fillId="41" borderId="33" xfId="0" applyFont="1" applyFill="1" applyBorder="1" applyAlignment="1">
      <alignment horizontal="center"/>
    </xf>
    <xf numFmtId="0" fontId="17" fillId="41" borderId="35" xfId="0" applyFont="1" applyFill="1" applyBorder="1" applyAlignment="1">
      <alignment horizontal="center"/>
    </xf>
    <xf numFmtId="0" fontId="17" fillId="41" borderId="49" xfId="0" applyFont="1" applyFill="1" applyBorder="1" applyAlignment="1">
      <alignment horizontal="center"/>
    </xf>
    <xf numFmtId="165" fontId="16" fillId="0" borderId="59" xfId="34" applyFont="1" applyFill="1" applyBorder="1" applyAlignment="1" applyProtection="1">
      <alignment horizontal="center" vertical="center"/>
    </xf>
    <xf numFmtId="2" fontId="16" fillId="19" borderId="52" xfId="0" applyNumberFormat="1" applyFont="1" applyFill="1" applyBorder="1" applyAlignment="1">
      <alignment horizontal="center" vertical="center"/>
    </xf>
    <xf numFmtId="2" fontId="16" fillId="19" borderId="53" xfId="0" applyNumberFormat="1" applyFont="1" applyFill="1" applyBorder="1" applyAlignment="1">
      <alignment horizontal="center" vertical="center"/>
    </xf>
    <xf numFmtId="0" fontId="21" fillId="11" borderId="0" xfId="0" applyFont="1" applyFill="1" applyAlignment="1">
      <alignment horizontal="center"/>
    </xf>
    <xf numFmtId="0" fontId="16" fillId="11" borderId="14" xfId="0" applyFont="1" applyFill="1" applyBorder="1" applyAlignment="1">
      <alignment horizontal="left" vertical="center"/>
    </xf>
    <xf numFmtId="0" fontId="17" fillId="23" borderId="33" xfId="0" applyFont="1" applyFill="1" applyBorder="1" applyAlignment="1">
      <alignment horizontal="left" vertical="center"/>
    </xf>
    <xf numFmtId="0" fontId="17" fillId="23" borderId="35" xfId="0" applyFont="1" applyFill="1" applyBorder="1" applyAlignment="1">
      <alignment horizontal="left" vertical="center"/>
    </xf>
    <xf numFmtId="0" fontId="17" fillId="23" borderId="49" xfId="0" applyFont="1" applyFill="1" applyBorder="1" applyAlignment="1">
      <alignment horizontal="left" vertical="center"/>
    </xf>
    <xf numFmtId="0" fontId="31" fillId="18" borderId="0" xfId="0" applyFont="1" applyFill="1" applyAlignment="1">
      <alignment horizontal="center"/>
    </xf>
    <xf numFmtId="0" fontId="16" fillId="18" borderId="11" xfId="0" applyFont="1" applyFill="1" applyBorder="1" applyAlignment="1">
      <alignment horizontal="left" vertical="center"/>
    </xf>
    <xf numFmtId="0" fontId="16" fillId="18" borderId="15" xfId="0" applyFont="1" applyFill="1" applyBorder="1" applyAlignment="1">
      <alignment horizontal="left" vertical="center"/>
    </xf>
    <xf numFmtId="0" fontId="16" fillId="18" borderId="20" xfId="0" applyFont="1" applyFill="1" applyBorder="1" applyAlignment="1">
      <alignment horizontal="left" vertical="center"/>
    </xf>
    <xf numFmtId="0" fontId="16" fillId="11" borderId="19" xfId="0" applyFont="1" applyFill="1" applyBorder="1" applyAlignment="1">
      <alignment horizontal="left" vertical="center"/>
    </xf>
    <xf numFmtId="0" fontId="16" fillId="18" borderId="41" xfId="0" applyFont="1" applyFill="1" applyBorder="1" applyAlignment="1">
      <alignment horizontal="left" vertical="center"/>
    </xf>
    <xf numFmtId="0" fontId="16" fillId="11" borderId="97" xfId="0" applyFont="1" applyFill="1" applyBorder="1" applyAlignment="1">
      <alignment horizontal="left" vertical="center"/>
    </xf>
    <xf numFmtId="0" fontId="16" fillId="18" borderId="97" xfId="0" applyFont="1" applyFill="1" applyBorder="1" applyAlignment="1">
      <alignment horizontal="left" vertical="center"/>
    </xf>
    <xf numFmtId="2" fontId="16" fillId="11" borderId="31" xfId="0" applyNumberFormat="1" applyFont="1" applyFill="1" applyBorder="1" applyAlignment="1">
      <alignment horizontal="center"/>
    </xf>
    <xf numFmtId="0" fontId="16" fillId="11" borderId="31" xfId="0" applyFont="1" applyFill="1" applyBorder="1" applyAlignment="1">
      <alignment horizontal="center"/>
    </xf>
    <xf numFmtId="0" fontId="16" fillId="11" borderId="45" xfId="0" applyFont="1" applyFill="1" applyBorder="1" applyAlignment="1">
      <alignment horizontal="center"/>
    </xf>
    <xf numFmtId="0" fontId="36" fillId="23" borderId="19" xfId="0" applyFont="1" applyFill="1" applyBorder="1" applyAlignment="1">
      <alignment horizontal="center" vertical="center"/>
    </xf>
    <xf numFmtId="0" fontId="36" fillId="23" borderId="19" xfId="0" applyFont="1" applyFill="1" applyBorder="1" applyAlignment="1" applyProtection="1">
      <alignment horizontal="center" vertical="center"/>
      <protection locked="0"/>
    </xf>
    <xf numFmtId="0" fontId="17" fillId="20" borderId="21" xfId="0" applyFont="1" applyFill="1" applyBorder="1" applyAlignment="1">
      <alignment horizontal="center" vertical="center"/>
    </xf>
    <xf numFmtId="0" fontId="17" fillId="20" borderId="13" xfId="0" applyFont="1" applyFill="1" applyBorder="1" applyAlignment="1">
      <alignment horizontal="center" vertical="center"/>
    </xf>
    <xf numFmtId="165" fontId="45" fillId="20" borderId="21" xfId="34" applyFont="1" applyFill="1" applyBorder="1" applyAlignment="1" applyProtection="1">
      <alignment horizontal="center" vertical="center"/>
      <protection locked="0"/>
    </xf>
    <xf numFmtId="165" fontId="45" fillId="20" borderId="13" xfId="34" applyFont="1" applyFill="1" applyBorder="1" applyAlignment="1" applyProtection="1">
      <alignment horizontal="center" vertical="center"/>
      <protection locked="0"/>
    </xf>
    <xf numFmtId="165" fontId="16" fillId="20" borderId="21" xfId="34" applyFont="1" applyFill="1" applyBorder="1" applyAlignment="1" applyProtection="1">
      <alignment horizontal="center" vertical="center"/>
      <protection locked="0"/>
    </xf>
    <xf numFmtId="165" fontId="16" fillId="20" borderId="13" xfId="34" applyFont="1" applyFill="1" applyBorder="1" applyAlignment="1" applyProtection="1">
      <alignment horizontal="center" vertical="center"/>
      <protection locked="0"/>
    </xf>
    <xf numFmtId="2" fontId="16" fillId="19" borderId="26" xfId="0" applyNumberFormat="1" applyFont="1" applyFill="1" applyBorder="1" applyAlignment="1" applyProtection="1">
      <alignment horizontal="center" vertical="center"/>
      <protection locked="0"/>
    </xf>
    <xf numFmtId="2" fontId="16" fillId="19" borderId="52" xfId="0" applyNumberFormat="1" applyFont="1" applyFill="1" applyBorder="1" applyAlignment="1" applyProtection="1">
      <alignment horizontal="center" vertical="center"/>
      <protection locked="0"/>
    </xf>
    <xf numFmtId="2" fontId="16" fillId="19" borderId="53" xfId="0" applyNumberFormat="1" applyFont="1" applyFill="1" applyBorder="1" applyAlignment="1" applyProtection="1">
      <alignment horizontal="center" vertical="center"/>
      <protection locked="0"/>
    </xf>
    <xf numFmtId="2" fontId="16" fillId="0" borderId="31" xfId="0" applyNumberFormat="1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45" xfId="0" applyFont="1" applyBorder="1" applyAlignment="1">
      <alignment horizontal="center"/>
    </xf>
    <xf numFmtId="0" fontId="56" fillId="0" borderId="29" xfId="0" applyFont="1" applyBorder="1" applyAlignment="1">
      <alignment horizontal="center" vertical="center"/>
    </xf>
    <xf numFmtId="0" fontId="28" fillId="0" borderId="29" xfId="0" applyFont="1" applyBorder="1" applyAlignment="1">
      <alignment horizontal="center"/>
    </xf>
    <xf numFmtId="0" fontId="47" fillId="27" borderId="66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left" vertical="center" wrapText="1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 wrapText="1"/>
    </xf>
    <xf numFmtId="0" fontId="0" fillId="0" borderId="43" xfId="0" applyBorder="1" applyAlignment="1">
      <alignment horizontal="left" vertical="center"/>
    </xf>
    <xf numFmtId="0" fontId="48" fillId="22" borderId="29" xfId="0" applyFont="1" applyFill="1" applyBorder="1" applyAlignment="1">
      <alignment horizontal="center"/>
    </xf>
    <xf numFmtId="0" fontId="39" fillId="22" borderId="30" xfId="0" applyFont="1" applyFill="1" applyBorder="1" applyAlignment="1">
      <alignment horizontal="right" vertical="center" wrapText="1"/>
    </xf>
    <xf numFmtId="0" fontId="39" fillId="22" borderId="28" xfId="0" applyFont="1" applyFill="1" applyBorder="1" applyAlignment="1">
      <alignment horizontal="right" vertical="center" wrapText="1"/>
    </xf>
    <xf numFmtId="0" fontId="39" fillId="22" borderId="43" xfId="0" applyFont="1" applyFill="1" applyBorder="1" applyAlignment="1">
      <alignment horizontal="right" vertical="center" wrapText="1"/>
    </xf>
    <xf numFmtId="0" fontId="47" fillId="27" borderId="0" xfId="0" applyFont="1" applyFill="1" applyAlignment="1">
      <alignment horizontal="center" vertical="center" wrapText="1"/>
    </xf>
    <xf numFmtId="0" fontId="38" fillId="0" borderId="30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8" fillId="0" borderId="43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center" vertical="center" wrapText="1"/>
    </xf>
    <xf numFmtId="0" fontId="39" fillId="22" borderId="30" xfId="0" applyFont="1" applyFill="1" applyBorder="1" applyAlignment="1">
      <alignment horizontal="center" vertical="center" wrapText="1"/>
    </xf>
    <xf numFmtId="0" fontId="39" fillId="22" borderId="43" xfId="0" applyFont="1" applyFill="1" applyBorder="1" applyAlignment="1">
      <alignment horizontal="center" vertical="center" wrapText="1"/>
    </xf>
    <xf numFmtId="0" fontId="37" fillId="25" borderId="30" xfId="0" applyFont="1" applyFill="1" applyBorder="1" applyAlignment="1">
      <alignment horizontal="center" vertical="center"/>
    </xf>
    <xf numFmtId="0" fontId="37" fillId="25" borderId="28" xfId="0" applyFont="1" applyFill="1" applyBorder="1" applyAlignment="1">
      <alignment horizontal="center" vertical="center"/>
    </xf>
    <xf numFmtId="0" fontId="37" fillId="22" borderId="30" xfId="0" applyFont="1" applyFill="1" applyBorder="1" applyAlignment="1">
      <alignment horizontal="center" vertical="center"/>
    </xf>
    <xf numFmtId="0" fontId="37" fillId="22" borderId="28" xfId="0" applyFont="1" applyFill="1" applyBorder="1" applyAlignment="1">
      <alignment horizontal="center" vertical="center"/>
    </xf>
    <xf numFmtId="0" fontId="37" fillId="25" borderId="30" xfId="0" applyFont="1" applyFill="1" applyBorder="1" applyAlignment="1">
      <alignment horizontal="right" vertical="center"/>
    </xf>
    <xf numFmtId="0" fontId="37" fillId="25" borderId="28" xfId="0" applyFont="1" applyFill="1" applyBorder="1" applyAlignment="1">
      <alignment horizontal="right" vertical="center"/>
    </xf>
    <xf numFmtId="0" fontId="37" fillId="25" borderId="43" xfId="0" applyFont="1" applyFill="1" applyBorder="1" applyAlignment="1">
      <alignment horizontal="right" vertical="center"/>
    </xf>
    <xf numFmtId="0" fontId="48" fillId="22" borderId="30" xfId="0" applyFont="1" applyFill="1" applyBorder="1" applyAlignment="1">
      <alignment horizontal="center" vertical="center"/>
    </xf>
    <xf numFmtId="0" fontId="48" fillId="22" borderId="28" xfId="0" applyFont="1" applyFill="1" applyBorder="1" applyAlignment="1">
      <alignment horizontal="center" vertical="center"/>
    </xf>
    <xf numFmtId="0" fontId="48" fillId="22" borderId="43" xfId="0" applyFont="1" applyFill="1" applyBorder="1" applyAlignment="1">
      <alignment horizontal="center" vertical="center"/>
    </xf>
    <xf numFmtId="0" fontId="28" fillId="30" borderId="29" xfId="0" applyFont="1" applyFill="1" applyBorder="1" applyAlignment="1">
      <alignment horizontal="right" vertical="center" wrapText="1"/>
    </xf>
    <xf numFmtId="0" fontId="28" fillId="22" borderId="63" xfId="0" applyFont="1" applyFill="1" applyBorder="1" applyAlignment="1">
      <alignment horizontal="center" vertical="center"/>
    </xf>
    <xf numFmtId="0" fontId="51" fillId="0" borderId="85" xfId="0" applyFont="1" applyBorder="1" applyAlignment="1">
      <alignment horizontal="center" vertical="center"/>
    </xf>
    <xf numFmtId="0" fontId="51" fillId="0" borderId="34" xfId="0" applyFont="1" applyBorder="1" applyAlignment="1">
      <alignment horizontal="center" vertical="center"/>
    </xf>
    <xf numFmtId="0" fontId="51" fillId="0" borderId="79" xfId="0" applyFont="1" applyBorder="1" applyAlignment="1">
      <alignment horizontal="center" vertical="center"/>
    </xf>
    <xf numFmtId="0" fontId="37" fillId="0" borderId="74" xfId="0" applyFont="1" applyBorder="1" applyAlignment="1">
      <alignment horizontal="center" vertical="center"/>
    </xf>
    <xf numFmtId="0" fontId="37" fillId="0" borderId="90" xfId="0" applyFont="1" applyBorder="1" applyAlignment="1">
      <alignment horizontal="center" vertical="center"/>
    </xf>
    <xf numFmtId="0" fontId="51" fillId="32" borderId="30" xfId="0" applyFont="1" applyFill="1" applyBorder="1" applyAlignment="1">
      <alignment horizontal="center" vertical="center" wrapText="1"/>
    </xf>
    <xf numFmtId="0" fontId="51" fillId="32" borderId="28" xfId="0" applyFont="1" applyFill="1" applyBorder="1" applyAlignment="1">
      <alignment horizontal="center" vertical="center" wrapText="1"/>
    </xf>
    <xf numFmtId="0" fontId="51" fillId="32" borderId="43" xfId="0" applyFont="1" applyFill="1" applyBorder="1" applyAlignment="1">
      <alignment horizontal="center" vertical="center" wrapText="1"/>
    </xf>
    <xf numFmtId="0" fontId="51" fillId="36" borderId="30" xfId="0" applyFont="1" applyFill="1" applyBorder="1" applyAlignment="1">
      <alignment horizontal="center" vertical="center" wrapText="1"/>
    </xf>
    <xf numFmtId="0" fontId="51" fillId="36" borderId="28" xfId="0" applyFont="1" applyFill="1" applyBorder="1" applyAlignment="1">
      <alignment horizontal="center" vertical="center" wrapText="1"/>
    </xf>
    <xf numFmtId="0" fontId="51" fillId="36" borderId="43" xfId="0" applyFont="1" applyFill="1" applyBorder="1" applyAlignment="1">
      <alignment horizontal="center" vertical="center" wrapText="1"/>
    </xf>
    <xf numFmtId="0" fontId="51" fillId="33" borderId="30" xfId="0" applyFont="1" applyFill="1" applyBorder="1" applyAlignment="1">
      <alignment horizontal="center" vertical="center"/>
    </xf>
    <xf numFmtId="0" fontId="51" fillId="33" borderId="28" xfId="0" applyFont="1" applyFill="1" applyBorder="1" applyAlignment="1">
      <alignment horizontal="center" vertical="center"/>
    </xf>
    <xf numFmtId="0" fontId="51" fillId="33" borderId="43" xfId="0" applyFont="1" applyFill="1" applyBorder="1" applyAlignment="1">
      <alignment horizontal="center" vertical="center"/>
    </xf>
    <xf numFmtId="0" fontId="51" fillId="35" borderId="83" xfId="0" applyFont="1" applyFill="1" applyBorder="1" applyAlignment="1">
      <alignment horizontal="center" vertical="center"/>
    </xf>
    <xf numFmtId="0" fontId="51" fillId="35" borderId="28" xfId="0" applyFont="1" applyFill="1" applyBorder="1" applyAlignment="1">
      <alignment horizontal="center" vertical="center"/>
    </xf>
    <xf numFmtId="0" fontId="51" fillId="35" borderId="84" xfId="0" applyFont="1" applyFill="1" applyBorder="1" applyAlignment="1">
      <alignment horizontal="center" vertical="center"/>
    </xf>
    <xf numFmtId="0" fontId="51" fillId="32" borderId="77" xfId="0" applyFont="1" applyFill="1" applyBorder="1" applyAlignment="1">
      <alignment horizontal="center" vertical="center" wrapText="1"/>
    </xf>
    <xf numFmtId="0" fontId="51" fillId="32" borderId="78" xfId="0" applyFont="1" applyFill="1" applyBorder="1" applyAlignment="1">
      <alignment horizontal="center" vertical="center" wrapText="1"/>
    </xf>
    <xf numFmtId="0" fontId="51" fillId="32" borderId="70" xfId="0" applyFont="1" applyFill="1" applyBorder="1" applyAlignment="1">
      <alignment horizontal="center" vertical="center" wrapText="1"/>
    </xf>
    <xf numFmtId="0" fontId="51" fillId="36" borderId="77" xfId="0" applyFont="1" applyFill="1" applyBorder="1" applyAlignment="1">
      <alignment horizontal="center" vertical="center" wrapText="1"/>
    </xf>
    <xf numFmtId="0" fontId="51" fillId="36" borderId="78" xfId="0" applyFont="1" applyFill="1" applyBorder="1" applyAlignment="1">
      <alignment horizontal="center" vertical="center" wrapText="1"/>
    </xf>
    <xf numFmtId="0" fontId="51" fillId="36" borderId="70" xfId="0" applyFont="1" applyFill="1" applyBorder="1" applyAlignment="1">
      <alignment horizontal="center" vertical="center" wrapText="1"/>
    </xf>
    <xf numFmtId="0" fontId="51" fillId="36" borderId="80" xfId="0" applyFont="1" applyFill="1" applyBorder="1" applyAlignment="1">
      <alignment horizontal="center" vertical="center" wrapText="1"/>
    </xf>
    <xf numFmtId="0" fontId="51" fillId="36" borderId="29" xfId="0" applyFont="1" applyFill="1" applyBorder="1" applyAlignment="1">
      <alignment horizontal="center" vertical="center" wrapText="1"/>
    </xf>
    <xf numFmtId="0" fontId="51" fillId="31" borderId="83" xfId="0" applyFont="1" applyFill="1" applyBorder="1" applyAlignment="1">
      <alignment horizontal="center" vertical="center"/>
    </xf>
    <xf numFmtId="0" fontId="51" fillId="31" borderId="28" xfId="0" applyFont="1" applyFill="1" applyBorder="1" applyAlignment="1">
      <alignment horizontal="center" vertical="center"/>
    </xf>
    <xf numFmtId="0" fontId="51" fillId="31" borderId="84" xfId="0" applyFont="1" applyFill="1" applyBorder="1" applyAlignment="1">
      <alignment horizontal="center" vertical="center"/>
    </xf>
    <xf numFmtId="0" fontId="51" fillId="34" borderId="83" xfId="0" applyFont="1" applyFill="1" applyBorder="1" applyAlignment="1">
      <alignment horizontal="center" vertical="center"/>
    </xf>
    <xf numFmtId="0" fontId="51" fillId="34" borderId="28" xfId="0" applyFont="1" applyFill="1" applyBorder="1" applyAlignment="1">
      <alignment horizontal="center" vertical="center"/>
    </xf>
    <xf numFmtId="0" fontId="51" fillId="34" borderId="84" xfId="0" applyFont="1" applyFill="1" applyBorder="1" applyAlignment="1">
      <alignment horizontal="center" vertical="center"/>
    </xf>
    <xf numFmtId="0" fontId="51" fillId="32" borderId="80" xfId="0" applyFont="1" applyFill="1" applyBorder="1" applyAlignment="1">
      <alignment horizontal="center" vertical="center" wrapText="1"/>
    </xf>
    <xf numFmtId="0" fontId="51" fillId="32" borderId="29" xfId="0" applyFont="1" applyFill="1" applyBorder="1" applyAlignment="1">
      <alignment horizontal="center" vertical="center" wrapText="1"/>
    </xf>
    <xf numFmtId="0" fontId="51" fillId="31" borderId="77" xfId="0" applyFont="1" applyFill="1" applyBorder="1" applyAlignment="1">
      <alignment horizontal="center" vertical="center"/>
    </xf>
    <xf numFmtId="0" fontId="51" fillId="31" borderId="78" xfId="0" applyFont="1" applyFill="1" applyBorder="1" applyAlignment="1">
      <alignment horizontal="center" vertical="center"/>
    </xf>
    <xf numFmtId="0" fontId="51" fillId="31" borderId="70" xfId="0" applyFont="1" applyFill="1" applyBorder="1" applyAlignment="1">
      <alignment horizontal="center" vertical="center"/>
    </xf>
    <xf numFmtId="0" fontId="51" fillId="32" borderId="34" xfId="0" applyFont="1" applyFill="1" applyBorder="1" applyAlignment="1">
      <alignment horizontal="center" vertical="center" wrapText="1"/>
    </xf>
    <xf numFmtId="0" fontId="51" fillId="32" borderId="79" xfId="0" applyFont="1" applyFill="1" applyBorder="1" applyAlignment="1">
      <alignment horizontal="center" vertical="center" wrapText="1"/>
    </xf>
    <xf numFmtId="0" fontId="51" fillId="32" borderId="63" xfId="0" applyFont="1" applyFill="1" applyBorder="1" applyAlignment="1">
      <alignment horizontal="center" vertical="center" wrapText="1"/>
    </xf>
    <xf numFmtId="0" fontId="51" fillId="32" borderId="69" xfId="0" applyFont="1" applyFill="1" applyBorder="1" applyAlignment="1">
      <alignment horizontal="center" vertical="center" wrapText="1"/>
    </xf>
    <xf numFmtId="0" fontId="51" fillId="33" borderId="80" xfId="0" applyFont="1" applyFill="1" applyBorder="1" applyAlignment="1">
      <alignment horizontal="center" vertical="center"/>
    </xf>
    <xf numFmtId="0" fontId="51" fillId="33" borderId="29" xfId="0" applyFont="1" applyFill="1" applyBorder="1" applyAlignment="1">
      <alignment horizontal="center" vertical="center"/>
    </xf>
    <xf numFmtId="0" fontId="51" fillId="32" borderId="81" xfId="0" applyFont="1" applyFill="1" applyBorder="1" applyAlignment="1">
      <alignment horizontal="center" vertical="center" wrapText="1"/>
    </xf>
  </cellXfs>
  <cellStyles count="45">
    <cellStyle name="20% - Cor1" xfId="1" xr:uid="{00000000-0005-0000-0000-000000000000}"/>
    <cellStyle name="20% - Cor2" xfId="2" xr:uid="{00000000-0005-0000-0000-000001000000}"/>
    <cellStyle name="20% - Cor3" xfId="3" xr:uid="{00000000-0005-0000-0000-000002000000}"/>
    <cellStyle name="20% - Cor4" xfId="4" xr:uid="{00000000-0005-0000-0000-000003000000}"/>
    <cellStyle name="20% - Cor5" xfId="5" xr:uid="{00000000-0005-0000-0000-000004000000}"/>
    <cellStyle name="20% - Cor6" xfId="6" xr:uid="{00000000-0005-0000-0000-000005000000}"/>
    <cellStyle name="40% - Cor1" xfId="7" xr:uid="{00000000-0005-0000-0000-000006000000}"/>
    <cellStyle name="40% - Cor2" xfId="8" xr:uid="{00000000-0005-0000-0000-000007000000}"/>
    <cellStyle name="40% - Cor3" xfId="9" xr:uid="{00000000-0005-0000-0000-000008000000}"/>
    <cellStyle name="40% - Cor4" xfId="10" xr:uid="{00000000-0005-0000-0000-000009000000}"/>
    <cellStyle name="40% - Cor5" xfId="11" xr:uid="{00000000-0005-0000-0000-00000A000000}"/>
    <cellStyle name="40% - Cor6" xfId="12" xr:uid="{00000000-0005-0000-0000-00000B000000}"/>
    <cellStyle name="60% - Cor1" xfId="13" xr:uid="{00000000-0005-0000-0000-00000C000000}"/>
    <cellStyle name="60% - Cor2" xfId="14" xr:uid="{00000000-0005-0000-0000-00000D000000}"/>
    <cellStyle name="60% - Cor3" xfId="15" xr:uid="{00000000-0005-0000-0000-00000E000000}"/>
    <cellStyle name="60% - Cor4" xfId="16" xr:uid="{00000000-0005-0000-0000-00000F000000}"/>
    <cellStyle name="60% - Cor5" xfId="17" xr:uid="{00000000-0005-0000-0000-000010000000}"/>
    <cellStyle name="60% - Cor6" xfId="18" xr:uid="{00000000-0005-0000-0000-000011000000}"/>
    <cellStyle name="Cabeçalho 1" xfId="19" xr:uid="{00000000-0005-0000-0000-000012000000}"/>
    <cellStyle name="Cabeçalho 2" xfId="20" xr:uid="{00000000-0005-0000-0000-000013000000}"/>
    <cellStyle name="Cabeçalho 3" xfId="21" xr:uid="{00000000-0005-0000-0000-000014000000}"/>
    <cellStyle name="Cabeçalho 4" xfId="22" xr:uid="{00000000-0005-0000-0000-000015000000}"/>
    <cellStyle name="Cálculo" xfId="23" builtinId="22" customBuiltin="1"/>
    <cellStyle name="Célula Ligada" xfId="24" xr:uid="{00000000-0005-0000-0000-000017000000}"/>
    <cellStyle name="Cor1" xfId="25" xr:uid="{00000000-0005-0000-0000-000018000000}"/>
    <cellStyle name="Cor2" xfId="26" xr:uid="{00000000-0005-0000-0000-000019000000}"/>
    <cellStyle name="Cor3" xfId="27" xr:uid="{00000000-0005-0000-0000-00001A000000}"/>
    <cellStyle name="Cor4" xfId="28" xr:uid="{00000000-0005-0000-0000-00001B000000}"/>
    <cellStyle name="Cor5" xfId="29" xr:uid="{00000000-0005-0000-0000-00001C000000}"/>
    <cellStyle name="Cor6" xfId="30" xr:uid="{00000000-0005-0000-0000-00001D000000}"/>
    <cellStyle name="Correcto" xfId="31" xr:uid="{00000000-0005-0000-0000-00001E000000}"/>
    <cellStyle name="Entrada" xfId="32" builtinId="20" customBuiltin="1"/>
    <cellStyle name="Incorrecto" xfId="33" xr:uid="{00000000-0005-0000-0000-000020000000}"/>
    <cellStyle name="Moeda" xfId="34" builtinId="4"/>
    <cellStyle name="Moeda 3" xfId="35" xr:uid="{00000000-0005-0000-0000-000022000000}"/>
    <cellStyle name="Normal" xfId="0" builtinId="0"/>
    <cellStyle name="Normal 2" xfId="36" xr:uid="{00000000-0005-0000-0000-000024000000}"/>
    <cellStyle name="Nota" xfId="37" builtinId="10" customBuiltin="1"/>
    <cellStyle name="Porcentagem" xfId="38" builtinId="5"/>
    <cellStyle name="Saída" xfId="39" builtinId="21" customBuiltin="1"/>
    <cellStyle name="Texto de Aviso" xfId="40" builtinId="11" customBuiltin="1"/>
    <cellStyle name="Texto Explicativo" xfId="41" builtinId="53" customBuiltin="1"/>
    <cellStyle name="Total" xfId="42" builtinId="25" customBuiltin="1"/>
    <cellStyle name="Verificar Célula" xfId="43" xr:uid="{00000000-0005-0000-0000-00002B000000}"/>
    <cellStyle name="Vírgula" xfId="4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10101"/>
      <rgbColor rgb="0033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riam Cristiane Juwer" id="{41EB15EE-B4DF-4F37-A8A7-ED88A2C1A66D}" userId="S::miriam.mcj@pf.gov.br::bc01c135-ae47-45c5-8b71-fd7d5fd7dfae" providerId="AD"/>
</personList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99" dT="2023-09-20T18:13:19.93" personId="{41EB15EE-B4DF-4F37-A8A7-ED88A2C1A66D}" id="{FE4A7385-9C67-4097-A699-16700964EADC}">
    <text>Preencher na aba uniforme</text>
  </threadedComment>
  <threadedComment ref="H100" dT="2023-09-20T18:13:44.16" personId="{41EB15EE-B4DF-4F37-A8A7-ED88A2C1A66D}" id="{150C096D-0F36-4D3C-A3F9-E477E70E907A}">
    <text>Preencher na aba materiais</text>
  </threadedComment>
  <threadedComment ref="H101" dT="2023-09-20T18:14:18.35" personId="{41EB15EE-B4DF-4F37-A8A7-ED88A2C1A66D}" id="{6726A998-0A9F-49D4-9C5C-762B21980E5C}">
    <text>Preencher na aba equipamentos</text>
  </threadedComment>
  <threadedComment ref="H102" dT="2023-09-20T18:14:28.77" personId="{41EB15EE-B4DF-4F37-A8A7-ED88A2C1A66D}" id="{5E6A8C71-F4BA-4AED-9ED4-564C49FD69D9}">
    <text>Preencher na aba insumos</text>
  </threadedComment>
  <threadedComment ref="C110" dT="2023-09-13T12:57:16.84" personId="{41EB15EE-B4DF-4F37-A8A7-ED88A2C1A66D}" id="{CD49418E-A6D1-4448-87D7-3750E9BD1893}">
    <text>Base de Cálculo lucro real. Cada empresa adequar para seu regime tributário.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H99" dT="2023-09-20T18:26:03.76" personId="{41EB15EE-B4DF-4F37-A8A7-ED88A2C1A66D}" id="{4A98D5A3-6B68-445B-8C36-DB68213B8C9F}">
    <text xml:space="preserve">Preencher na aba uniformes
</text>
  </threadedComment>
  <threadedComment ref="H100" dT="2023-09-20T18:25:50.84" personId="{41EB15EE-B4DF-4F37-A8A7-ED88A2C1A66D}" id="{D503B034-2B17-477F-8048-06E658DD56AF}">
    <text xml:space="preserve">Preencher na aba materiais
</text>
  </threadedComment>
  <threadedComment ref="H101" dT="2023-09-20T18:27:10.89" personId="{41EB15EE-B4DF-4F37-A8A7-ED88A2C1A66D}" id="{545EE162-2234-4396-9017-EF9D3AF3771F}">
    <text>Preencher na aba equipamentos</text>
  </threadedComment>
  <threadedComment ref="H102" dT="2023-09-20T18:26:56.63" personId="{41EB15EE-B4DF-4F37-A8A7-ED88A2C1A66D}" id="{9CC93B3E-FFD1-41B7-B8C7-8C33780415AE}">
    <text xml:space="preserve">Preencher na aba insumos
</text>
  </threadedComment>
  <threadedComment ref="C110" dT="2023-09-13T12:57:16.84" personId="{41EB15EE-B4DF-4F37-A8A7-ED88A2C1A66D}" id="{4104F6BD-0EDA-4139-A684-0B7638B29855}">
    <text>Base de Cálculo lucro real. Cada empresa adequar para seu regime tributário.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H99" dT="2023-09-20T18:27:35.54" personId="{41EB15EE-B4DF-4F37-A8A7-ED88A2C1A66D}" id="{D6AACF45-D18B-4423-A1D3-ECA66B6F995F}">
    <text xml:space="preserve">Preencher na aba uniformes
</text>
  </threadedComment>
  <threadedComment ref="H100" dT="2023-09-20T18:27:50.39" personId="{41EB15EE-B4DF-4F37-A8A7-ED88A2C1A66D}" id="{3E6D94EB-2F0E-49D6-9C47-859AC6962B71}">
    <text xml:space="preserve">Preencher na aba materiais
</text>
  </threadedComment>
  <threadedComment ref="H101" dT="2023-09-20T18:28:02.97" personId="{41EB15EE-B4DF-4F37-A8A7-ED88A2C1A66D}" id="{F687FAD6-8686-42C5-9CBC-D68740DA7781}">
    <text>Preencher na aba equipamentos</text>
  </threadedComment>
  <threadedComment ref="H102" dT="2023-09-20T18:28:14.64" personId="{41EB15EE-B4DF-4F37-A8A7-ED88A2C1A66D}" id="{193BB88C-D89C-41CB-A92C-EB11F47CD974}">
    <text>Preencher na aba insumos</text>
  </threadedComment>
  <threadedComment ref="C110" dT="2023-09-13T12:57:16.84" personId="{41EB15EE-B4DF-4F37-A8A7-ED88A2C1A66D}" id="{BDC3248D-0FE2-47F7-978D-875D4EB99F84}">
    <text>Base de Cálculo lucro real. Cada empresa adequar para seu regime tributário.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AF266"/>
  <sheetViews>
    <sheetView showGridLines="0" view="pageBreakPreview" topLeftCell="A179" zoomScale="75" zoomScaleNormal="75" zoomScaleSheetLayoutView="75" workbookViewId="0">
      <selection activeCell="K48" sqref="K48"/>
    </sheetView>
  </sheetViews>
  <sheetFormatPr defaultColWidth="11.42578125" defaultRowHeight="15" x14ac:dyDescent="0.2"/>
  <cols>
    <col min="1" max="1" width="18.5703125" customWidth="1"/>
    <col min="2" max="2" width="7.7109375" style="1" customWidth="1"/>
    <col min="3" max="3" width="13.42578125" style="1" customWidth="1"/>
    <col min="4" max="4" width="9.140625" style="1" customWidth="1"/>
    <col min="5" max="5" width="23.28515625" style="1" customWidth="1"/>
    <col min="6" max="6" width="14.85546875" style="1" customWidth="1"/>
    <col min="7" max="7" width="12.5703125" style="1" customWidth="1"/>
    <col min="8" max="8" width="17.140625" style="1" customWidth="1"/>
    <col min="9" max="9" width="8.28515625" style="1" customWidth="1"/>
    <col min="10" max="11" width="16.5703125" style="1" customWidth="1"/>
    <col min="12" max="12" width="24.28515625" style="1" customWidth="1"/>
    <col min="13" max="13" width="3.7109375" style="2" customWidth="1"/>
    <col min="14" max="14" width="17.140625" style="2" customWidth="1"/>
    <col min="15" max="15" width="11" style="2" bestFit="1" customWidth="1"/>
    <col min="16" max="16" width="8.5703125" style="2" bestFit="1" customWidth="1"/>
    <col min="17" max="17" width="9.42578125" style="2" customWidth="1"/>
    <col min="18" max="18" width="11.42578125" style="2"/>
    <col min="19" max="19" width="11.42578125" style="2" bestFit="1" customWidth="1"/>
    <col min="20" max="21" width="9.140625" style="2" customWidth="1"/>
    <col min="22" max="32" width="11.42578125" style="2"/>
  </cols>
  <sheetData>
    <row r="1" spans="2:12" s="76" customFormat="1" ht="96" customHeight="1" x14ac:dyDescent="0.2">
      <c r="B1" s="442" t="s">
        <v>189</v>
      </c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2:12" ht="37.5" customHeight="1" x14ac:dyDescent="0.2">
      <c r="B2" s="443" t="s">
        <v>399</v>
      </c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2:12" ht="13.5" customHeight="1" thickBot="1" x14ac:dyDescent="0.3">
      <c r="B3" s="444" t="s">
        <v>66</v>
      </c>
      <c r="C3" s="444"/>
      <c r="D3" s="444"/>
      <c r="E3" s="444"/>
      <c r="F3" s="444"/>
      <c r="G3" s="444"/>
      <c r="H3" s="444"/>
      <c r="I3" s="444"/>
      <c r="J3" s="444"/>
      <c r="K3" s="444"/>
      <c r="L3" s="444"/>
    </row>
    <row r="4" spans="2:12" ht="27.75" customHeight="1" thickBot="1" x14ac:dyDescent="0.3">
      <c r="B4" s="461" t="s">
        <v>400</v>
      </c>
      <c r="C4" s="462"/>
      <c r="D4" s="462"/>
      <c r="E4" s="462"/>
      <c r="F4" s="462"/>
      <c r="G4" s="462"/>
      <c r="H4" s="462"/>
      <c r="I4" s="462"/>
      <c r="J4" s="462"/>
      <c r="K4" s="462"/>
      <c r="L4" s="463"/>
    </row>
    <row r="5" spans="2:12" ht="21" customHeight="1" thickBot="1" x14ac:dyDescent="0.25">
      <c r="B5" s="445" t="s">
        <v>0</v>
      </c>
      <c r="C5" s="445"/>
      <c r="D5" s="445"/>
      <c r="E5" s="446" t="s">
        <v>398</v>
      </c>
      <c r="F5" s="446"/>
      <c r="G5" s="446"/>
      <c r="H5" s="446"/>
      <c r="I5" s="446"/>
      <c r="J5" s="446"/>
      <c r="K5" s="446"/>
      <c r="L5" s="446"/>
    </row>
    <row r="6" spans="2:12" ht="20.25" customHeight="1" thickBot="1" x14ac:dyDescent="0.25">
      <c r="B6" s="447" t="s">
        <v>1</v>
      </c>
      <c r="C6" s="447"/>
      <c r="D6" s="447"/>
      <c r="E6" s="448" t="s">
        <v>190</v>
      </c>
      <c r="F6" s="448"/>
      <c r="G6" s="448"/>
      <c r="H6" s="448"/>
      <c r="I6" s="448"/>
      <c r="J6" s="448"/>
      <c r="K6" s="448"/>
      <c r="L6" s="449"/>
    </row>
    <row r="7" spans="2:12" ht="13.5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2:12" ht="21" customHeight="1" x14ac:dyDescent="0.3">
      <c r="B8" s="467" t="s">
        <v>2</v>
      </c>
      <c r="C8" s="467"/>
      <c r="D8" s="467"/>
      <c r="E8" s="467"/>
      <c r="F8" s="467"/>
      <c r="G8" s="467"/>
      <c r="H8" s="467"/>
      <c r="I8" s="467"/>
      <c r="J8" s="467"/>
      <c r="K8" s="467"/>
      <c r="L8" s="467"/>
    </row>
    <row r="9" spans="2:12" x14ac:dyDescent="0.2"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2:12" ht="16.5" thickBot="1" x14ac:dyDescent="0.3">
      <c r="B10" s="453" t="s">
        <v>37</v>
      </c>
      <c r="C10" s="453"/>
      <c r="D10" s="453"/>
      <c r="E10" s="453"/>
      <c r="F10" s="453"/>
      <c r="G10" s="453"/>
      <c r="H10" s="453"/>
      <c r="I10" s="453"/>
      <c r="J10" s="453"/>
      <c r="K10" s="453"/>
      <c r="L10" s="453"/>
    </row>
    <row r="11" spans="2:12" ht="20.25" customHeight="1" thickBot="1" x14ac:dyDescent="0.25">
      <c r="B11" s="4" t="s">
        <v>3</v>
      </c>
      <c r="C11" s="420" t="s">
        <v>4</v>
      </c>
      <c r="D11" s="420"/>
      <c r="E11" s="420"/>
      <c r="F11" s="420"/>
      <c r="G11" s="420"/>
      <c r="H11" s="420"/>
      <c r="I11" s="420"/>
      <c r="J11" s="420"/>
      <c r="K11" s="420"/>
      <c r="L11" s="6"/>
    </row>
    <row r="12" spans="2:12" ht="33" customHeight="1" thickBot="1" x14ac:dyDescent="0.25">
      <c r="B12" s="11" t="s">
        <v>5</v>
      </c>
      <c r="C12" s="468" t="s">
        <v>6</v>
      </c>
      <c r="D12" s="468"/>
      <c r="E12" s="468"/>
      <c r="F12" s="468"/>
      <c r="G12" s="468"/>
      <c r="H12" s="468"/>
      <c r="I12" s="468"/>
      <c r="J12" s="468"/>
      <c r="K12" s="468"/>
      <c r="L12" s="124" t="s">
        <v>156</v>
      </c>
    </row>
    <row r="13" spans="2:12" ht="20.25" customHeight="1" thickBot="1" x14ac:dyDescent="0.25">
      <c r="B13" s="4" t="s">
        <v>7</v>
      </c>
      <c r="C13" s="420" t="s">
        <v>36</v>
      </c>
      <c r="D13" s="420"/>
      <c r="E13" s="420"/>
      <c r="F13" s="420"/>
      <c r="G13" s="420"/>
      <c r="H13" s="420"/>
      <c r="I13" s="420"/>
      <c r="J13" s="420"/>
      <c r="K13" s="420"/>
      <c r="L13" s="275" t="s">
        <v>193</v>
      </c>
    </row>
    <row r="14" spans="2:12" ht="20.25" customHeight="1" thickBot="1" x14ac:dyDescent="0.25">
      <c r="B14" s="4" t="s">
        <v>22</v>
      </c>
      <c r="C14" s="420" t="s">
        <v>11</v>
      </c>
      <c r="D14" s="420"/>
      <c r="E14" s="420"/>
      <c r="F14" s="420"/>
      <c r="G14" s="420"/>
      <c r="H14" s="420"/>
      <c r="I14" s="420"/>
      <c r="J14" s="420"/>
      <c r="K14" s="420"/>
      <c r="L14" s="114">
        <v>12</v>
      </c>
    </row>
    <row r="15" spans="2:12" ht="15" customHeight="1" x14ac:dyDescent="0.2">
      <c r="B15" s="451"/>
      <c r="C15" s="452"/>
      <c r="D15" s="452"/>
      <c r="E15" s="452"/>
      <c r="F15" s="452"/>
      <c r="G15" s="452"/>
      <c r="H15" s="452"/>
      <c r="I15" s="452"/>
      <c r="J15" s="452"/>
      <c r="K15" s="452"/>
      <c r="L15" s="452"/>
    </row>
    <row r="16" spans="2:12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2:13" ht="20.25" customHeight="1" thickBot="1" x14ac:dyDescent="0.3">
      <c r="B17" s="453" t="s">
        <v>38</v>
      </c>
      <c r="C17" s="453"/>
      <c r="D17" s="453"/>
      <c r="E17" s="453"/>
      <c r="F17" s="453"/>
      <c r="G17" s="453"/>
      <c r="H17" s="453"/>
      <c r="I17" s="453"/>
      <c r="J17" s="453"/>
      <c r="K17" s="454"/>
      <c r="L17" s="454"/>
    </row>
    <row r="18" spans="2:13" ht="35.25" customHeight="1" thickBot="1" x14ac:dyDescent="0.25">
      <c r="B18" s="78">
        <v>1</v>
      </c>
      <c r="C18" s="417" t="s">
        <v>86</v>
      </c>
      <c r="D18" s="455"/>
      <c r="E18" s="455"/>
      <c r="F18" s="455"/>
      <c r="G18" s="418"/>
      <c r="H18" s="417" t="s">
        <v>87</v>
      </c>
      <c r="I18" s="455"/>
      <c r="J18" s="455"/>
      <c r="K18" s="456" t="s">
        <v>124</v>
      </c>
      <c r="L18" s="457"/>
    </row>
    <row r="19" spans="2:13" ht="21" customHeight="1" thickBot="1" x14ac:dyDescent="0.25">
      <c r="B19" s="8" t="s">
        <v>3</v>
      </c>
      <c r="C19" s="311" t="s">
        <v>139</v>
      </c>
      <c r="D19" s="312"/>
      <c r="E19" s="312"/>
      <c r="F19" s="312"/>
      <c r="G19" s="458"/>
      <c r="H19" s="311" t="s">
        <v>194</v>
      </c>
      <c r="I19" s="312"/>
      <c r="J19" s="312"/>
      <c r="K19" s="459" t="s">
        <v>369</v>
      </c>
      <c r="L19" s="460"/>
    </row>
    <row r="20" spans="2:13" ht="21.75" customHeight="1" x14ac:dyDescent="0.2">
      <c r="B20" s="450" t="s">
        <v>88</v>
      </c>
      <c r="C20" s="450"/>
      <c r="D20" s="450"/>
      <c r="E20" s="450"/>
      <c r="F20" s="450"/>
      <c r="G20" s="450"/>
      <c r="H20" s="450"/>
      <c r="I20" s="450"/>
      <c r="J20" s="450"/>
      <c r="K20" s="450"/>
      <c r="L20" s="450"/>
    </row>
    <row r="21" spans="2:13" ht="15" customHeight="1" x14ac:dyDescent="0.2">
      <c r="B21" s="450" t="s">
        <v>90</v>
      </c>
      <c r="C21" s="450"/>
      <c r="D21" s="450"/>
      <c r="E21" s="450"/>
      <c r="F21" s="450"/>
      <c r="G21" s="450"/>
      <c r="H21" s="450"/>
      <c r="I21" s="450"/>
      <c r="J21" s="450"/>
      <c r="K21" s="450"/>
      <c r="L21" s="450"/>
    </row>
    <row r="22" spans="2:13" ht="15" customHeight="1" x14ac:dyDescent="0.2">
      <c r="B22" s="450" t="s">
        <v>89</v>
      </c>
      <c r="C22" s="450"/>
      <c r="D22" s="450"/>
      <c r="E22" s="450"/>
      <c r="F22" s="450"/>
      <c r="G22" s="450"/>
      <c r="H22" s="450"/>
      <c r="I22" s="450"/>
      <c r="J22" s="450"/>
      <c r="K22" s="450"/>
      <c r="L22" s="450"/>
      <c r="M22" s="51"/>
    </row>
    <row r="23" spans="2:13" ht="15" customHeight="1" thickBot="1" x14ac:dyDescent="0.25"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51"/>
    </row>
    <row r="24" spans="2:13" ht="15" customHeight="1" thickBot="1" x14ac:dyDescent="0.25">
      <c r="B24" s="469" t="s">
        <v>39</v>
      </c>
      <c r="C24" s="470"/>
      <c r="D24" s="470"/>
      <c r="E24" s="470"/>
      <c r="F24" s="470"/>
      <c r="G24" s="470"/>
      <c r="H24" s="470"/>
      <c r="I24" s="470"/>
      <c r="J24" s="470"/>
      <c r="K24" s="470"/>
      <c r="L24" s="471"/>
    </row>
    <row r="25" spans="2:13" ht="37.5" customHeight="1" thickBot="1" x14ac:dyDescent="0.25">
      <c r="B25" s="8">
        <v>1</v>
      </c>
      <c r="C25" s="473" t="s">
        <v>91</v>
      </c>
      <c r="D25" s="474"/>
      <c r="E25" s="474"/>
      <c r="F25" s="474"/>
      <c r="G25" s="474"/>
      <c r="H25" s="474"/>
      <c r="I25" s="474"/>
      <c r="J25" s="474"/>
      <c r="K25" s="475"/>
      <c r="L25" s="110" t="s">
        <v>134</v>
      </c>
    </row>
    <row r="26" spans="2:13" ht="15" customHeight="1" thickBot="1" x14ac:dyDescent="0.25">
      <c r="B26" s="4">
        <v>2</v>
      </c>
      <c r="C26" s="313" t="s">
        <v>40</v>
      </c>
      <c r="D26" s="314"/>
      <c r="E26" s="314"/>
      <c r="F26" s="314"/>
      <c r="G26" s="314"/>
      <c r="H26" s="314"/>
      <c r="I26" s="314"/>
      <c r="J26" s="314"/>
      <c r="K26" s="415"/>
      <c r="L26" s="111" t="s">
        <v>133</v>
      </c>
    </row>
    <row r="27" spans="2:13" ht="15" customHeight="1" thickBot="1" x14ac:dyDescent="0.25">
      <c r="B27" s="4">
        <v>3</v>
      </c>
      <c r="C27" s="118" t="s">
        <v>92</v>
      </c>
      <c r="D27" s="52"/>
      <c r="E27" s="52"/>
      <c r="F27" s="52"/>
      <c r="G27" s="52"/>
      <c r="H27" s="52"/>
      <c r="I27" s="52"/>
      <c r="J27" s="52"/>
      <c r="K27" s="52"/>
      <c r="L27" s="274"/>
    </row>
    <row r="28" spans="2:13" ht="15" customHeight="1" thickBot="1" x14ac:dyDescent="0.25">
      <c r="B28" s="53">
        <v>4</v>
      </c>
      <c r="C28" s="476" t="s">
        <v>13</v>
      </c>
      <c r="D28" s="476"/>
      <c r="E28" s="476"/>
      <c r="F28" s="476"/>
      <c r="G28" s="476"/>
      <c r="H28" s="476"/>
      <c r="I28" s="476"/>
      <c r="J28" s="476"/>
      <c r="K28" s="477"/>
      <c r="L28" s="112" t="s">
        <v>108</v>
      </c>
    </row>
    <row r="29" spans="2:13" ht="20.25" customHeight="1" thickBot="1" x14ac:dyDescent="0.25">
      <c r="B29" s="242">
        <v>5</v>
      </c>
      <c r="C29" s="478" t="s">
        <v>14</v>
      </c>
      <c r="D29" s="478"/>
      <c r="E29" s="478"/>
      <c r="F29" s="478"/>
      <c r="G29" s="478"/>
      <c r="H29" s="478"/>
      <c r="I29" s="478"/>
      <c r="J29" s="478"/>
      <c r="K29" s="479"/>
      <c r="L29" s="243" t="s">
        <v>135</v>
      </c>
    </row>
    <row r="30" spans="2:13" ht="34.5" customHeight="1" thickBot="1" x14ac:dyDescent="0.35">
      <c r="B30" s="472" t="s">
        <v>55</v>
      </c>
      <c r="C30" s="472"/>
      <c r="D30" s="472"/>
      <c r="E30" s="472"/>
      <c r="F30" s="472"/>
      <c r="G30" s="472"/>
      <c r="H30" s="472"/>
      <c r="I30" s="472"/>
      <c r="J30" s="472"/>
      <c r="K30" s="472"/>
      <c r="L30" s="472"/>
    </row>
    <row r="31" spans="2:13" ht="20.25" customHeight="1" thickBot="1" x14ac:dyDescent="0.25">
      <c r="B31" s="78" t="s">
        <v>15</v>
      </c>
      <c r="C31" s="416" t="s">
        <v>59</v>
      </c>
      <c r="D31" s="416"/>
      <c r="E31" s="416"/>
      <c r="F31" s="416"/>
      <c r="G31" s="416"/>
      <c r="H31" s="416"/>
      <c r="I31" s="78" t="s">
        <v>16</v>
      </c>
      <c r="J31" s="273" t="s">
        <v>17</v>
      </c>
      <c r="K31" s="88" t="s">
        <v>18</v>
      </c>
      <c r="L31" s="80" t="s">
        <v>19</v>
      </c>
    </row>
    <row r="32" spans="2:13" ht="20.25" customHeight="1" thickBot="1" x14ac:dyDescent="0.25">
      <c r="B32" s="4" t="s">
        <v>3</v>
      </c>
      <c r="C32" s="420" t="s">
        <v>41</v>
      </c>
      <c r="D32" s="420"/>
      <c r="E32" s="420"/>
      <c r="F32" s="420"/>
      <c r="G32" s="420"/>
      <c r="H32" s="420"/>
      <c r="I32" s="276">
        <v>1</v>
      </c>
      <c r="J32" s="277"/>
      <c r="K32" s="278">
        <v>1</v>
      </c>
      <c r="L32" s="14">
        <f>L27</f>
        <v>0</v>
      </c>
    </row>
    <row r="33" spans="2:17" ht="16.5" thickBot="1" x14ac:dyDescent="0.25">
      <c r="B33" s="8" t="s">
        <v>5</v>
      </c>
      <c r="C33" s="437" t="s">
        <v>42</v>
      </c>
      <c r="D33" s="437"/>
      <c r="E33" s="437"/>
      <c r="F33" s="437"/>
      <c r="G33" s="437"/>
      <c r="H33" s="437"/>
      <c r="I33" s="279">
        <v>1</v>
      </c>
      <c r="J33" s="280">
        <f>L27</f>
        <v>0</v>
      </c>
      <c r="K33" s="281">
        <v>0.3</v>
      </c>
      <c r="L33" s="14">
        <f>+J33*I33*K33</f>
        <v>0</v>
      </c>
    </row>
    <row r="34" spans="2:17" ht="20.25" customHeight="1" thickBot="1" x14ac:dyDescent="0.25">
      <c r="B34" s="7" t="s">
        <v>7</v>
      </c>
      <c r="C34" s="437" t="s">
        <v>43</v>
      </c>
      <c r="D34" s="437"/>
      <c r="E34" s="437"/>
      <c r="F34" s="437"/>
      <c r="G34" s="437"/>
      <c r="H34" s="437"/>
      <c r="I34" s="279"/>
      <c r="J34" s="282"/>
      <c r="K34" s="283"/>
      <c r="L34" s="14">
        <f>L32*K34*I34</f>
        <v>0</v>
      </c>
    </row>
    <row r="35" spans="2:17" ht="21.75" customHeight="1" thickBot="1" x14ac:dyDescent="0.25">
      <c r="B35" s="7" t="s">
        <v>22</v>
      </c>
      <c r="C35" s="437" t="s">
        <v>44</v>
      </c>
      <c r="D35" s="437"/>
      <c r="E35" s="437"/>
      <c r="F35" s="437"/>
      <c r="G35" s="437"/>
      <c r="H35" s="437"/>
      <c r="I35" s="279"/>
      <c r="J35" s="284"/>
      <c r="K35" s="281"/>
      <c r="L35" s="14">
        <f>+J35*I35*K35</f>
        <v>0</v>
      </c>
    </row>
    <row r="36" spans="2:17" ht="21" customHeight="1" thickBot="1" x14ac:dyDescent="0.25">
      <c r="B36" s="7" t="s">
        <v>8</v>
      </c>
      <c r="C36" s="437" t="s">
        <v>45</v>
      </c>
      <c r="D36" s="437"/>
      <c r="E36" s="437"/>
      <c r="F36" s="437"/>
      <c r="G36" s="437"/>
      <c r="H36" s="437"/>
      <c r="I36" s="279"/>
      <c r="J36" s="284"/>
      <c r="K36" s="281"/>
      <c r="L36" s="14">
        <f>+J36*I36*K36</f>
        <v>0</v>
      </c>
    </row>
    <row r="37" spans="2:17" ht="27.75" customHeight="1" thickBot="1" x14ac:dyDescent="0.25">
      <c r="B37" s="7" t="s">
        <v>9</v>
      </c>
      <c r="C37" s="437" t="s">
        <v>76</v>
      </c>
      <c r="D37" s="437"/>
      <c r="E37" s="437"/>
      <c r="F37" s="437"/>
      <c r="G37" s="437"/>
      <c r="H37" s="437"/>
      <c r="I37" s="279"/>
      <c r="J37" s="284"/>
      <c r="K37" s="281"/>
      <c r="L37" s="14">
        <f>+J37*I37*K37</f>
        <v>0</v>
      </c>
    </row>
    <row r="38" spans="2:17" ht="18.75" customHeight="1" thickBot="1" x14ac:dyDescent="0.3">
      <c r="B38" s="438" t="s">
        <v>29</v>
      </c>
      <c r="C38" s="439"/>
      <c r="D38" s="439"/>
      <c r="E38" s="439"/>
      <c r="F38" s="439"/>
      <c r="G38" s="439"/>
      <c r="H38" s="439"/>
      <c r="I38" s="439"/>
      <c r="J38" s="439"/>
      <c r="K38" s="440"/>
      <c r="L38" s="81">
        <f>SUM(L32:L37)</f>
        <v>0</v>
      </c>
    </row>
    <row r="39" spans="2:17" ht="20.25" customHeight="1" x14ac:dyDescent="0.3">
      <c r="B39" s="426" t="s">
        <v>54</v>
      </c>
      <c r="C39" s="426"/>
      <c r="D39" s="426"/>
      <c r="E39" s="426"/>
      <c r="F39" s="426"/>
      <c r="G39" s="426"/>
      <c r="H39" s="426"/>
      <c r="I39" s="426"/>
      <c r="J39" s="426"/>
      <c r="K39" s="426"/>
      <c r="L39" s="426"/>
    </row>
    <row r="40" spans="2:17" ht="20.25" customHeight="1" thickBot="1" x14ac:dyDescent="0.35">
      <c r="B40" s="54" t="s">
        <v>93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2:17" ht="20.25" customHeight="1" thickBot="1" x14ac:dyDescent="0.25">
      <c r="B41" s="78" t="s">
        <v>47</v>
      </c>
      <c r="C41" s="416" t="s">
        <v>67</v>
      </c>
      <c r="D41" s="416"/>
      <c r="E41" s="416"/>
      <c r="F41" s="416"/>
      <c r="G41" s="416"/>
      <c r="H41" s="416"/>
      <c r="I41" s="78"/>
      <c r="J41" s="273"/>
      <c r="K41" s="88" t="s">
        <v>18</v>
      </c>
      <c r="L41" s="80" t="s">
        <v>19</v>
      </c>
    </row>
    <row r="42" spans="2:17" ht="20.25" customHeight="1" thickBot="1" x14ac:dyDescent="0.25">
      <c r="B42" s="8" t="s">
        <v>3</v>
      </c>
      <c r="C42" s="420" t="s">
        <v>125</v>
      </c>
      <c r="D42" s="420"/>
      <c r="E42" s="420"/>
      <c r="F42" s="420"/>
      <c r="G42" s="420"/>
      <c r="H42" s="420"/>
      <c r="I42" s="420"/>
      <c r="J42" s="313"/>
      <c r="K42" s="21">
        <v>8.3299999999999999E-2</v>
      </c>
      <c r="L42" s="12">
        <f>ROUND(L$38*K42,2)</f>
        <v>0</v>
      </c>
    </row>
    <row r="43" spans="2:17" ht="20.25" customHeight="1" thickBot="1" x14ac:dyDescent="0.25">
      <c r="B43" s="8" t="s">
        <v>5</v>
      </c>
      <c r="C43" s="420" t="s">
        <v>147</v>
      </c>
      <c r="D43" s="420"/>
      <c r="E43" s="420"/>
      <c r="F43" s="420"/>
      <c r="G43" s="420"/>
      <c r="H43" s="420"/>
      <c r="I43" s="420"/>
      <c r="J43" s="420"/>
      <c r="K43" s="21">
        <v>0.121</v>
      </c>
      <c r="L43" s="12">
        <f>ROUND(L$38*K43,2)</f>
        <v>0</v>
      </c>
    </row>
    <row r="44" spans="2:17" ht="20.25" customHeight="1" thickBot="1" x14ac:dyDescent="0.25">
      <c r="B44" s="423" t="s">
        <v>70</v>
      </c>
      <c r="C44" s="424"/>
      <c r="D44" s="424"/>
      <c r="E44" s="424"/>
      <c r="F44" s="424"/>
      <c r="G44" s="424"/>
      <c r="H44" s="424"/>
      <c r="I44" s="424"/>
      <c r="J44" s="424"/>
      <c r="K44" s="425"/>
      <c r="L44" s="39">
        <f>SUM(L42:L43)</f>
        <v>0</v>
      </c>
      <c r="Q44" s="36"/>
    </row>
    <row r="45" spans="2:17" ht="20.25" customHeight="1" x14ac:dyDescent="0.2"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Q45" s="36"/>
    </row>
    <row r="46" spans="2:17" ht="21" customHeight="1" thickBot="1" x14ac:dyDescent="0.35">
      <c r="B46" s="54" t="s">
        <v>94</v>
      </c>
      <c r="C46" s="120"/>
      <c r="D46" s="120"/>
      <c r="E46" s="120"/>
      <c r="F46" s="120"/>
      <c r="G46" s="120"/>
      <c r="H46" s="120"/>
      <c r="I46" s="120"/>
      <c r="J46" s="120"/>
      <c r="K46" s="120"/>
      <c r="L46" s="120"/>
    </row>
    <row r="47" spans="2:17" ht="21" customHeight="1" thickBot="1" x14ac:dyDescent="0.25">
      <c r="B47" s="78" t="s">
        <v>46</v>
      </c>
      <c r="C47" s="422" t="s">
        <v>48</v>
      </c>
      <c r="D47" s="422"/>
      <c r="E47" s="422"/>
      <c r="F47" s="422"/>
      <c r="G47" s="422"/>
      <c r="H47" s="422"/>
      <c r="I47" s="422"/>
      <c r="J47" s="422"/>
      <c r="K47" s="78" t="s">
        <v>18</v>
      </c>
      <c r="L47" s="117" t="s">
        <v>19</v>
      </c>
      <c r="N47" s="31"/>
    </row>
    <row r="48" spans="2:17" ht="16.5" thickBot="1" x14ac:dyDescent="0.25">
      <c r="B48" s="4" t="s">
        <v>35</v>
      </c>
      <c r="C48" s="313" t="s">
        <v>23</v>
      </c>
      <c r="D48" s="313"/>
      <c r="E48" s="313"/>
      <c r="F48" s="313"/>
      <c r="G48" s="313"/>
      <c r="H48" s="313"/>
      <c r="I48" s="313"/>
      <c r="J48" s="313"/>
      <c r="K48" s="9">
        <v>0.2</v>
      </c>
      <c r="L48" s="12">
        <f>ROUND(($L$38+$L$44)*K48,2)</f>
        <v>0</v>
      </c>
    </row>
    <row r="49" spans="2:17" ht="16.5" thickBot="1" x14ac:dyDescent="0.25">
      <c r="B49" s="8" t="s">
        <v>5</v>
      </c>
      <c r="C49" s="313" t="s">
        <v>118</v>
      </c>
      <c r="D49" s="313"/>
      <c r="E49" s="313"/>
      <c r="F49" s="313"/>
      <c r="G49" s="313"/>
      <c r="H49" s="313"/>
      <c r="I49" s="313"/>
      <c r="J49" s="313"/>
      <c r="K49" s="285">
        <v>2.5000000000000001E-2</v>
      </c>
      <c r="L49" s="12">
        <f t="shared" ref="L49:L55" si="0">ROUND(($L$38+$L$44)*K49,2)</f>
        <v>0</v>
      </c>
    </row>
    <row r="50" spans="2:17" ht="16.5" thickBot="1" x14ac:dyDescent="0.25">
      <c r="B50" s="8" t="s">
        <v>7</v>
      </c>
      <c r="C50" s="434" t="s">
        <v>119</v>
      </c>
      <c r="D50" s="435"/>
      <c r="E50" s="435"/>
      <c r="F50" s="435"/>
      <c r="G50" s="435"/>
      <c r="H50" s="435"/>
      <c r="I50" s="435"/>
      <c r="J50" s="436"/>
      <c r="K50" s="286">
        <v>1.4999999999999999E-2</v>
      </c>
      <c r="L50" s="12">
        <f t="shared" si="0"/>
        <v>0</v>
      </c>
      <c r="Q50" s="36"/>
    </row>
    <row r="51" spans="2:17" ht="16.5" thickBot="1" x14ac:dyDescent="0.25">
      <c r="B51" s="8" t="s">
        <v>22</v>
      </c>
      <c r="C51" s="313" t="s">
        <v>120</v>
      </c>
      <c r="D51" s="313"/>
      <c r="E51" s="313"/>
      <c r="F51" s="313"/>
      <c r="G51" s="313"/>
      <c r="H51" s="313"/>
      <c r="I51" s="313"/>
      <c r="J51" s="313"/>
      <c r="K51" s="285">
        <v>1.4999999999999999E-2</v>
      </c>
      <c r="L51" s="12">
        <f t="shared" si="0"/>
        <v>0</v>
      </c>
    </row>
    <row r="52" spans="2:17" ht="16.5" thickBot="1" x14ac:dyDescent="0.25">
      <c r="B52" s="8" t="s">
        <v>8</v>
      </c>
      <c r="C52" s="313" t="s">
        <v>121</v>
      </c>
      <c r="D52" s="313"/>
      <c r="E52" s="313"/>
      <c r="F52" s="313"/>
      <c r="G52" s="313"/>
      <c r="H52" s="313"/>
      <c r="I52" s="313"/>
      <c r="J52" s="313"/>
      <c r="K52" s="285">
        <v>0.01</v>
      </c>
      <c r="L52" s="12">
        <f t="shared" si="0"/>
        <v>0</v>
      </c>
    </row>
    <row r="53" spans="2:17" ht="16.5" thickBot="1" x14ac:dyDescent="0.25">
      <c r="B53" s="8" t="s">
        <v>9</v>
      </c>
      <c r="C53" s="313" t="s">
        <v>122</v>
      </c>
      <c r="D53" s="313"/>
      <c r="E53" s="313"/>
      <c r="F53" s="313"/>
      <c r="G53" s="313"/>
      <c r="H53" s="313"/>
      <c r="I53" s="313"/>
      <c r="J53" s="313"/>
      <c r="K53" s="285">
        <v>6.0000000000000001E-3</v>
      </c>
      <c r="L53" s="12">
        <f t="shared" si="0"/>
        <v>0</v>
      </c>
      <c r="Q53" s="36"/>
    </row>
    <row r="54" spans="2:17" ht="16.5" thickBot="1" x14ac:dyDescent="0.25">
      <c r="B54" s="8" t="s">
        <v>10</v>
      </c>
      <c r="C54" s="441" t="s">
        <v>123</v>
      </c>
      <c r="D54" s="441"/>
      <c r="E54" s="441"/>
      <c r="F54" s="441"/>
      <c r="G54" s="441"/>
      <c r="H54" s="441"/>
      <c r="I54" s="441"/>
      <c r="J54" s="441"/>
      <c r="K54" s="287">
        <v>2E-3</v>
      </c>
      <c r="L54" s="12">
        <f t="shared" si="0"/>
        <v>0</v>
      </c>
    </row>
    <row r="55" spans="2:17" ht="16.5" thickBot="1" x14ac:dyDescent="0.25">
      <c r="B55" s="8" t="s">
        <v>25</v>
      </c>
      <c r="C55" s="313" t="s">
        <v>68</v>
      </c>
      <c r="D55" s="314"/>
      <c r="E55" s="314"/>
      <c r="F55" s="314"/>
      <c r="G55" s="314"/>
      <c r="H55" s="314"/>
      <c r="I55" s="314"/>
      <c r="J55" s="314"/>
      <c r="K55" s="9">
        <v>0.08</v>
      </c>
      <c r="L55" s="12">
        <f t="shared" si="0"/>
        <v>0</v>
      </c>
    </row>
    <row r="56" spans="2:17" ht="21.75" customHeight="1" thickBot="1" x14ac:dyDescent="0.25">
      <c r="B56" s="423" t="s">
        <v>69</v>
      </c>
      <c r="C56" s="424"/>
      <c r="D56" s="424"/>
      <c r="E56" s="424"/>
      <c r="F56" s="424"/>
      <c r="G56" s="424"/>
      <c r="H56" s="424"/>
      <c r="I56" s="424"/>
      <c r="J56" s="425"/>
      <c r="K56" s="40">
        <f>SUM(K48:K55)</f>
        <v>0.35300000000000004</v>
      </c>
      <c r="L56" s="39">
        <f>SUM(L48:L55)</f>
        <v>0</v>
      </c>
      <c r="Q56" s="36"/>
    </row>
    <row r="57" spans="2:17" ht="21" customHeight="1" thickBot="1" x14ac:dyDescent="0.3">
      <c r="B57" s="54" t="s">
        <v>126</v>
      </c>
      <c r="C57" s="55"/>
      <c r="D57" s="55"/>
      <c r="E57" s="55"/>
      <c r="F57" s="55"/>
      <c r="G57" s="55"/>
      <c r="H57" s="55"/>
      <c r="I57" s="55"/>
      <c r="J57" s="55"/>
      <c r="K57" s="55"/>
      <c r="L57" s="55"/>
    </row>
    <row r="58" spans="2:17" ht="15" customHeight="1" thickBot="1" x14ac:dyDescent="0.25">
      <c r="B58" s="79" t="s">
        <v>49</v>
      </c>
      <c r="C58" s="427" t="s">
        <v>56</v>
      </c>
      <c r="D58" s="419"/>
      <c r="E58" s="419"/>
      <c r="F58" s="419"/>
      <c r="G58" s="419"/>
      <c r="H58" s="88" t="s">
        <v>20</v>
      </c>
      <c r="I58" s="82" t="s">
        <v>16</v>
      </c>
      <c r="J58" s="79" t="s">
        <v>21</v>
      </c>
      <c r="K58" s="82" t="s">
        <v>34</v>
      </c>
      <c r="L58" s="79" t="s">
        <v>19</v>
      </c>
    </row>
    <row r="59" spans="2:17" ht="20.25" customHeight="1" thickBot="1" x14ac:dyDescent="0.25">
      <c r="B59" s="4" t="s">
        <v>3</v>
      </c>
      <c r="C59" s="428" t="s">
        <v>57</v>
      </c>
      <c r="D59" s="429"/>
      <c r="E59" s="429"/>
      <c r="F59" s="429"/>
      <c r="G59" s="429"/>
      <c r="H59" s="288"/>
      <c r="I59" s="293">
        <v>44</v>
      </c>
      <c r="J59" s="276">
        <v>1</v>
      </c>
      <c r="K59" s="10">
        <v>0.06</v>
      </c>
      <c r="L59" s="24">
        <f>ROUND((H59*I59*J59)-($L$32*K59),2)</f>
        <v>0</v>
      </c>
    </row>
    <row r="60" spans="2:17" ht="20.25" customHeight="1" thickBot="1" x14ac:dyDescent="0.25">
      <c r="B60" s="4" t="s">
        <v>5</v>
      </c>
      <c r="C60" s="405" t="s">
        <v>127</v>
      </c>
      <c r="D60" s="405"/>
      <c r="E60" s="405"/>
      <c r="F60" s="405"/>
      <c r="G60" s="428"/>
      <c r="H60" s="289"/>
      <c r="I60" s="279">
        <v>1</v>
      </c>
      <c r="J60" s="291">
        <v>1</v>
      </c>
      <c r="K60" s="10">
        <v>0.01</v>
      </c>
      <c r="L60" s="24">
        <f>ROUND((H60*I60*J60)-(H60*I60*J60*K60),2)</f>
        <v>0</v>
      </c>
    </row>
    <row r="61" spans="2:17" ht="20.25" customHeight="1" thickBot="1" x14ac:dyDescent="0.25">
      <c r="B61" s="11" t="s">
        <v>7</v>
      </c>
      <c r="C61" s="405" t="s">
        <v>148</v>
      </c>
      <c r="D61" s="405"/>
      <c r="E61" s="405"/>
      <c r="F61" s="405"/>
      <c r="G61" s="428"/>
      <c r="H61" s="289">
        <v>0</v>
      </c>
      <c r="I61" s="294">
        <v>0</v>
      </c>
      <c r="J61" s="292">
        <v>0</v>
      </c>
      <c r="K61" s="32">
        <v>0</v>
      </c>
      <c r="L61" s="24">
        <f>ROUND((H61*I61*J61)-(H61*I61*J61*K61),2)</f>
        <v>0</v>
      </c>
    </row>
    <row r="62" spans="2:17" ht="20.25" customHeight="1" thickBot="1" x14ac:dyDescent="0.25">
      <c r="B62" s="4" t="s">
        <v>22</v>
      </c>
      <c r="C62" s="405" t="s">
        <v>149</v>
      </c>
      <c r="D62" s="405"/>
      <c r="E62" s="405"/>
      <c r="F62" s="405"/>
      <c r="G62" s="428"/>
      <c r="H62" s="290">
        <v>0</v>
      </c>
      <c r="I62" s="293">
        <v>0</v>
      </c>
      <c r="J62" s="276">
        <v>0</v>
      </c>
      <c r="K62" s="10">
        <v>0</v>
      </c>
      <c r="L62" s="24">
        <f>ROUND((H62*I62*J62)-(H62*I62*J62*K62),2)</f>
        <v>0</v>
      </c>
    </row>
    <row r="63" spans="2:17" ht="20.25" customHeight="1" thickBot="1" x14ac:dyDescent="0.25">
      <c r="B63" s="430" t="s">
        <v>69</v>
      </c>
      <c r="C63" s="431"/>
      <c r="D63" s="431"/>
      <c r="E63" s="431"/>
      <c r="F63" s="431"/>
      <c r="G63" s="431"/>
      <c r="H63" s="432"/>
      <c r="I63" s="431"/>
      <c r="J63" s="431"/>
      <c r="K63" s="433"/>
      <c r="L63" s="41">
        <f>SUM(L59:L62)</f>
        <v>0</v>
      </c>
    </row>
    <row r="64" spans="2:17" ht="20.25" customHeight="1" thickBot="1" x14ac:dyDescent="0.25">
      <c r="B64" s="421" t="s">
        <v>95</v>
      </c>
      <c r="C64" s="421"/>
      <c r="D64" s="421"/>
      <c r="E64" s="421"/>
      <c r="F64" s="421"/>
      <c r="G64" s="421"/>
      <c r="H64" s="421"/>
      <c r="I64" s="421"/>
      <c r="J64" s="421"/>
      <c r="K64" s="421"/>
      <c r="L64" s="421"/>
    </row>
    <row r="65" spans="1:17" ht="20.25" customHeight="1" thickBot="1" x14ac:dyDescent="0.25">
      <c r="B65" s="78">
        <v>2</v>
      </c>
      <c r="C65" s="387" t="s">
        <v>50</v>
      </c>
      <c r="D65" s="388"/>
      <c r="E65" s="388"/>
      <c r="F65" s="388"/>
      <c r="G65" s="388"/>
      <c r="H65" s="388"/>
      <c r="I65" s="388"/>
      <c r="J65" s="388"/>
      <c r="K65" s="422"/>
      <c r="L65" s="78" t="s">
        <v>19</v>
      </c>
    </row>
    <row r="66" spans="1:17" ht="20.25" customHeight="1" thickBot="1" x14ac:dyDescent="0.25">
      <c r="B66" s="4" t="s">
        <v>51</v>
      </c>
      <c r="C66" s="313" t="str">
        <f>C41</f>
        <v>13º (DÉCIMO TERCEIRO) SALÁRIO, FÉRIAS  E ADICIONAL DE FÉRIAS</v>
      </c>
      <c r="D66" s="314"/>
      <c r="E66" s="314"/>
      <c r="F66" s="314"/>
      <c r="G66" s="314"/>
      <c r="H66" s="314"/>
      <c r="I66" s="314"/>
      <c r="J66" s="314"/>
      <c r="K66" s="415"/>
      <c r="L66" s="24">
        <f>$L$44</f>
        <v>0</v>
      </c>
    </row>
    <row r="67" spans="1:17" ht="20.25" customHeight="1" thickBot="1" x14ac:dyDescent="0.25">
      <c r="B67" s="4" t="s">
        <v>46</v>
      </c>
      <c r="C67" s="313" t="s">
        <v>96</v>
      </c>
      <c r="D67" s="314"/>
      <c r="E67" s="314"/>
      <c r="F67" s="314"/>
      <c r="G67" s="314"/>
      <c r="H67" s="314"/>
      <c r="I67" s="314"/>
      <c r="J67" s="314"/>
      <c r="K67" s="415"/>
      <c r="L67" s="24">
        <f>L56</f>
        <v>0</v>
      </c>
    </row>
    <row r="68" spans="1:17" ht="20.25" customHeight="1" thickBot="1" x14ac:dyDescent="0.25">
      <c r="B68" s="11" t="s">
        <v>49</v>
      </c>
      <c r="C68" s="313" t="s">
        <v>56</v>
      </c>
      <c r="D68" s="314"/>
      <c r="E68" s="314"/>
      <c r="F68" s="314"/>
      <c r="G68" s="314"/>
      <c r="H68" s="314"/>
      <c r="I68" s="314"/>
      <c r="J68" s="314"/>
      <c r="K68" s="415"/>
      <c r="L68" s="24">
        <f>$L$63</f>
        <v>0</v>
      </c>
    </row>
    <row r="69" spans="1:17" ht="20.25" customHeight="1" thickBot="1" x14ac:dyDescent="0.25">
      <c r="B69" s="402" t="s">
        <v>12</v>
      </c>
      <c r="C69" s="403"/>
      <c r="D69" s="403"/>
      <c r="E69" s="403"/>
      <c r="F69" s="403"/>
      <c r="G69" s="403"/>
      <c r="H69" s="403"/>
      <c r="I69" s="403"/>
      <c r="J69" s="403"/>
      <c r="K69" s="404"/>
      <c r="L69" s="83">
        <f>SUM(L66:L68)</f>
        <v>0</v>
      </c>
    </row>
    <row r="70" spans="1:17" ht="20.25" customHeight="1" x14ac:dyDescent="0.3">
      <c r="B70" s="426" t="s">
        <v>53</v>
      </c>
      <c r="C70" s="426"/>
      <c r="D70" s="426"/>
      <c r="E70" s="426"/>
      <c r="F70" s="426"/>
      <c r="G70" s="426"/>
      <c r="H70" s="426"/>
      <c r="I70" s="426"/>
      <c r="J70" s="426"/>
      <c r="K70" s="426"/>
      <c r="L70" s="426"/>
    </row>
    <row r="71" spans="1:17" ht="20.25" customHeight="1" thickBot="1" x14ac:dyDescent="0.25">
      <c r="B71" s="79">
        <v>3</v>
      </c>
      <c r="C71" s="84" t="s">
        <v>78</v>
      </c>
      <c r="D71" s="84"/>
      <c r="E71" s="84"/>
      <c r="F71" s="84"/>
      <c r="G71" s="84"/>
      <c r="H71" s="84"/>
      <c r="I71" s="84"/>
      <c r="J71" s="85"/>
      <c r="K71" s="79" t="s">
        <v>18</v>
      </c>
      <c r="L71" s="79" t="s">
        <v>24</v>
      </c>
    </row>
    <row r="72" spans="1:17" ht="20.25" customHeight="1" thickBot="1" x14ac:dyDescent="0.25">
      <c r="B72" s="8" t="s">
        <v>3</v>
      </c>
      <c r="C72" s="313" t="s">
        <v>30</v>
      </c>
      <c r="D72" s="314"/>
      <c r="E72" s="314"/>
      <c r="F72" s="314"/>
      <c r="G72" s="314"/>
      <c r="H72" s="314"/>
      <c r="I72" s="314"/>
      <c r="J72" s="415"/>
      <c r="K72" s="295">
        <f>(1/12)*5%</f>
        <v>4.1666666666666666E-3</v>
      </c>
      <c r="L72" s="22">
        <f>((L38+L44)*K72)</f>
        <v>0</v>
      </c>
      <c r="N72" s="36"/>
      <c r="P72" s="37"/>
    </row>
    <row r="73" spans="1:17" ht="20.25" customHeight="1" thickBot="1" x14ac:dyDescent="0.25">
      <c r="B73" s="8" t="s">
        <v>5</v>
      </c>
      <c r="C73" s="313" t="s">
        <v>77</v>
      </c>
      <c r="D73" s="314"/>
      <c r="E73" s="314"/>
      <c r="F73" s="314"/>
      <c r="G73" s="314"/>
      <c r="H73" s="314"/>
      <c r="I73" s="314"/>
      <c r="J73" s="415"/>
      <c r="K73" s="295">
        <v>0.08</v>
      </c>
      <c r="L73" s="22">
        <f>L72*K73</f>
        <v>0</v>
      </c>
      <c r="N73" s="43"/>
    </row>
    <row r="74" spans="1:17" ht="20.25" customHeight="1" thickBot="1" x14ac:dyDescent="0.25">
      <c r="B74" s="8" t="s">
        <v>7</v>
      </c>
      <c r="C74" s="121" t="s">
        <v>195</v>
      </c>
      <c r="D74" s="122"/>
      <c r="E74" s="122"/>
      <c r="F74" s="122"/>
      <c r="G74" s="122"/>
      <c r="H74" s="122"/>
      <c r="I74" s="122"/>
      <c r="J74" s="47"/>
      <c r="K74" s="295">
        <v>0.02</v>
      </c>
      <c r="L74" s="22">
        <f>SUM(L44+L38)*K74</f>
        <v>0</v>
      </c>
      <c r="N74" s="36"/>
    </row>
    <row r="75" spans="1:17" ht="20.25" customHeight="1" thickBot="1" x14ac:dyDescent="0.25">
      <c r="B75" s="8" t="s">
        <v>22</v>
      </c>
      <c r="C75" s="313" t="s">
        <v>79</v>
      </c>
      <c r="D75" s="314"/>
      <c r="E75" s="314"/>
      <c r="F75" s="314"/>
      <c r="G75" s="314"/>
      <c r="H75" s="314"/>
      <c r="I75" s="314"/>
      <c r="J75" s="415"/>
      <c r="K75" s="295">
        <v>1.9400000000000001E-2</v>
      </c>
      <c r="L75" s="22">
        <f>(L38+L44)*K75</f>
        <v>0</v>
      </c>
    </row>
    <row r="76" spans="1:17" ht="19.5" customHeight="1" thickBot="1" x14ac:dyDescent="0.25">
      <c r="B76" s="8" t="s">
        <v>8</v>
      </c>
      <c r="C76" s="313" t="s">
        <v>97</v>
      </c>
      <c r="D76" s="314"/>
      <c r="E76" s="314"/>
      <c r="F76" s="314"/>
      <c r="G76" s="314"/>
      <c r="H76" s="314"/>
      <c r="I76" s="314"/>
      <c r="J76" s="415"/>
      <c r="K76" s="18">
        <f>K56</f>
        <v>0.35300000000000004</v>
      </c>
      <c r="L76" s="22">
        <f>K76*L75</f>
        <v>0</v>
      </c>
    </row>
    <row r="77" spans="1:17" ht="20.25" customHeight="1" thickBot="1" x14ac:dyDescent="0.25">
      <c r="B77" s="8" t="s">
        <v>9</v>
      </c>
      <c r="C77" s="119" t="s">
        <v>387</v>
      </c>
      <c r="D77" s="119"/>
      <c r="E77" s="119"/>
      <c r="F77" s="119"/>
      <c r="G77" s="119"/>
      <c r="H77" s="119"/>
      <c r="I77" s="119"/>
      <c r="J77" s="48"/>
      <c r="K77" s="295">
        <v>0.02</v>
      </c>
      <c r="L77" s="22">
        <f>SUM(L44+L38)*K77</f>
        <v>0</v>
      </c>
    </row>
    <row r="78" spans="1:17" ht="20.25" customHeight="1" thickBot="1" x14ac:dyDescent="0.25">
      <c r="B78" s="423" t="s">
        <v>69</v>
      </c>
      <c r="C78" s="424"/>
      <c r="D78" s="424"/>
      <c r="E78" s="424"/>
      <c r="F78" s="424"/>
      <c r="G78" s="424"/>
      <c r="H78" s="424"/>
      <c r="I78" s="424"/>
      <c r="J78" s="425"/>
      <c r="K78" s="38">
        <f>SUM(K72:K77)</f>
        <v>0.49656666666666671</v>
      </c>
      <c r="L78" s="42">
        <f>SUM(L72:L77)</f>
        <v>0</v>
      </c>
    </row>
    <row r="79" spans="1:17" ht="18.75" customHeight="1" x14ac:dyDescent="0.2">
      <c r="B79" s="389" t="s">
        <v>98</v>
      </c>
      <c r="C79" s="389"/>
      <c r="D79" s="389"/>
      <c r="E79" s="389"/>
      <c r="F79" s="389"/>
      <c r="G79" s="389"/>
      <c r="H79" s="389"/>
      <c r="I79" s="389"/>
      <c r="J79" s="389"/>
      <c r="K79" s="389"/>
      <c r="L79" s="389"/>
      <c r="Q79" s="36"/>
    </row>
    <row r="80" spans="1:17" s="2" customFormat="1" ht="20.25" customHeight="1" x14ac:dyDescent="0.25">
      <c r="A80"/>
      <c r="B80" s="54" t="s">
        <v>128</v>
      </c>
      <c r="C80" s="44"/>
      <c r="D80" s="49"/>
      <c r="E80" s="49"/>
      <c r="F80" s="49"/>
      <c r="G80" s="49"/>
      <c r="H80" s="49"/>
      <c r="I80" s="49"/>
      <c r="J80" s="49"/>
      <c r="K80" s="49"/>
      <c r="L80" s="25"/>
      <c r="Q80" s="36"/>
    </row>
    <row r="81" spans="1:17" s="2" customFormat="1" ht="20.25" customHeight="1" thickBot="1" x14ac:dyDescent="0.25">
      <c r="A81"/>
      <c r="B81" s="79" t="s">
        <v>28</v>
      </c>
      <c r="C81" s="419" t="s">
        <v>72</v>
      </c>
      <c r="D81" s="419"/>
      <c r="E81" s="419"/>
      <c r="F81" s="419"/>
      <c r="G81" s="419"/>
      <c r="H81" s="419"/>
      <c r="I81" s="419"/>
      <c r="J81" s="419"/>
      <c r="K81" s="79" t="s">
        <v>18</v>
      </c>
      <c r="L81" s="79" t="s">
        <v>24</v>
      </c>
    </row>
    <row r="82" spans="1:17" s="2" customFormat="1" ht="16.5" thickBot="1" x14ac:dyDescent="0.25">
      <c r="A82"/>
      <c r="B82" s="8" t="s">
        <v>3</v>
      </c>
      <c r="C82" s="420" t="s">
        <v>73</v>
      </c>
      <c r="D82" s="420"/>
      <c r="E82" s="420"/>
      <c r="F82" s="420"/>
      <c r="G82" s="420"/>
      <c r="H82" s="420"/>
      <c r="I82" s="420"/>
      <c r="J82" s="313"/>
      <c r="K82" s="295">
        <v>9.2999999999999992E-3</v>
      </c>
      <c r="L82" s="12">
        <f t="shared" ref="L82:L87" si="1">($L$38+$L$69+$L$78)*K82</f>
        <v>0</v>
      </c>
      <c r="N82" s="36"/>
      <c r="Q82" s="36"/>
    </row>
    <row r="83" spans="1:17" s="2" customFormat="1" ht="16.5" thickBot="1" x14ac:dyDescent="0.25">
      <c r="A83"/>
      <c r="B83" s="8" t="s">
        <v>5</v>
      </c>
      <c r="C83" s="15" t="s">
        <v>153</v>
      </c>
      <c r="D83" s="13"/>
      <c r="E83" s="13"/>
      <c r="F83" s="13"/>
      <c r="G83" s="13"/>
      <c r="H83" s="13"/>
      <c r="I83" s="13"/>
      <c r="J83" s="13"/>
      <c r="K83" s="295">
        <f>ROUND(((2/30)/12),2)</f>
        <v>0.01</v>
      </c>
      <c r="L83" s="12">
        <f t="shared" si="1"/>
        <v>0</v>
      </c>
    </row>
    <row r="84" spans="1:17" s="2" customFormat="1" ht="16.5" thickBot="1" x14ac:dyDescent="0.25">
      <c r="A84"/>
      <c r="B84" s="8" t="s">
        <v>7</v>
      </c>
      <c r="C84" s="15" t="s">
        <v>74</v>
      </c>
      <c r="D84" s="13"/>
      <c r="E84" s="13"/>
      <c r="F84" s="13"/>
      <c r="G84" s="13"/>
      <c r="H84" s="13"/>
      <c r="I84" s="13"/>
      <c r="J84" s="13"/>
      <c r="K84" s="295">
        <f>((5/30)/12)*2%</f>
        <v>2.7777777777777778E-4</v>
      </c>
      <c r="L84" s="12">
        <f t="shared" si="1"/>
        <v>0</v>
      </c>
    </row>
    <row r="85" spans="1:17" s="2" customFormat="1" ht="16.5" thickBot="1" x14ac:dyDescent="0.25">
      <c r="A85"/>
      <c r="B85" s="8" t="s">
        <v>22</v>
      </c>
      <c r="C85" s="15" t="s">
        <v>154</v>
      </c>
      <c r="D85" s="13"/>
      <c r="E85" s="13"/>
      <c r="F85" s="13"/>
      <c r="G85" s="13"/>
      <c r="H85" s="13"/>
      <c r="I85" s="13"/>
      <c r="J85" s="13"/>
      <c r="K85" s="295">
        <f>((15/30)/12)*8%</f>
        <v>3.3333333333333331E-3</v>
      </c>
      <c r="L85" s="12">
        <f t="shared" si="1"/>
        <v>0</v>
      </c>
    </row>
    <row r="86" spans="1:17" s="2" customFormat="1" ht="16.5" thickBot="1" x14ac:dyDescent="0.25">
      <c r="A86"/>
      <c r="B86" s="8" t="s">
        <v>8</v>
      </c>
      <c r="C86" s="15" t="s">
        <v>155</v>
      </c>
      <c r="D86" s="13"/>
      <c r="E86" s="13"/>
      <c r="F86" s="13"/>
      <c r="G86" s="13"/>
      <c r="H86" s="13"/>
      <c r="I86" s="13"/>
      <c r="J86" s="13"/>
      <c r="K86" s="295">
        <f>((4/12)/12*10%)</f>
        <v>2.7777777777777779E-3</v>
      </c>
      <c r="L86" s="12">
        <f t="shared" si="1"/>
        <v>0</v>
      </c>
    </row>
    <row r="87" spans="1:17" s="2" customFormat="1" ht="16.5" thickBot="1" x14ac:dyDescent="0.25">
      <c r="A87"/>
      <c r="B87" s="8" t="s">
        <v>9</v>
      </c>
      <c r="C87" s="15" t="s">
        <v>75</v>
      </c>
      <c r="D87" s="13"/>
      <c r="E87" s="13"/>
      <c r="F87" s="13"/>
      <c r="G87" s="13"/>
      <c r="H87" s="13"/>
      <c r="I87" s="13"/>
      <c r="J87" s="13"/>
      <c r="K87" s="296"/>
      <c r="L87" s="12">
        <f t="shared" si="1"/>
        <v>0</v>
      </c>
    </row>
    <row r="88" spans="1:17" s="2" customFormat="1" ht="20.25" customHeight="1" thickBot="1" x14ac:dyDescent="0.25">
      <c r="A88"/>
      <c r="B88" s="402" t="s">
        <v>12</v>
      </c>
      <c r="C88" s="403"/>
      <c r="D88" s="403"/>
      <c r="E88" s="403"/>
      <c r="F88" s="403"/>
      <c r="G88" s="403"/>
      <c r="H88" s="403"/>
      <c r="I88" s="403"/>
      <c r="J88" s="403"/>
      <c r="K88" s="404"/>
      <c r="L88" s="86">
        <f>SUM(L82:L87)</f>
        <v>0</v>
      </c>
    </row>
    <row r="89" spans="1:17" s="2" customFormat="1" ht="20.25" customHeight="1" x14ac:dyDescent="0.25">
      <c r="A89"/>
      <c r="B89" s="54" t="s">
        <v>99</v>
      </c>
      <c r="C89" s="49"/>
      <c r="D89" s="49"/>
      <c r="E89" s="49"/>
      <c r="F89" s="49"/>
      <c r="G89" s="49"/>
      <c r="H89" s="49"/>
      <c r="I89" s="49"/>
      <c r="J89" s="49"/>
      <c r="K89" s="26"/>
      <c r="L89" s="25"/>
    </row>
    <row r="90" spans="1:17" s="2" customFormat="1" ht="21" customHeight="1" thickBot="1" x14ac:dyDescent="0.25">
      <c r="A90"/>
      <c r="B90" s="79" t="s">
        <v>80</v>
      </c>
      <c r="C90" s="419" t="s">
        <v>81</v>
      </c>
      <c r="D90" s="419"/>
      <c r="E90" s="419"/>
      <c r="F90" s="419"/>
      <c r="G90" s="419"/>
      <c r="H90" s="419"/>
      <c r="I90" s="419"/>
      <c r="J90" s="419"/>
      <c r="K90" s="79" t="s">
        <v>18</v>
      </c>
      <c r="L90" s="79" t="s">
        <v>24</v>
      </c>
    </row>
    <row r="91" spans="1:17" s="2" customFormat="1" ht="27" customHeight="1" thickBot="1" x14ac:dyDescent="0.25">
      <c r="A91"/>
      <c r="B91" s="8" t="s">
        <v>3</v>
      </c>
      <c r="C91" s="420" t="s">
        <v>82</v>
      </c>
      <c r="D91" s="420"/>
      <c r="E91" s="420"/>
      <c r="F91" s="420"/>
      <c r="G91" s="420"/>
      <c r="H91" s="420"/>
      <c r="I91" s="420"/>
      <c r="J91" s="313"/>
      <c r="K91" s="18">
        <v>0</v>
      </c>
      <c r="L91" s="12">
        <f>+SUM($L$38+$L$69+$L$78)*K91</f>
        <v>0</v>
      </c>
      <c r="N91" s="36"/>
      <c r="Q91" s="36"/>
    </row>
    <row r="92" spans="1:17" s="2" customFormat="1" ht="18.75" customHeight="1" thickBot="1" x14ac:dyDescent="0.25">
      <c r="A92"/>
      <c r="B92" s="421" t="s">
        <v>83</v>
      </c>
      <c r="C92" s="421"/>
      <c r="D92" s="421"/>
      <c r="E92" s="421"/>
      <c r="F92" s="421"/>
      <c r="G92" s="421"/>
      <c r="H92" s="421"/>
      <c r="I92" s="421"/>
      <c r="J92" s="421"/>
      <c r="K92" s="421"/>
      <c r="L92" s="421"/>
    </row>
    <row r="93" spans="1:17" s="2" customFormat="1" ht="20.25" customHeight="1" thickBot="1" x14ac:dyDescent="0.25">
      <c r="A93"/>
      <c r="B93" s="78">
        <v>4</v>
      </c>
      <c r="C93" s="387" t="s">
        <v>84</v>
      </c>
      <c r="D93" s="388"/>
      <c r="E93" s="388"/>
      <c r="F93" s="388"/>
      <c r="G93" s="422"/>
      <c r="H93" s="78"/>
      <c r="I93" s="78"/>
      <c r="J93" s="78"/>
      <c r="K93" s="117"/>
      <c r="L93" s="78" t="s">
        <v>19</v>
      </c>
    </row>
    <row r="94" spans="1:17" s="2" customFormat="1" ht="20.25" customHeight="1" thickBot="1" x14ac:dyDescent="0.25">
      <c r="A94"/>
      <c r="B94" s="4" t="s">
        <v>28</v>
      </c>
      <c r="C94" s="313" t="s">
        <v>72</v>
      </c>
      <c r="D94" s="314"/>
      <c r="E94" s="314"/>
      <c r="F94" s="314"/>
      <c r="G94" s="314"/>
      <c r="H94" s="314"/>
      <c r="I94" s="314"/>
      <c r="J94" s="314"/>
      <c r="K94" s="415"/>
      <c r="L94" s="24">
        <f>$L$88</f>
        <v>0</v>
      </c>
    </row>
    <row r="95" spans="1:17" s="2" customFormat="1" ht="20.25" customHeight="1" thickBot="1" x14ac:dyDescent="0.25">
      <c r="A95"/>
      <c r="B95" s="4" t="s">
        <v>80</v>
      </c>
      <c r="C95" s="313" t="s">
        <v>81</v>
      </c>
      <c r="D95" s="314"/>
      <c r="E95" s="314"/>
      <c r="F95" s="314"/>
      <c r="G95" s="314"/>
      <c r="H95" s="314"/>
      <c r="I95" s="314"/>
      <c r="J95" s="314"/>
      <c r="K95" s="415"/>
      <c r="L95" s="24">
        <f>$L$91</f>
        <v>0</v>
      </c>
    </row>
    <row r="96" spans="1:17" s="2" customFormat="1" ht="20.25" customHeight="1" thickBot="1" x14ac:dyDescent="0.25">
      <c r="A96"/>
      <c r="B96" s="402" t="s">
        <v>12</v>
      </c>
      <c r="C96" s="403"/>
      <c r="D96" s="403"/>
      <c r="E96" s="403"/>
      <c r="F96" s="403"/>
      <c r="G96" s="403"/>
      <c r="H96" s="403"/>
      <c r="I96" s="403"/>
      <c r="J96" s="403"/>
      <c r="K96" s="404"/>
      <c r="L96" s="83">
        <f>SUM(L94:L95)</f>
        <v>0</v>
      </c>
    </row>
    <row r="97" spans="1:21" s="2" customFormat="1" ht="20.25" customHeight="1" thickBot="1" x14ac:dyDescent="0.25">
      <c r="A97"/>
      <c r="B97" s="408" t="s">
        <v>52</v>
      </c>
      <c r="C97" s="408"/>
      <c r="D97" s="408"/>
      <c r="E97" s="408"/>
      <c r="F97" s="408"/>
      <c r="G97" s="408"/>
      <c r="H97" s="408"/>
      <c r="I97" s="408"/>
      <c r="J97" s="408"/>
      <c r="K97" s="408"/>
      <c r="L97" s="408"/>
    </row>
    <row r="98" spans="1:21" s="2" customFormat="1" ht="20.25" customHeight="1" thickBot="1" x14ac:dyDescent="0.25">
      <c r="A98"/>
      <c r="B98" s="78">
        <v>5</v>
      </c>
      <c r="C98" s="416" t="s">
        <v>33</v>
      </c>
      <c r="D98" s="416"/>
      <c r="E98" s="416"/>
      <c r="F98" s="416"/>
      <c r="G98" s="416"/>
      <c r="H98" s="417" t="s">
        <v>132</v>
      </c>
      <c r="I98" s="418"/>
      <c r="J98" s="78" t="s">
        <v>21</v>
      </c>
      <c r="K98" s="117" t="s">
        <v>18</v>
      </c>
      <c r="L98" s="78" t="s">
        <v>19</v>
      </c>
    </row>
    <row r="99" spans="1:21" s="2" customFormat="1" ht="20.25" customHeight="1" thickBot="1" x14ac:dyDescent="0.25">
      <c r="A99"/>
      <c r="B99" s="4" t="s">
        <v>3</v>
      </c>
      <c r="C99" s="313" t="s">
        <v>401</v>
      </c>
      <c r="D99" s="314"/>
      <c r="E99" s="314"/>
      <c r="F99" s="314"/>
      <c r="G99" s="415"/>
      <c r="H99" s="411">
        <f>UNIFORMES!G12</f>
        <v>0</v>
      </c>
      <c r="I99" s="412"/>
      <c r="J99" s="276"/>
      <c r="K99" s="10"/>
      <c r="L99" s="24">
        <f>H99</f>
        <v>0</v>
      </c>
      <c r="N99" s="410"/>
      <c r="O99" s="410"/>
      <c r="P99" s="410"/>
      <c r="Q99" s="410"/>
    </row>
    <row r="100" spans="1:21" s="2" customFormat="1" ht="20.25" customHeight="1" thickBot="1" x14ac:dyDescent="0.25">
      <c r="A100"/>
      <c r="B100" s="4" t="s">
        <v>5</v>
      </c>
      <c r="C100" s="405" t="s">
        <v>26</v>
      </c>
      <c r="D100" s="405"/>
      <c r="E100" s="405"/>
      <c r="F100" s="405"/>
      <c r="G100" s="405"/>
      <c r="H100" s="411">
        <f>'MATERIAIS E EPIS'!F23</f>
        <v>0</v>
      </c>
      <c r="I100" s="412"/>
      <c r="J100" s="291"/>
      <c r="K100" s="10"/>
      <c r="L100" s="24">
        <f>H100-K100</f>
        <v>0</v>
      </c>
      <c r="N100" s="413"/>
      <c r="O100" s="413"/>
      <c r="P100" s="413"/>
      <c r="Q100" s="413"/>
    </row>
    <row r="101" spans="1:21" s="2" customFormat="1" ht="20.25" customHeight="1" thickBot="1" x14ac:dyDescent="0.25">
      <c r="A101"/>
      <c r="B101" s="11" t="s">
        <v>7</v>
      </c>
      <c r="C101" s="405" t="s">
        <v>27</v>
      </c>
      <c r="D101" s="405"/>
      <c r="E101" s="405"/>
      <c r="F101" s="405"/>
      <c r="G101" s="405"/>
      <c r="H101" s="411">
        <f>EQUIPAMENTOS!H17</f>
        <v>0</v>
      </c>
      <c r="I101" s="412"/>
      <c r="J101" s="292"/>
      <c r="K101" s="10"/>
      <c r="L101" s="24">
        <f>H101</f>
        <v>0</v>
      </c>
      <c r="N101" s="414"/>
      <c r="O101" s="414"/>
      <c r="P101" s="414"/>
      <c r="Q101" s="414"/>
    </row>
    <row r="102" spans="1:21" s="2" customFormat="1" ht="27" customHeight="1" thickBot="1" x14ac:dyDescent="0.25">
      <c r="A102"/>
      <c r="B102" s="4" t="s">
        <v>22</v>
      </c>
      <c r="C102" s="405" t="s">
        <v>355</v>
      </c>
      <c r="D102" s="405"/>
      <c r="E102" s="405"/>
      <c r="F102" s="405"/>
      <c r="G102" s="405"/>
      <c r="H102" s="406">
        <f>INSUMOS!H25</f>
        <v>0</v>
      </c>
      <c r="I102" s="407"/>
      <c r="J102" s="276"/>
      <c r="K102" s="10"/>
      <c r="L102" s="24">
        <f>H102</f>
        <v>0</v>
      </c>
    </row>
    <row r="103" spans="1:21" s="2" customFormat="1" ht="27" customHeight="1" thickBot="1" x14ac:dyDescent="0.25">
      <c r="A103"/>
      <c r="B103" s="402" t="s">
        <v>12</v>
      </c>
      <c r="C103" s="403"/>
      <c r="D103" s="403"/>
      <c r="E103" s="403"/>
      <c r="F103" s="403"/>
      <c r="G103" s="403"/>
      <c r="H103" s="403"/>
      <c r="I103" s="403"/>
      <c r="J103" s="403"/>
      <c r="K103" s="404"/>
      <c r="L103" s="86">
        <f>SUM(L99:L102)</f>
        <v>0</v>
      </c>
    </row>
    <row r="104" spans="1:21" s="2" customFormat="1" ht="27" customHeight="1" thickBot="1" x14ac:dyDescent="0.25">
      <c r="A104"/>
      <c r="B104" s="408" t="s">
        <v>58</v>
      </c>
      <c r="C104" s="408"/>
      <c r="D104" s="408"/>
      <c r="E104" s="408"/>
      <c r="F104" s="408"/>
      <c r="G104" s="408"/>
      <c r="H104" s="408"/>
      <c r="I104" s="408"/>
      <c r="J104" s="408"/>
      <c r="K104" s="408"/>
      <c r="L104" s="408"/>
    </row>
    <row r="105" spans="1:21" s="2" customFormat="1" ht="18.75" customHeight="1" thickBot="1" x14ac:dyDescent="0.3">
      <c r="A105"/>
      <c r="B105" s="87">
        <v>6</v>
      </c>
      <c r="C105" s="409" t="s">
        <v>356</v>
      </c>
      <c r="D105" s="409"/>
      <c r="E105" s="409"/>
      <c r="F105" s="409"/>
      <c r="G105" s="409"/>
      <c r="H105" s="409"/>
      <c r="I105" s="409"/>
      <c r="J105" s="409"/>
      <c r="K105" s="88" t="s">
        <v>18</v>
      </c>
      <c r="L105" s="88" t="s">
        <v>130</v>
      </c>
      <c r="O105" s="27"/>
      <c r="P105" s="27"/>
      <c r="Q105" s="63"/>
      <c r="R105" s="64"/>
      <c r="S105" s="64"/>
      <c r="T105" s="64"/>
      <c r="U105" s="28"/>
    </row>
    <row r="106" spans="1:21" s="2" customFormat="1" ht="20.25" customHeight="1" thickBot="1" x14ac:dyDescent="0.3">
      <c r="A106"/>
      <c r="B106" s="315" t="s">
        <v>131</v>
      </c>
      <c r="C106" s="316"/>
      <c r="D106" s="316"/>
      <c r="E106" s="316"/>
      <c r="F106" s="316"/>
      <c r="G106" s="316"/>
      <c r="H106" s="316"/>
      <c r="I106" s="316"/>
      <c r="J106" s="316"/>
      <c r="K106" s="317"/>
      <c r="L106" s="246">
        <f>L122</f>
        <v>0</v>
      </c>
      <c r="O106" s="27"/>
      <c r="P106" s="27"/>
      <c r="Q106" s="71"/>
      <c r="R106" s="64"/>
      <c r="S106" s="64"/>
      <c r="T106" s="64"/>
      <c r="U106" s="28"/>
    </row>
    <row r="107" spans="1:21" s="2" customFormat="1" ht="20.25" customHeight="1" thickBot="1" x14ac:dyDescent="0.3">
      <c r="A107"/>
      <c r="B107" s="8" t="s">
        <v>3</v>
      </c>
      <c r="C107" s="244" t="s">
        <v>31</v>
      </c>
      <c r="D107" s="245"/>
      <c r="E107" s="245"/>
      <c r="F107" s="245"/>
      <c r="G107" s="245"/>
      <c r="H107" s="245"/>
      <c r="I107" s="245"/>
      <c r="J107" s="245"/>
      <c r="K107" s="304">
        <v>0.05</v>
      </c>
      <c r="L107" s="297">
        <f>L106*K107</f>
        <v>0</v>
      </c>
      <c r="O107" s="27"/>
      <c r="P107" s="27"/>
      <c r="Q107" s="72"/>
      <c r="R107" s="65"/>
      <c r="S107" s="66"/>
      <c r="T107" s="66"/>
      <c r="U107" s="29"/>
    </row>
    <row r="108" spans="1:21" s="2" customFormat="1" ht="20.25" customHeight="1" thickBot="1" x14ac:dyDescent="0.3">
      <c r="A108"/>
      <c r="B108" s="8" t="s">
        <v>5</v>
      </c>
      <c r="C108" s="33" t="s">
        <v>100</v>
      </c>
      <c r="D108" s="34"/>
      <c r="E108" s="34"/>
      <c r="F108" s="34"/>
      <c r="G108" s="34"/>
      <c r="H108" s="34"/>
      <c r="I108" s="34"/>
      <c r="J108" s="34"/>
      <c r="K108" s="305">
        <v>0.1</v>
      </c>
      <c r="L108" s="298">
        <f>ROUND((L106*K108),2)</f>
        <v>0</v>
      </c>
      <c r="O108" s="27"/>
      <c r="P108" s="27"/>
      <c r="Q108" s="67"/>
      <c r="R108" s="68"/>
      <c r="S108" s="69"/>
      <c r="T108" s="69"/>
      <c r="U108" s="30"/>
    </row>
    <row r="109" spans="1:21" s="2" customFormat="1" ht="20.25" customHeight="1" thickBot="1" x14ac:dyDescent="0.3">
      <c r="A109"/>
      <c r="B109" s="311" t="s">
        <v>196</v>
      </c>
      <c r="C109" s="312"/>
      <c r="D109" s="312"/>
      <c r="E109" s="312"/>
      <c r="F109" s="312"/>
      <c r="G109" s="312"/>
      <c r="H109" s="312" t="s">
        <v>197</v>
      </c>
      <c r="I109" s="312"/>
      <c r="J109" s="312"/>
      <c r="K109" s="312"/>
      <c r="L109" s="139">
        <f>SUM(L106:L108)</f>
        <v>0</v>
      </c>
      <c r="O109" s="27"/>
      <c r="P109" s="27"/>
      <c r="Q109" s="67"/>
      <c r="R109" s="68"/>
      <c r="S109" s="69"/>
      <c r="T109" s="69"/>
      <c r="U109" s="30"/>
    </row>
    <row r="110" spans="1:21" s="2" customFormat="1" ht="20.25" customHeight="1" thickBot="1" x14ac:dyDescent="0.3">
      <c r="A110"/>
      <c r="B110" s="4" t="s">
        <v>7</v>
      </c>
      <c r="C110" s="313" t="s">
        <v>198</v>
      </c>
      <c r="D110" s="314"/>
      <c r="E110" s="314"/>
      <c r="F110" s="314"/>
      <c r="G110" s="314"/>
      <c r="H110" s="314"/>
      <c r="I110" s="314"/>
      <c r="J110" s="137">
        <f>SUM(K111:K113)*100</f>
        <v>14.250000000000002</v>
      </c>
      <c r="K110" s="138">
        <f>ROUND((100-J110)/100,2)</f>
        <v>0.86</v>
      </c>
      <c r="L110" s="247">
        <f>SUM(L109/K110)</f>
        <v>0</v>
      </c>
      <c r="O110" s="27"/>
      <c r="P110" s="27"/>
      <c r="Q110" s="67"/>
      <c r="R110" s="68"/>
      <c r="S110" s="69"/>
      <c r="T110" s="69"/>
      <c r="U110" s="30"/>
    </row>
    <row r="111" spans="1:21" s="2" customFormat="1" ht="20.25" customHeight="1" thickBot="1" x14ac:dyDescent="0.3">
      <c r="A111"/>
      <c r="B111" s="45"/>
      <c r="C111" s="121" t="s">
        <v>137</v>
      </c>
      <c r="D111" s="122"/>
      <c r="E111" s="122"/>
      <c r="F111" s="122"/>
      <c r="G111" s="122"/>
      <c r="H111" s="122"/>
      <c r="I111" s="122"/>
      <c r="J111" s="122"/>
      <c r="K111" s="306">
        <v>1.6500000000000001E-2</v>
      </c>
      <c r="L111" s="299">
        <f>ROUND((K111*L110),2)</f>
        <v>0</v>
      </c>
      <c r="O111" s="27"/>
      <c r="P111" s="27"/>
      <c r="Q111" s="67"/>
      <c r="R111" s="68"/>
      <c r="S111" s="69"/>
      <c r="T111" s="69"/>
      <c r="U111" s="30"/>
    </row>
    <row r="112" spans="1:21" s="2" customFormat="1" ht="20.25" customHeight="1" thickBot="1" x14ac:dyDescent="0.3">
      <c r="A112"/>
      <c r="B112" s="45"/>
      <c r="C112" s="121" t="s">
        <v>138</v>
      </c>
      <c r="D112" s="122"/>
      <c r="E112" s="122"/>
      <c r="F112" s="122"/>
      <c r="G112" s="122"/>
      <c r="H112" s="122"/>
      <c r="I112" s="122"/>
      <c r="J112" s="122"/>
      <c r="K112" s="306">
        <v>7.5999999999999998E-2</v>
      </c>
      <c r="L112" s="300">
        <f>ROUND((K112*L110),2)</f>
        <v>0</v>
      </c>
      <c r="O112" s="27"/>
      <c r="P112" s="27"/>
      <c r="Q112" s="67"/>
      <c r="R112" s="68"/>
      <c r="S112" s="69"/>
      <c r="T112" s="69"/>
      <c r="U112" s="30"/>
    </row>
    <row r="113" spans="1:32" s="2" customFormat="1" ht="20.25" customHeight="1" thickBot="1" x14ac:dyDescent="0.3">
      <c r="A113"/>
      <c r="B113" s="45"/>
      <c r="C113" s="121" t="s">
        <v>136</v>
      </c>
      <c r="D113" s="122"/>
      <c r="E113" s="122"/>
      <c r="F113" s="122"/>
      <c r="G113" s="122"/>
      <c r="H113" s="122"/>
      <c r="I113" s="122"/>
      <c r="J113" s="122"/>
      <c r="K113" s="306">
        <v>0.05</v>
      </c>
      <c r="L113" s="301">
        <f>ROUND((K113*L110),2)</f>
        <v>0</v>
      </c>
      <c r="O113" s="27"/>
      <c r="P113" s="27"/>
      <c r="Q113" s="67"/>
      <c r="R113" s="68"/>
      <c r="S113" s="69"/>
      <c r="T113" s="69"/>
      <c r="U113" s="30"/>
    </row>
    <row r="114" spans="1:32" s="2" customFormat="1" ht="20.25" customHeight="1" thickBot="1" x14ac:dyDescent="0.3">
      <c r="A114"/>
      <c r="B114" s="402" t="s">
        <v>12</v>
      </c>
      <c r="C114" s="403"/>
      <c r="D114" s="403"/>
      <c r="E114" s="403"/>
      <c r="F114" s="403"/>
      <c r="G114" s="403"/>
      <c r="H114" s="403"/>
      <c r="I114" s="403"/>
      <c r="J114" s="403"/>
      <c r="K114" s="404"/>
      <c r="L114" s="302">
        <f>SUM(L111:L113,L107:L108)</f>
        <v>0</v>
      </c>
      <c r="O114" s="27"/>
      <c r="P114" s="27"/>
      <c r="Q114" s="67"/>
      <c r="R114" s="68"/>
      <c r="S114" s="69"/>
      <c r="T114" s="69"/>
      <c r="U114" s="30"/>
    </row>
    <row r="115" spans="1:32" s="2" customFormat="1" ht="21" customHeight="1" thickBot="1" x14ac:dyDescent="0.3">
      <c r="A115"/>
      <c r="B115" s="389" t="s">
        <v>115</v>
      </c>
      <c r="C115" s="389"/>
      <c r="D115" s="389"/>
      <c r="E115" s="389"/>
      <c r="F115" s="389"/>
      <c r="G115" s="389"/>
      <c r="H115" s="389"/>
      <c r="I115" s="389"/>
      <c r="J115" s="389"/>
      <c r="K115" s="389"/>
      <c r="L115" s="389"/>
      <c r="O115" s="27"/>
      <c r="P115" s="27"/>
      <c r="Q115" s="67"/>
      <c r="R115" s="70"/>
      <c r="S115" s="69"/>
      <c r="T115" s="69"/>
      <c r="U115" s="30"/>
    </row>
    <row r="116" spans="1:32" s="2" customFormat="1" ht="21" customHeight="1" thickBot="1" x14ac:dyDescent="0.3">
      <c r="A116"/>
      <c r="B116" s="90"/>
      <c r="C116" s="123" t="s">
        <v>65</v>
      </c>
      <c r="D116" s="91"/>
      <c r="E116" s="92"/>
      <c r="F116" s="92"/>
      <c r="G116" s="92"/>
      <c r="H116" s="92"/>
      <c r="I116" s="92"/>
      <c r="J116" s="92"/>
      <c r="K116" s="92"/>
      <c r="L116" s="93" t="s">
        <v>32</v>
      </c>
      <c r="O116" s="27"/>
      <c r="P116" s="27"/>
      <c r="Q116" s="67"/>
      <c r="R116" s="70"/>
      <c r="S116" s="69"/>
      <c r="T116" s="69"/>
      <c r="U116" s="30"/>
    </row>
    <row r="117" spans="1:32" s="2" customFormat="1" ht="20.25" customHeight="1" thickBot="1" x14ac:dyDescent="0.3">
      <c r="A117"/>
      <c r="B117" s="17" t="s">
        <v>3</v>
      </c>
      <c r="C117" s="399" t="s">
        <v>60</v>
      </c>
      <c r="D117" s="400"/>
      <c r="E117" s="400"/>
      <c r="F117" s="400"/>
      <c r="G117" s="400"/>
      <c r="H117" s="400"/>
      <c r="I117" s="400"/>
      <c r="J117" s="400"/>
      <c r="K117" s="401"/>
      <c r="L117" s="23">
        <f>L38</f>
        <v>0</v>
      </c>
      <c r="O117" s="27"/>
      <c r="P117" s="27"/>
      <c r="Q117" s="67"/>
      <c r="R117" s="70"/>
      <c r="S117" s="69"/>
      <c r="T117" s="69"/>
      <c r="U117" s="30"/>
    </row>
    <row r="118" spans="1:32" s="2" customFormat="1" ht="20.25" customHeight="1" thickBot="1" x14ac:dyDescent="0.3">
      <c r="A118"/>
      <c r="B118" s="16" t="s">
        <v>5</v>
      </c>
      <c r="C118" s="399" t="s">
        <v>61</v>
      </c>
      <c r="D118" s="400"/>
      <c r="E118" s="400"/>
      <c r="F118" s="400"/>
      <c r="G118" s="400"/>
      <c r="H118" s="400"/>
      <c r="I118" s="400"/>
      <c r="J118" s="400"/>
      <c r="K118" s="400"/>
      <c r="L118" s="19">
        <f>L69</f>
        <v>0</v>
      </c>
      <c r="O118" s="27"/>
      <c r="P118" s="27"/>
      <c r="Q118" s="67"/>
      <c r="R118" s="70"/>
      <c r="S118" s="69"/>
      <c r="T118" s="69"/>
      <c r="U118" s="30"/>
    </row>
    <row r="119" spans="1:32" s="2" customFormat="1" ht="20.25" customHeight="1" thickBot="1" x14ac:dyDescent="0.3">
      <c r="A119"/>
      <c r="B119" s="16" t="s">
        <v>7</v>
      </c>
      <c r="C119" s="399" t="s">
        <v>53</v>
      </c>
      <c r="D119" s="400"/>
      <c r="E119" s="400"/>
      <c r="F119" s="400"/>
      <c r="G119" s="400"/>
      <c r="H119" s="400"/>
      <c r="I119" s="400"/>
      <c r="J119" s="400"/>
      <c r="K119" s="401"/>
      <c r="L119" s="20">
        <f>L78</f>
        <v>0</v>
      </c>
      <c r="O119" s="27"/>
      <c r="P119" s="27"/>
      <c r="Q119" s="67"/>
      <c r="R119" s="70"/>
      <c r="S119" s="69"/>
      <c r="T119" s="69"/>
      <c r="U119" s="30"/>
    </row>
    <row r="120" spans="1:32" s="2" customFormat="1" ht="20.25" customHeight="1" thickBot="1" x14ac:dyDescent="0.3">
      <c r="A120"/>
      <c r="B120" s="16" t="s">
        <v>22</v>
      </c>
      <c r="C120" s="399" t="s">
        <v>62</v>
      </c>
      <c r="D120" s="400"/>
      <c r="E120" s="400"/>
      <c r="F120" s="400"/>
      <c r="G120" s="400"/>
      <c r="H120" s="400"/>
      <c r="I120" s="400"/>
      <c r="J120" s="400"/>
      <c r="K120" s="401"/>
      <c r="L120" s="20">
        <f>L96</f>
        <v>0</v>
      </c>
      <c r="O120" s="27"/>
      <c r="P120" s="27"/>
      <c r="Q120" s="67"/>
      <c r="R120" s="70"/>
      <c r="S120" s="69"/>
      <c r="T120" s="69"/>
      <c r="U120" s="30"/>
    </row>
    <row r="121" spans="1:32" s="2" customFormat="1" ht="20.25" customHeight="1" thickBot="1" x14ac:dyDescent="0.3">
      <c r="A121"/>
      <c r="B121" s="16" t="s">
        <v>8</v>
      </c>
      <c r="C121" s="399" t="s">
        <v>52</v>
      </c>
      <c r="D121" s="400"/>
      <c r="E121" s="400"/>
      <c r="F121" s="400"/>
      <c r="G121" s="400"/>
      <c r="H121" s="400"/>
      <c r="I121" s="400"/>
      <c r="J121" s="400"/>
      <c r="K121" s="401"/>
      <c r="L121" s="20">
        <f>L103</f>
        <v>0</v>
      </c>
      <c r="O121" s="27"/>
      <c r="P121" s="27"/>
      <c r="Q121" s="67"/>
      <c r="R121" s="70"/>
      <c r="S121" s="69"/>
      <c r="T121" s="69"/>
      <c r="U121" s="30"/>
    </row>
    <row r="122" spans="1:32" s="2" customFormat="1" ht="20.25" customHeight="1" thickBot="1" x14ac:dyDescent="0.3">
      <c r="A122"/>
      <c r="B122" s="79"/>
      <c r="C122" s="387" t="s">
        <v>63</v>
      </c>
      <c r="D122" s="388"/>
      <c r="E122" s="388"/>
      <c r="F122" s="388"/>
      <c r="G122" s="388"/>
      <c r="H122" s="388"/>
      <c r="I122" s="388"/>
      <c r="J122" s="388"/>
      <c r="K122" s="94"/>
      <c r="L122" s="95">
        <f>SUM(L117:L121)</f>
        <v>0</v>
      </c>
      <c r="N122" s="73"/>
      <c r="O122" s="27"/>
      <c r="P122" s="27"/>
      <c r="Q122" s="67"/>
      <c r="R122" s="70"/>
      <c r="S122" s="69"/>
      <c r="T122" s="69"/>
      <c r="U122" s="30"/>
    </row>
    <row r="123" spans="1:32" s="2" customFormat="1" ht="20.25" customHeight="1" thickBot="1" x14ac:dyDescent="0.3">
      <c r="A123"/>
      <c r="B123" s="16" t="s">
        <v>9</v>
      </c>
      <c r="C123" s="399" t="s">
        <v>58</v>
      </c>
      <c r="D123" s="400"/>
      <c r="E123" s="400"/>
      <c r="F123" s="400"/>
      <c r="G123" s="400"/>
      <c r="H123" s="400"/>
      <c r="I123" s="400"/>
      <c r="J123" s="400"/>
      <c r="K123" s="401"/>
      <c r="L123" s="20">
        <f>$L$114</f>
        <v>0</v>
      </c>
      <c r="N123" s="73"/>
      <c r="O123" s="27"/>
      <c r="P123" s="27"/>
      <c r="Q123" s="67"/>
      <c r="R123" s="70"/>
      <c r="S123" s="69"/>
      <c r="T123" s="69"/>
      <c r="U123" s="30"/>
    </row>
    <row r="124" spans="1:32" s="2" customFormat="1" ht="20.25" customHeight="1" thickBot="1" x14ac:dyDescent="0.3">
      <c r="A124"/>
      <c r="B124" s="79"/>
      <c r="C124" s="387" t="s">
        <v>64</v>
      </c>
      <c r="D124" s="388"/>
      <c r="E124" s="388"/>
      <c r="F124" s="388"/>
      <c r="G124" s="388"/>
      <c r="H124" s="388"/>
      <c r="I124" s="388"/>
      <c r="J124" s="388"/>
      <c r="K124" s="94"/>
      <c r="L124" s="95">
        <f>L123+L122</f>
        <v>0</v>
      </c>
      <c r="N124" s="73"/>
      <c r="O124" s="27"/>
      <c r="P124" s="27"/>
      <c r="Q124" s="67"/>
      <c r="R124" s="70"/>
      <c r="S124" s="69"/>
      <c r="T124" s="69"/>
      <c r="U124" s="30"/>
    </row>
    <row r="125" spans="1:32" s="2" customFormat="1" ht="20.25" customHeight="1" x14ac:dyDescent="0.2">
      <c r="A125"/>
      <c r="B125" s="389" t="s">
        <v>145</v>
      </c>
      <c r="C125" s="389"/>
      <c r="D125" s="389"/>
      <c r="E125" s="389"/>
      <c r="F125" s="389"/>
      <c r="G125" s="389"/>
      <c r="H125" s="389"/>
      <c r="I125" s="389"/>
      <c r="J125" s="389"/>
      <c r="K125" s="389"/>
      <c r="L125" s="389"/>
    </row>
    <row r="126" spans="1:32" s="2" customFormat="1" ht="9" customHeight="1" thickBot="1" x14ac:dyDescent="0.25">
      <c r="A126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32" s="2" customFormat="1" ht="18.75" customHeight="1" thickBot="1" x14ac:dyDescent="0.25">
      <c r="A127" s="1"/>
      <c r="B127" s="390" t="s">
        <v>116</v>
      </c>
      <c r="C127" s="391"/>
      <c r="D127" s="391"/>
      <c r="E127" s="391"/>
      <c r="F127" s="391"/>
      <c r="G127" s="391"/>
      <c r="H127" s="391"/>
      <c r="I127" s="391"/>
      <c r="J127" s="391"/>
      <c r="K127" s="391"/>
      <c r="L127" s="392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</row>
    <row r="128" spans="1:32" s="2" customForma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</row>
    <row r="129" spans="1:32" s="2" customFormat="1" ht="15.75" x14ac:dyDescent="0.25">
      <c r="A129" s="1"/>
      <c r="B129" s="393" t="s">
        <v>358</v>
      </c>
      <c r="C129" s="394"/>
      <c r="D129" s="394"/>
      <c r="E129" s="394"/>
      <c r="F129" s="394"/>
      <c r="G129" s="394"/>
      <c r="H129" s="394"/>
      <c r="I129" s="394"/>
      <c r="J129" s="394"/>
      <c r="K129" s="394"/>
      <c r="L129" s="39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</row>
    <row r="130" spans="1:32" s="2" customFormat="1" ht="15.75" x14ac:dyDescent="0.25">
      <c r="A130" s="1"/>
      <c r="B130" s="356" t="s">
        <v>101</v>
      </c>
      <c r="C130" s="357"/>
      <c r="D130" s="358"/>
      <c r="E130" s="362" t="s">
        <v>102</v>
      </c>
      <c r="F130" s="363"/>
      <c r="G130" s="363"/>
      <c r="H130" s="364"/>
      <c r="I130" s="365" t="s">
        <v>103</v>
      </c>
      <c r="J130" s="366"/>
      <c r="K130" s="367"/>
      <c r="L130" s="56" t="s">
        <v>104</v>
      </c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</row>
    <row r="131" spans="1:32" s="2" customFormat="1" ht="15.75" x14ac:dyDescent="0.25">
      <c r="A131" s="1"/>
      <c r="B131" s="380"/>
      <c r="C131" s="381"/>
      <c r="D131" s="382"/>
      <c r="E131" s="380" t="s">
        <v>105</v>
      </c>
      <c r="F131" s="381"/>
      <c r="G131" s="381"/>
      <c r="H131" s="382"/>
      <c r="I131" s="396" t="s">
        <v>106</v>
      </c>
      <c r="J131" s="397"/>
      <c r="K131" s="398"/>
      <c r="L131" s="57" t="s">
        <v>107</v>
      </c>
      <c r="M131" s="5"/>
      <c r="N131" s="129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</row>
    <row r="132" spans="1:32" s="2" customFormat="1" x14ac:dyDescent="0.2">
      <c r="A132" s="1"/>
      <c r="B132" s="345" t="s">
        <v>108</v>
      </c>
      <c r="C132" s="346"/>
      <c r="D132" s="347"/>
      <c r="E132" s="345">
        <f>1/800</f>
        <v>1.25E-3</v>
      </c>
      <c r="F132" s="346"/>
      <c r="G132" s="346"/>
      <c r="H132" s="347"/>
      <c r="I132" s="386">
        <f>L124</f>
        <v>0</v>
      </c>
      <c r="J132" s="372"/>
      <c r="K132" s="373"/>
      <c r="L132" s="125">
        <f>ROUND((E132*I132),2)</f>
        <v>0</v>
      </c>
      <c r="M132" s="5"/>
      <c r="N132" s="128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</row>
    <row r="133" spans="1:32" s="2" customFormat="1" ht="15.75" x14ac:dyDescent="0.25">
      <c r="A133" s="1"/>
      <c r="B133" s="351" t="s">
        <v>150</v>
      </c>
      <c r="C133" s="351"/>
      <c r="D133" s="351"/>
      <c r="E133" s="351"/>
      <c r="F133" s="351"/>
      <c r="G133" s="351"/>
      <c r="H133" s="351"/>
      <c r="I133" s="370" t="s">
        <v>199</v>
      </c>
      <c r="J133" s="370"/>
      <c r="K133" s="370"/>
      <c r="L133" s="370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</row>
    <row r="134" spans="1:32" s="2" customFormat="1" ht="15.75" x14ac:dyDescent="0.25">
      <c r="A134" s="1"/>
      <c r="B134" s="50"/>
      <c r="C134" s="59"/>
      <c r="D134" s="59"/>
      <c r="E134" s="59"/>
      <c r="F134" s="59"/>
      <c r="G134" s="59"/>
      <c r="H134" s="59"/>
      <c r="I134" s="35"/>
      <c r="J134" s="35"/>
      <c r="K134" s="35"/>
      <c r="L134" s="61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</row>
    <row r="135" spans="1:32" s="2" customFormat="1" ht="15.75" x14ac:dyDescent="0.2">
      <c r="A135" s="1"/>
      <c r="B135" s="353" t="s">
        <v>392</v>
      </c>
      <c r="C135" s="354"/>
      <c r="D135" s="354"/>
      <c r="E135" s="354"/>
      <c r="F135" s="354"/>
      <c r="G135" s="354"/>
      <c r="H135" s="354"/>
      <c r="I135" s="354"/>
      <c r="J135" s="354"/>
      <c r="K135" s="354"/>
      <c r="L135" s="355"/>
      <c r="M135" s="5"/>
      <c r="N135" s="128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</row>
    <row r="136" spans="1:32" s="2" customFormat="1" ht="15.75" x14ac:dyDescent="0.25">
      <c r="A136" s="1"/>
      <c r="B136" s="356" t="s">
        <v>101</v>
      </c>
      <c r="C136" s="357"/>
      <c r="D136" s="358"/>
      <c r="E136" s="362" t="s">
        <v>102</v>
      </c>
      <c r="F136" s="363"/>
      <c r="G136" s="363"/>
      <c r="H136" s="364"/>
      <c r="I136" s="365" t="s">
        <v>103</v>
      </c>
      <c r="J136" s="366"/>
      <c r="K136" s="367"/>
      <c r="L136" s="56" t="s">
        <v>104</v>
      </c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</row>
    <row r="137" spans="1:32" s="2" customFormat="1" ht="15.75" x14ac:dyDescent="0.25">
      <c r="A137" s="1"/>
      <c r="B137" s="380"/>
      <c r="C137" s="381"/>
      <c r="D137" s="382"/>
      <c r="E137" s="380" t="s">
        <v>105</v>
      </c>
      <c r="F137" s="381"/>
      <c r="G137" s="381"/>
      <c r="H137" s="382"/>
      <c r="I137" s="383" t="s">
        <v>106</v>
      </c>
      <c r="J137" s="384"/>
      <c r="K137" s="385"/>
      <c r="L137" s="57" t="s">
        <v>107</v>
      </c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</row>
    <row r="138" spans="1:32" s="2" customFormat="1" x14ac:dyDescent="0.2">
      <c r="A138" s="1"/>
      <c r="B138" s="342" t="s">
        <v>108</v>
      </c>
      <c r="C138" s="343"/>
      <c r="D138" s="344"/>
      <c r="E138" s="345">
        <f>1/360</f>
        <v>2.7777777777777779E-3</v>
      </c>
      <c r="F138" s="346"/>
      <c r="G138" s="346"/>
      <c r="H138" s="347"/>
      <c r="I138" s="386">
        <f>L124</f>
        <v>0</v>
      </c>
      <c r="J138" s="372"/>
      <c r="K138" s="373"/>
      <c r="L138" s="58">
        <f>ROUND((E138*32*(1/188.76)*I138),2)</f>
        <v>0</v>
      </c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</row>
    <row r="139" spans="1:32" s="2" customFormat="1" ht="15.75" x14ac:dyDescent="0.25">
      <c r="A139" s="1"/>
      <c r="B139" s="377" t="s">
        <v>150</v>
      </c>
      <c r="C139" s="378"/>
      <c r="D139" s="378"/>
      <c r="E139" s="378"/>
      <c r="F139" s="378"/>
      <c r="G139" s="378"/>
      <c r="H139" s="379"/>
      <c r="I139" s="374" t="s">
        <v>348</v>
      </c>
      <c r="J139" s="375"/>
      <c r="K139" s="375"/>
      <c r="L139" s="376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</row>
    <row r="140" spans="1:32" s="2" customFormat="1" ht="15.75" x14ac:dyDescent="0.25">
      <c r="A140" s="1"/>
      <c r="B140" s="50"/>
      <c r="C140" s="59"/>
      <c r="D140" s="59"/>
      <c r="E140" s="59"/>
      <c r="F140" s="59"/>
      <c r="G140" s="59"/>
      <c r="H140" s="59"/>
      <c r="I140" s="35"/>
      <c r="J140" s="35"/>
      <c r="K140" s="35"/>
      <c r="L140" s="61"/>
      <c r="M140" s="5"/>
      <c r="N140" s="128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</row>
    <row r="141" spans="1:32" s="2" customFormat="1" ht="15.75" x14ac:dyDescent="0.2">
      <c r="A141" s="1"/>
      <c r="B141" s="353" t="s">
        <v>395</v>
      </c>
      <c r="C141" s="354"/>
      <c r="D141" s="354"/>
      <c r="E141" s="354"/>
      <c r="F141" s="354"/>
      <c r="G141" s="354"/>
      <c r="H141" s="354"/>
      <c r="I141" s="354"/>
      <c r="J141" s="354"/>
      <c r="K141" s="354"/>
      <c r="L141" s="35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</row>
    <row r="142" spans="1:32" s="2" customFormat="1" ht="15.75" x14ac:dyDescent="0.25">
      <c r="A142" s="1"/>
      <c r="B142" s="356" t="s">
        <v>101</v>
      </c>
      <c r="C142" s="357"/>
      <c r="D142" s="358"/>
      <c r="E142" s="362" t="s">
        <v>102</v>
      </c>
      <c r="F142" s="363"/>
      <c r="G142" s="363"/>
      <c r="H142" s="364"/>
      <c r="I142" s="365" t="s">
        <v>103</v>
      </c>
      <c r="J142" s="366"/>
      <c r="K142" s="367"/>
      <c r="L142" s="56" t="s">
        <v>104</v>
      </c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</row>
    <row r="143" spans="1:32" s="2" customFormat="1" ht="15.75" x14ac:dyDescent="0.25">
      <c r="A143" s="1"/>
      <c r="B143" s="359"/>
      <c r="C143" s="360"/>
      <c r="D143" s="361"/>
      <c r="E143" s="368" t="s">
        <v>105</v>
      </c>
      <c r="F143" s="368"/>
      <c r="G143" s="368"/>
      <c r="H143" s="368"/>
      <c r="I143" s="369" t="s">
        <v>106</v>
      </c>
      <c r="J143" s="369"/>
      <c r="K143" s="369"/>
      <c r="L143" s="57" t="s">
        <v>107</v>
      </c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</row>
    <row r="144" spans="1:32" s="2" customFormat="1" x14ac:dyDescent="0.2">
      <c r="A144" s="1"/>
      <c r="B144" s="342" t="s">
        <v>108</v>
      </c>
      <c r="C144" s="343"/>
      <c r="D144" s="343"/>
      <c r="E144" s="371">
        <f>1/1500</f>
        <v>6.6666666666666664E-4</v>
      </c>
      <c r="F144" s="371"/>
      <c r="G144" s="371"/>
      <c r="H144" s="371"/>
      <c r="I144" s="372">
        <f>L124</f>
        <v>0</v>
      </c>
      <c r="J144" s="372"/>
      <c r="K144" s="373"/>
      <c r="L144" s="58">
        <f>ROUND((E144*16*(1/188.76)*I144),2)</f>
        <v>0</v>
      </c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</row>
    <row r="145" spans="1:32" s="2" customFormat="1" ht="15.75" x14ac:dyDescent="0.25">
      <c r="A145" s="1"/>
      <c r="B145" s="351" t="s">
        <v>150</v>
      </c>
      <c r="C145" s="351"/>
      <c r="D145" s="351"/>
      <c r="E145" s="351"/>
      <c r="F145" s="351"/>
      <c r="G145" s="351"/>
      <c r="H145" s="351"/>
      <c r="I145" s="374" t="s">
        <v>364</v>
      </c>
      <c r="J145" s="375"/>
      <c r="K145" s="375"/>
      <c r="L145" s="376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</row>
    <row r="146" spans="1:32" s="2" customFormat="1" ht="15.75" x14ac:dyDescent="0.25">
      <c r="A146" s="1"/>
      <c r="B146" s="50"/>
      <c r="C146" s="59"/>
      <c r="D146" s="59"/>
      <c r="E146" s="59"/>
      <c r="F146" s="59"/>
      <c r="G146" s="59"/>
      <c r="H146" s="59"/>
      <c r="I146" s="35"/>
      <c r="J146" s="35"/>
      <c r="K146" s="35"/>
      <c r="L146" s="61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</row>
    <row r="147" spans="1:32" s="2" customFormat="1" ht="15.75" x14ac:dyDescent="0.2">
      <c r="A147" s="1"/>
      <c r="B147" s="353" t="s">
        <v>389</v>
      </c>
      <c r="C147" s="354"/>
      <c r="D147" s="354"/>
      <c r="E147" s="354"/>
      <c r="F147" s="354"/>
      <c r="G147" s="354"/>
      <c r="H147" s="354"/>
      <c r="I147" s="354"/>
      <c r="J147" s="354"/>
      <c r="K147" s="354"/>
      <c r="L147" s="35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</row>
    <row r="148" spans="1:32" s="2" customFormat="1" ht="15.75" x14ac:dyDescent="0.25">
      <c r="A148" s="1"/>
      <c r="B148" s="356" t="s">
        <v>101</v>
      </c>
      <c r="C148" s="357"/>
      <c r="D148" s="358"/>
      <c r="E148" s="362" t="s">
        <v>102</v>
      </c>
      <c r="F148" s="363"/>
      <c r="G148" s="363"/>
      <c r="H148" s="364"/>
      <c r="I148" s="365" t="s">
        <v>103</v>
      </c>
      <c r="J148" s="366"/>
      <c r="K148" s="367"/>
      <c r="L148" s="56" t="s">
        <v>104</v>
      </c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</row>
    <row r="149" spans="1:32" s="2" customFormat="1" ht="15.75" x14ac:dyDescent="0.25">
      <c r="A149" s="1"/>
      <c r="B149" s="359"/>
      <c r="C149" s="360"/>
      <c r="D149" s="361"/>
      <c r="E149" s="368" t="s">
        <v>105</v>
      </c>
      <c r="F149" s="368"/>
      <c r="G149" s="368"/>
      <c r="H149" s="368"/>
      <c r="I149" s="369" t="s">
        <v>106</v>
      </c>
      <c r="J149" s="369"/>
      <c r="K149" s="369"/>
      <c r="L149" s="57" t="s">
        <v>107</v>
      </c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</row>
    <row r="150" spans="1:32" s="2" customFormat="1" x14ac:dyDescent="0.2">
      <c r="A150" s="1"/>
      <c r="B150" s="342" t="s">
        <v>108</v>
      </c>
      <c r="C150" s="343"/>
      <c r="D150" s="344"/>
      <c r="E150" s="345">
        <f>1/1000</f>
        <v>1E-3</v>
      </c>
      <c r="F150" s="346"/>
      <c r="G150" s="346"/>
      <c r="H150" s="347"/>
      <c r="I150" s="348">
        <f>L124</f>
        <v>0</v>
      </c>
      <c r="J150" s="349"/>
      <c r="K150" s="350"/>
      <c r="L150" s="58">
        <f>ROUND((E150*I150),2)</f>
        <v>0</v>
      </c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</row>
    <row r="151" spans="1:32" s="2" customFormat="1" ht="15.75" x14ac:dyDescent="0.25">
      <c r="A151" s="1"/>
      <c r="B151" s="351" t="s">
        <v>150</v>
      </c>
      <c r="C151" s="351"/>
      <c r="D151" s="351"/>
      <c r="E151" s="351"/>
      <c r="F151" s="351"/>
      <c r="G151" s="351"/>
      <c r="H151" s="351"/>
      <c r="I151" s="370" t="s">
        <v>390</v>
      </c>
      <c r="J151" s="370"/>
      <c r="K151" s="370"/>
      <c r="L151" s="370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</row>
    <row r="152" spans="1:32" s="2" customFormat="1" ht="15.75" x14ac:dyDescent="0.25">
      <c r="A152" s="1"/>
      <c r="B152" s="50"/>
      <c r="C152" s="59"/>
      <c r="D152" s="59"/>
      <c r="E152" s="59"/>
      <c r="F152" s="59"/>
      <c r="G152" s="59"/>
      <c r="H152" s="59"/>
      <c r="I152" s="35"/>
      <c r="J152" s="35"/>
      <c r="K152" s="35"/>
      <c r="L152" s="61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</row>
    <row r="153" spans="1:32" s="2" customFormat="1" ht="15.75" x14ac:dyDescent="0.2">
      <c r="A153" s="1"/>
      <c r="B153" s="353" t="s">
        <v>359</v>
      </c>
      <c r="C153" s="354"/>
      <c r="D153" s="354"/>
      <c r="E153" s="354"/>
      <c r="F153" s="354"/>
      <c r="G153" s="354"/>
      <c r="H153" s="354"/>
      <c r="I153" s="354"/>
      <c r="J153" s="354"/>
      <c r="K153" s="354"/>
      <c r="L153" s="35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</row>
    <row r="154" spans="1:32" s="2" customFormat="1" ht="15.75" x14ac:dyDescent="0.25">
      <c r="A154" s="1"/>
      <c r="B154" s="356" t="s">
        <v>101</v>
      </c>
      <c r="C154" s="357"/>
      <c r="D154" s="358"/>
      <c r="E154" s="362" t="s">
        <v>102</v>
      </c>
      <c r="F154" s="363"/>
      <c r="G154" s="363"/>
      <c r="H154" s="364"/>
      <c r="I154" s="365" t="s">
        <v>103</v>
      </c>
      <c r="J154" s="366"/>
      <c r="K154" s="367"/>
      <c r="L154" s="56" t="s">
        <v>104</v>
      </c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</row>
    <row r="155" spans="1:32" s="2" customFormat="1" ht="15.75" x14ac:dyDescent="0.25">
      <c r="A155" s="1"/>
      <c r="B155" s="359"/>
      <c r="C155" s="360"/>
      <c r="D155" s="361"/>
      <c r="E155" s="368" t="s">
        <v>105</v>
      </c>
      <c r="F155" s="368"/>
      <c r="G155" s="368"/>
      <c r="H155" s="368"/>
      <c r="I155" s="369" t="s">
        <v>106</v>
      </c>
      <c r="J155" s="369"/>
      <c r="K155" s="369"/>
      <c r="L155" s="57" t="s">
        <v>107</v>
      </c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</row>
    <row r="156" spans="1:32" s="2" customFormat="1" x14ac:dyDescent="0.2">
      <c r="A156" s="1"/>
      <c r="B156" s="342" t="s">
        <v>108</v>
      </c>
      <c r="C156" s="343"/>
      <c r="D156" s="344"/>
      <c r="E156" s="345">
        <f>1/200</f>
        <v>5.0000000000000001E-3</v>
      </c>
      <c r="F156" s="346"/>
      <c r="G156" s="346"/>
      <c r="H156" s="347"/>
      <c r="I156" s="348">
        <f>L124</f>
        <v>0</v>
      </c>
      <c r="J156" s="349"/>
      <c r="K156" s="350"/>
      <c r="L156" s="58">
        <f>ROUND((E156*I156),2)</f>
        <v>0</v>
      </c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</row>
    <row r="157" spans="1:32" s="2" customFormat="1" ht="15.75" x14ac:dyDescent="0.25">
      <c r="A157" s="1"/>
      <c r="B157" s="351" t="s">
        <v>150</v>
      </c>
      <c r="C157" s="351"/>
      <c r="D157" s="351"/>
      <c r="E157" s="351"/>
      <c r="F157" s="351"/>
      <c r="G157" s="351"/>
      <c r="H157" s="351"/>
      <c r="I157" s="370" t="s">
        <v>349</v>
      </c>
      <c r="J157" s="370"/>
      <c r="K157" s="370"/>
      <c r="L157" s="370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</row>
    <row r="158" spans="1:32" s="2" customFormat="1" ht="15.75" x14ac:dyDescent="0.25">
      <c r="A158" s="1"/>
      <c r="B158" s="50"/>
      <c r="C158" s="59"/>
      <c r="D158" s="59"/>
      <c r="E158" s="59"/>
      <c r="F158" s="59"/>
      <c r="G158" s="59"/>
      <c r="H158" s="59"/>
      <c r="I158" s="35"/>
      <c r="J158" s="35"/>
      <c r="K158" s="35"/>
      <c r="L158" s="61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</row>
    <row r="159" spans="1:32" s="2" customFormat="1" ht="15.75" x14ac:dyDescent="0.2">
      <c r="A159" s="1"/>
      <c r="B159" s="353" t="s">
        <v>391</v>
      </c>
      <c r="C159" s="354"/>
      <c r="D159" s="354"/>
      <c r="E159" s="354"/>
      <c r="F159" s="354"/>
      <c r="G159" s="354"/>
      <c r="H159" s="354"/>
      <c r="I159" s="354"/>
      <c r="J159" s="354"/>
      <c r="K159" s="354"/>
      <c r="L159" s="35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</row>
    <row r="160" spans="1:32" s="2" customFormat="1" ht="15.75" x14ac:dyDescent="0.25">
      <c r="A160" s="1"/>
      <c r="B160" s="356" t="s">
        <v>101</v>
      </c>
      <c r="C160" s="357"/>
      <c r="D160" s="358"/>
      <c r="E160" s="362" t="s">
        <v>102</v>
      </c>
      <c r="F160" s="363"/>
      <c r="G160" s="363"/>
      <c r="H160" s="364"/>
      <c r="I160" s="365" t="s">
        <v>103</v>
      </c>
      <c r="J160" s="366"/>
      <c r="K160" s="367"/>
      <c r="L160" s="56" t="s">
        <v>104</v>
      </c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</row>
    <row r="161" spans="1:32" s="2" customFormat="1" ht="15.75" x14ac:dyDescent="0.25">
      <c r="A161" s="1"/>
      <c r="B161" s="359"/>
      <c r="C161" s="360"/>
      <c r="D161" s="361"/>
      <c r="E161" s="368" t="s">
        <v>105</v>
      </c>
      <c r="F161" s="368"/>
      <c r="G161" s="368"/>
      <c r="H161" s="368"/>
      <c r="I161" s="369" t="s">
        <v>106</v>
      </c>
      <c r="J161" s="369"/>
      <c r="K161" s="369"/>
      <c r="L161" s="57" t="s">
        <v>107</v>
      </c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</row>
    <row r="162" spans="1:32" s="5" customFormat="1" x14ac:dyDescent="0.2">
      <c r="A162" s="1"/>
      <c r="B162" s="342" t="s">
        <v>108</v>
      </c>
      <c r="C162" s="343"/>
      <c r="D162" s="344"/>
      <c r="E162" s="345">
        <f>1/1800</f>
        <v>5.5555555555555556E-4</v>
      </c>
      <c r="F162" s="346"/>
      <c r="G162" s="346"/>
      <c r="H162" s="347"/>
      <c r="I162" s="348">
        <f>L124</f>
        <v>0</v>
      </c>
      <c r="J162" s="349"/>
      <c r="K162" s="350"/>
      <c r="L162" s="58">
        <f>ROUND((E162*32*(1/188.76)*I162),2)</f>
        <v>0</v>
      </c>
    </row>
    <row r="163" spans="1:32" s="5" customFormat="1" ht="15.75" x14ac:dyDescent="0.25">
      <c r="A163" s="1"/>
      <c r="B163" s="351" t="s">
        <v>150</v>
      </c>
      <c r="C163" s="351"/>
      <c r="D163" s="351"/>
      <c r="E163" s="351"/>
      <c r="F163" s="351"/>
      <c r="G163" s="351"/>
      <c r="H163" s="351"/>
      <c r="I163" s="352" t="s">
        <v>350</v>
      </c>
      <c r="J163" s="352"/>
      <c r="K163" s="352"/>
      <c r="L163" s="352"/>
    </row>
    <row r="164" spans="1:32" s="5" customFormat="1" ht="15.75" x14ac:dyDescent="0.25">
      <c r="A164" s="1"/>
      <c r="B164" s="59"/>
      <c r="C164" s="59"/>
      <c r="D164" s="59"/>
      <c r="E164" s="60"/>
      <c r="F164" s="60"/>
      <c r="G164" s="60"/>
      <c r="H164" s="60"/>
      <c r="I164" s="35"/>
      <c r="J164" s="35"/>
      <c r="K164" s="35"/>
      <c r="L164" s="62"/>
    </row>
    <row r="165" spans="1:32" s="5" customFormat="1" ht="15.75" x14ac:dyDescent="0.2">
      <c r="A165" s="1"/>
      <c r="B165" s="353" t="s">
        <v>360</v>
      </c>
      <c r="C165" s="354"/>
      <c r="D165" s="354"/>
      <c r="E165" s="354"/>
      <c r="F165" s="354"/>
      <c r="G165" s="354"/>
      <c r="H165" s="354"/>
      <c r="I165" s="354"/>
      <c r="J165" s="354"/>
      <c r="K165" s="354"/>
      <c r="L165" s="355"/>
    </row>
    <row r="166" spans="1:32" s="5" customFormat="1" ht="15.75" x14ac:dyDescent="0.25">
      <c r="A166" s="1"/>
      <c r="B166" s="356" t="s">
        <v>101</v>
      </c>
      <c r="C166" s="357"/>
      <c r="D166" s="358"/>
      <c r="E166" s="362" t="s">
        <v>102</v>
      </c>
      <c r="F166" s="363"/>
      <c r="G166" s="363"/>
      <c r="H166" s="364"/>
      <c r="I166" s="365" t="s">
        <v>103</v>
      </c>
      <c r="J166" s="366"/>
      <c r="K166" s="367"/>
      <c r="L166" s="56" t="s">
        <v>104</v>
      </c>
    </row>
    <row r="167" spans="1:32" s="5" customFormat="1" ht="15.75" x14ac:dyDescent="0.25">
      <c r="A167" s="1"/>
      <c r="B167" s="359"/>
      <c r="C167" s="360"/>
      <c r="D167" s="361"/>
      <c r="E167" s="368" t="s">
        <v>105</v>
      </c>
      <c r="F167" s="368"/>
      <c r="G167" s="368"/>
      <c r="H167" s="368"/>
      <c r="I167" s="369" t="s">
        <v>106</v>
      </c>
      <c r="J167" s="369"/>
      <c r="K167" s="369"/>
      <c r="L167" s="57" t="s">
        <v>107</v>
      </c>
    </row>
    <row r="168" spans="1:32" s="5" customFormat="1" x14ac:dyDescent="0.2">
      <c r="A168" s="1"/>
      <c r="B168" s="342" t="s">
        <v>108</v>
      </c>
      <c r="C168" s="343"/>
      <c r="D168" s="344"/>
      <c r="E168" s="345">
        <f>1/6000</f>
        <v>1.6666666666666666E-4</v>
      </c>
      <c r="F168" s="346"/>
      <c r="G168" s="346"/>
      <c r="H168" s="347"/>
      <c r="I168" s="348">
        <f>L124</f>
        <v>0</v>
      </c>
      <c r="J168" s="349"/>
      <c r="K168" s="350"/>
      <c r="L168" s="58">
        <f>ROUND((E168*I168),2)</f>
        <v>0</v>
      </c>
    </row>
    <row r="169" spans="1:32" s="5" customFormat="1" ht="15.75" x14ac:dyDescent="0.25">
      <c r="A169" s="1"/>
      <c r="B169" s="351" t="s">
        <v>150</v>
      </c>
      <c r="C169" s="351"/>
      <c r="D169" s="351"/>
      <c r="E169" s="351"/>
      <c r="F169" s="351"/>
      <c r="G169" s="351"/>
      <c r="H169" s="351"/>
      <c r="I169" s="352" t="s">
        <v>351</v>
      </c>
      <c r="J169" s="352"/>
      <c r="K169" s="352"/>
      <c r="L169" s="352"/>
    </row>
    <row r="170" spans="1:32" s="5" customFormat="1" ht="15.75" x14ac:dyDescent="0.25">
      <c r="A170" s="1"/>
      <c r="B170" s="59"/>
      <c r="C170" s="59"/>
      <c r="D170" s="59"/>
      <c r="E170" s="60"/>
      <c r="F170" s="60"/>
      <c r="G170" s="60"/>
      <c r="H170" s="60"/>
      <c r="I170" s="35"/>
      <c r="J170" s="35"/>
      <c r="K170" s="35"/>
      <c r="L170" s="62"/>
    </row>
    <row r="171" spans="1:32" s="5" customFormat="1" ht="15.75" x14ac:dyDescent="0.2">
      <c r="A171" s="1"/>
      <c r="B171" s="353" t="s">
        <v>366</v>
      </c>
      <c r="C171" s="354"/>
      <c r="D171" s="354"/>
      <c r="E171" s="354"/>
      <c r="F171" s="354"/>
      <c r="G171" s="354"/>
      <c r="H171" s="354"/>
      <c r="I171" s="354"/>
      <c r="J171" s="354"/>
      <c r="K171" s="354"/>
      <c r="L171" s="355"/>
    </row>
    <row r="172" spans="1:32" s="5" customFormat="1" ht="15.75" x14ac:dyDescent="0.25">
      <c r="A172" s="1"/>
      <c r="B172" s="356" t="s">
        <v>101</v>
      </c>
      <c r="C172" s="357"/>
      <c r="D172" s="358"/>
      <c r="E172" s="362" t="s">
        <v>102</v>
      </c>
      <c r="F172" s="363"/>
      <c r="G172" s="363"/>
      <c r="H172" s="364"/>
      <c r="I172" s="365" t="s">
        <v>103</v>
      </c>
      <c r="J172" s="366"/>
      <c r="K172" s="367"/>
      <c r="L172" s="56" t="s">
        <v>104</v>
      </c>
    </row>
    <row r="173" spans="1:32" s="5" customFormat="1" ht="15.75" x14ac:dyDescent="0.25">
      <c r="A173" s="1"/>
      <c r="B173" s="359"/>
      <c r="C173" s="360"/>
      <c r="D173" s="361"/>
      <c r="E173" s="368" t="s">
        <v>105</v>
      </c>
      <c r="F173" s="368"/>
      <c r="G173" s="368"/>
      <c r="H173" s="368"/>
      <c r="I173" s="369" t="s">
        <v>106</v>
      </c>
      <c r="J173" s="369"/>
      <c r="K173" s="369"/>
      <c r="L173" s="57" t="s">
        <v>107</v>
      </c>
    </row>
    <row r="174" spans="1:32" s="5" customFormat="1" x14ac:dyDescent="0.2">
      <c r="A174" s="1"/>
      <c r="B174" s="342" t="s">
        <v>108</v>
      </c>
      <c r="C174" s="343"/>
      <c r="D174" s="344"/>
      <c r="E174" s="345">
        <f>1/1800</f>
        <v>5.5555555555555556E-4</v>
      </c>
      <c r="F174" s="346"/>
      <c r="G174" s="346"/>
      <c r="H174" s="347"/>
      <c r="I174" s="348">
        <f>L124</f>
        <v>0</v>
      </c>
      <c r="J174" s="349"/>
      <c r="K174" s="350"/>
      <c r="L174" s="58">
        <f>ROUND((E174*32*(1/188.76)*I174),2)</f>
        <v>0</v>
      </c>
    </row>
    <row r="175" spans="1:32" s="5" customFormat="1" ht="15.75" x14ac:dyDescent="0.25">
      <c r="A175" s="1"/>
      <c r="B175" s="351" t="s">
        <v>150</v>
      </c>
      <c r="C175" s="351"/>
      <c r="D175" s="351"/>
      <c r="E175" s="351"/>
      <c r="F175" s="351"/>
      <c r="G175" s="351"/>
      <c r="H175" s="351"/>
      <c r="I175" s="352" t="s">
        <v>350</v>
      </c>
      <c r="J175" s="352"/>
      <c r="K175" s="352"/>
      <c r="L175" s="352"/>
    </row>
    <row r="176" spans="1:32" s="5" customFormat="1" ht="15.75" x14ac:dyDescent="0.25">
      <c r="A176" s="1"/>
      <c r="B176" s="251"/>
      <c r="C176" s="251"/>
      <c r="D176" s="251"/>
      <c r="E176" s="251"/>
      <c r="F176" s="251"/>
      <c r="G176" s="251"/>
      <c r="H176" s="251"/>
      <c r="I176" s="252"/>
      <c r="J176" s="252"/>
      <c r="K176" s="252"/>
      <c r="L176" s="252"/>
    </row>
    <row r="177" spans="1:12" s="5" customFormat="1" ht="15.75" x14ac:dyDescent="0.2">
      <c r="A177" s="1"/>
      <c r="B177" s="353" t="s">
        <v>365</v>
      </c>
      <c r="C177" s="354"/>
      <c r="D177" s="354"/>
      <c r="E177" s="354"/>
      <c r="F177" s="354"/>
      <c r="G177" s="354"/>
      <c r="H177" s="354"/>
      <c r="I177" s="354"/>
      <c r="J177" s="354"/>
      <c r="K177" s="354"/>
      <c r="L177" s="355"/>
    </row>
    <row r="178" spans="1:12" s="5" customFormat="1" ht="15.75" x14ac:dyDescent="0.25">
      <c r="A178" s="1"/>
      <c r="B178" s="356" t="s">
        <v>101</v>
      </c>
      <c r="C178" s="357"/>
      <c r="D178" s="358"/>
      <c r="E178" s="362" t="s">
        <v>102</v>
      </c>
      <c r="F178" s="363"/>
      <c r="G178" s="363"/>
      <c r="H178" s="364"/>
      <c r="I178" s="365" t="s">
        <v>103</v>
      </c>
      <c r="J178" s="366"/>
      <c r="K178" s="367"/>
      <c r="L178" s="56" t="s">
        <v>104</v>
      </c>
    </row>
    <row r="179" spans="1:12" s="5" customFormat="1" ht="15.75" x14ac:dyDescent="0.25">
      <c r="A179" s="1"/>
      <c r="B179" s="359"/>
      <c r="C179" s="360"/>
      <c r="D179" s="361"/>
      <c r="E179" s="368" t="s">
        <v>105</v>
      </c>
      <c r="F179" s="368"/>
      <c r="G179" s="368"/>
      <c r="H179" s="368"/>
      <c r="I179" s="369" t="s">
        <v>106</v>
      </c>
      <c r="J179" s="369"/>
      <c r="K179" s="369"/>
      <c r="L179" s="57" t="s">
        <v>107</v>
      </c>
    </row>
    <row r="180" spans="1:12" s="5" customFormat="1" x14ac:dyDescent="0.2">
      <c r="A180" s="1"/>
      <c r="B180" s="342" t="s">
        <v>108</v>
      </c>
      <c r="C180" s="343"/>
      <c r="D180" s="344"/>
      <c r="E180" s="345">
        <f>1/1800</f>
        <v>5.5555555555555556E-4</v>
      </c>
      <c r="F180" s="346"/>
      <c r="G180" s="346"/>
      <c r="H180" s="347"/>
      <c r="I180" s="348">
        <f>L124</f>
        <v>0</v>
      </c>
      <c r="J180" s="349"/>
      <c r="K180" s="350"/>
      <c r="L180" s="58">
        <f>ROUND((E180*32*(1/188.76)*I180),2)</f>
        <v>0</v>
      </c>
    </row>
    <row r="181" spans="1:12" s="5" customFormat="1" ht="15.75" x14ac:dyDescent="0.25">
      <c r="A181" s="1"/>
      <c r="B181" s="351" t="s">
        <v>150</v>
      </c>
      <c r="C181" s="351"/>
      <c r="D181" s="351"/>
      <c r="E181" s="351"/>
      <c r="F181" s="351"/>
      <c r="G181" s="351"/>
      <c r="H181" s="351"/>
      <c r="I181" s="352" t="s">
        <v>350</v>
      </c>
      <c r="J181" s="352"/>
      <c r="K181" s="352"/>
      <c r="L181" s="352"/>
    </row>
    <row r="182" spans="1:12" s="5" customFormat="1" ht="15.75" x14ac:dyDescent="0.25">
      <c r="A182" s="1"/>
      <c r="B182" s="251"/>
      <c r="C182" s="251"/>
      <c r="D182" s="251"/>
      <c r="E182" s="251"/>
      <c r="F182" s="251"/>
      <c r="G182" s="251"/>
      <c r="H182" s="251"/>
      <c r="I182" s="252"/>
      <c r="J182" s="252"/>
      <c r="K182" s="252"/>
      <c r="L182" s="252"/>
    </row>
    <row r="183" spans="1:12" s="5" customFormat="1" ht="15.75" x14ac:dyDescent="0.2">
      <c r="A183" s="1"/>
      <c r="B183" s="353" t="s">
        <v>362</v>
      </c>
      <c r="C183" s="354"/>
      <c r="D183" s="354"/>
      <c r="E183" s="354"/>
      <c r="F183" s="354"/>
      <c r="G183" s="354"/>
      <c r="H183" s="354"/>
      <c r="I183" s="354"/>
      <c r="J183" s="354"/>
      <c r="K183" s="354"/>
      <c r="L183" s="355"/>
    </row>
    <row r="184" spans="1:12" s="5" customFormat="1" ht="15.75" x14ac:dyDescent="0.25">
      <c r="A184" s="1"/>
      <c r="B184" s="356" t="s">
        <v>101</v>
      </c>
      <c r="C184" s="357"/>
      <c r="D184" s="358"/>
      <c r="E184" s="362" t="s">
        <v>102</v>
      </c>
      <c r="F184" s="363"/>
      <c r="G184" s="363"/>
      <c r="H184" s="364"/>
      <c r="I184" s="365" t="s">
        <v>103</v>
      </c>
      <c r="J184" s="366"/>
      <c r="K184" s="367"/>
      <c r="L184" s="56" t="s">
        <v>104</v>
      </c>
    </row>
    <row r="185" spans="1:12" s="5" customFormat="1" ht="15.75" x14ac:dyDescent="0.25">
      <c r="A185" s="1"/>
      <c r="B185" s="359"/>
      <c r="C185" s="360"/>
      <c r="D185" s="361"/>
      <c r="E185" s="368" t="s">
        <v>105</v>
      </c>
      <c r="F185" s="368"/>
      <c r="G185" s="368"/>
      <c r="H185" s="368"/>
      <c r="I185" s="369" t="s">
        <v>106</v>
      </c>
      <c r="J185" s="369"/>
      <c r="K185" s="369"/>
      <c r="L185" s="57" t="s">
        <v>107</v>
      </c>
    </row>
    <row r="186" spans="1:12" s="5" customFormat="1" x14ac:dyDescent="0.2">
      <c r="A186" s="1"/>
      <c r="B186" s="342" t="s">
        <v>108</v>
      </c>
      <c r="C186" s="343"/>
      <c r="D186" s="344"/>
      <c r="E186" s="345">
        <f>1/300</f>
        <v>3.3333333333333335E-3</v>
      </c>
      <c r="F186" s="346"/>
      <c r="G186" s="346"/>
      <c r="H186" s="347"/>
      <c r="I186" s="348">
        <f>L124</f>
        <v>0</v>
      </c>
      <c r="J186" s="349"/>
      <c r="K186" s="350"/>
      <c r="L186" s="58">
        <f>ROUND((E186*4*(1/188.76)*I186),2)</f>
        <v>0</v>
      </c>
    </row>
    <row r="187" spans="1:12" s="5" customFormat="1" ht="15.75" x14ac:dyDescent="0.25">
      <c r="A187" s="1"/>
      <c r="B187" s="351" t="s">
        <v>150</v>
      </c>
      <c r="C187" s="351"/>
      <c r="D187" s="351"/>
      <c r="E187" s="351"/>
      <c r="F187" s="351"/>
      <c r="G187" s="351"/>
      <c r="H187" s="351"/>
      <c r="I187" s="352" t="s">
        <v>361</v>
      </c>
      <c r="J187" s="352"/>
      <c r="K187" s="352"/>
      <c r="L187" s="352"/>
    </row>
    <row r="188" spans="1:12" s="5" customFormat="1" ht="15.75" x14ac:dyDescent="0.25">
      <c r="A188" s="1"/>
      <c r="B188" s="59"/>
      <c r="C188" s="59"/>
      <c r="D188" s="59"/>
      <c r="E188" s="60"/>
      <c r="F188" s="60"/>
      <c r="G188" s="60"/>
      <c r="H188" s="60"/>
      <c r="I188" s="35"/>
      <c r="J188" s="35"/>
      <c r="K188" s="35"/>
      <c r="L188" s="62"/>
    </row>
    <row r="189" spans="1:12" s="5" customFormat="1" ht="15.75" x14ac:dyDescent="0.2">
      <c r="A189" s="1"/>
      <c r="B189" s="353" t="s">
        <v>363</v>
      </c>
      <c r="C189" s="354"/>
      <c r="D189" s="354"/>
      <c r="E189" s="354"/>
      <c r="F189" s="354"/>
      <c r="G189" s="354"/>
      <c r="H189" s="354"/>
      <c r="I189" s="354"/>
      <c r="J189" s="354"/>
      <c r="K189" s="354"/>
      <c r="L189" s="355"/>
    </row>
    <row r="190" spans="1:12" s="5" customFormat="1" ht="15.75" x14ac:dyDescent="0.25">
      <c r="A190" s="1"/>
      <c r="B190" s="356" t="s">
        <v>101</v>
      </c>
      <c r="C190" s="357"/>
      <c r="D190" s="358"/>
      <c r="E190" s="362" t="s">
        <v>102</v>
      </c>
      <c r="F190" s="363"/>
      <c r="G190" s="363"/>
      <c r="H190" s="364"/>
      <c r="I190" s="365" t="s">
        <v>103</v>
      </c>
      <c r="J190" s="366"/>
      <c r="K190" s="367"/>
      <c r="L190" s="56" t="s">
        <v>104</v>
      </c>
    </row>
    <row r="191" spans="1:12" s="5" customFormat="1" ht="15.75" x14ac:dyDescent="0.25">
      <c r="A191" s="1"/>
      <c r="B191" s="359"/>
      <c r="C191" s="360"/>
      <c r="D191" s="361"/>
      <c r="E191" s="368" t="s">
        <v>105</v>
      </c>
      <c r="F191" s="368"/>
      <c r="G191" s="368"/>
      <c r="H191" s="368"/>
      <c r="I191" s="369" t="s">
        <v>106</v>
      </c>
      <c r="J191" s="369"/>
      <c r="K191" s="369"/>
      <c r="L191" s="57" t="s">
        <v>107</v>
      </c>
    </row>
    <row r="192" spans="1:12" s="5" customFormat="1" x14ac:dyDescent="0.2">
      <c r="A192" s="1"/>
      <c r="B192" s="342" t="s">
        <v>108</v>
      </c>
      <c r="C192" s="343"/>
      <c r="D192" s="344"/>
      <c r="E192" s="345">
        <f>1/130</f>
        <v>7.6923076923076927E-3</v>
      </c>
      <c r="F192" s="346"/>
      <c r="G192" s="346"/>
      <c r="H192" s="347"/>
      <c r="I192" s="348">
        <f>$L$124</f>
        <v>0</v>
      </c>
      <c r="J192" s="349"/>
      <c r="K192" s="350"/>
      <c r="L192" s="58">
        <f>ROUND((E192*(1.33/188.76)*I192),2)</f>
        <v>0</v>
      </c>
    </row>
    <row r="193" spans="1:16" s="5" customFormat="1" ht="15.75" x14ac:dyDescent="0.25">
      <c r="A193" s="1"/>
      <c r="B193" s="351" t="s">
        <v>150</v>
      </c>
      <c r="C193" s="351"/>
      <c r="D193" s="351"/>
      <c r="E193" s="351"/>
      <c r="F193" s="351"/>
      <c r="G193" s="351"/>
      <c r="H193" s="351"/>
      <c r="I193" s="352" t="s">
        <v>357</v>
      </c>
      <c r="J193" s="352"/>
      <c r="K193" s="352"/>
      <c r="L193" s="352"/>
    </row>
    <row r="194" spans="1:16" s="5" customFormat="1" ht="15.75" x14ac:dyDescent="0.25">
      <c r="A194" s="1"/>
      <c r="B194" s="59"/>
      <c r="C194" s="59"/>
      <c r="D194" s="59"/>
      <c r="E194" s="60"/>
      <c r="F194" s="60"/>
      <c r="G194" s="60"/>
      <c r="H194" s="60"/>
      <c r="I194" s="35"/>
      <c r="J194" s="35"/>
      <c r="K194" s="35"/>
      <c r="L194" s="62"/>
    </row>
    <row r="195" spans="1:16" s="5" customFormat="1" ht="15.75" x14ac:dyDescent="0.25">
      <c r="A195" s="1"/>
      <c r="B195" s="50" t="s">
        <v>117</v>
      </c>
      <c r="C195" s="1"/>
      <c r="D195" s="1"/>
      <c r="E195" s="1"/>
      <c r="F195" s="1"/>
      <c r="G195" s="1"/>
      <c r="H195" s="1"/>
      <c r="I195" s="1"/>
      <c r="J195" s="1"/>
      <c r="K195" s="1"/>
      <c r="L195" s="115"/>
    </row>
    <row r="196" spans="1:16" s="5" customFormat="1" ht="20.25" x14ac:dyDescent="0.2">
      <c r="B196" s="326" t="s">
        <v>129</v>
      </c>
      <c r="C196" s="326"/>
      <c r="D196" s="326"/>
      <c r="E196" s="326"/>
      <c r="F196" s="326"/>
      <c r="G196" s="326"/>
      <c r="H196" s="326"/>
      <c r="I196" s="326"/>
      <c r="J196" s="326"/>
      <c r="K196" s="326"/>
      <c r="L196" s="327"/>
    </row>
    <row r="197" spans="1:16" s="5" customFormat="1" x14ac:dyDescent="0.2">
      <c r="A197" s="1"/>
      <c r="B197" s="328" t="s">
        <v>110</v>
      </c>
      <c r="C197" s="328"/>
      <c r="D197" s="328"/>
      <c r="E197" s="328"/>
      <c r="F197" s="329" t="s">
        <v>111</v>
      </c>
      <c r="G197" s="329"/>
      <c r="H197" s="329"/>
      <c r="I197" s="328" t="s">
        <v>112</v>
      </c>
      <c r="J197" s="328"/>
      <c r="K197" s="338" t="s">
        <v>113</v>
      </c>
      <c r="L197" s="339"/>
    </row>
    <row r="198" spans="1:16" s="5" customFormat="1" x14ac:dyDescent="0.2">
      <c r="A198" s="1"/>
      <c r="B198" s="328"/>
      <c r="C198" s="328"/>
      <c r="D198" s="328"/>
      <c r="E198" s="328"/>
      <c r="F198" s="329"/>
      <c r="G198" s="329"/>
      <c r="H198" s="329"/>
      <c r="I198" s="328"/>
      <c r="J198" s="328"/>
      <c r="K198" s="340"/>
      <c r="L198" s="341"/>
    </row>
    <row r="199" spans="1:16" s="5" customFormat="1" x14ac:dyDescent="0.2">
      <c r="A199" s="1"/>
      <c r="B199" s="330" t="str">
        <f>B129</f>
        <v>ÁREA INTERNA - PISOS FRIOS  - DIÁRIO</v>
      </c>
      <c r="C199" s="331"/>
      <c r="D199" s="331"/>
      <c r="E199" s="332"/>
      <c r="F199" s="333">
        <f>L132</f>
        <v>0</v>
      </c>
      <c r="G199" s="333"/>
      <c r="H199" s="333"/>
      <c r="I199" s="334">
        <v>1382.35</v>
      </c>
      <c r="J199" s="334"/>
      <c r="K199" s="335">
        <f t="shared" ref="K199:K209" si="2">F199*I199</f>
        <v>0</v>
      </c>
      <c r="L199" s="336"/>
      <c r="N199" s="130"/>
      <c r="P199" s="130"/>
    </row>
    <row r="200" spans="1:16" s="5" customFormat="1" x14ac:dyDescent="0.2">
      <c r="A200" s="1"/>
      <c r="B200" s="330" t="str">
        <f>B135</f>
        <v>ÁREA INTERNA - Laboratórios - SEMANAL</v>
      </c>
      <c r="C200" s="331"/>
      <c r="D200" s="331"/>
      <c r="E200" s="332"/>
      <c r="F200" s="333">
        <f>L138</f>
        <v>0</v>
      </c>
      <c r="G200" s="333"/>
      <c r="H200" s="333"/>
      <c r="I200" s="334">
        <v>93.75</v>
      </c>
      <c r="J200" s="334"/>
      <c r="K200" s="335">
        <f t="shared" si="2"/>
        <v>0</v>
      </c>
      <c r="L200" s="336"/>
      <c r="N200" s="130"/>
      <c r="P200" s="130"/>
    </row>
    <row r="201" spans="1:16" s="5" customFormat="1" x14ac:dyDescent="0.2">
      <c r="A201" s="1"/>
      <c r="B201" s="330" t="str">
        <f>B141</f>
        <v>ÁREA INTERNA - Almoxarifados/depósitos - QUINZENAL</v>
      </c>
      <c r="C201" s="331"/>
      <c r="D201" s="331"/>
      <c r="E201" s="332"/>
      <c r="F201" s="333">
        <f>L144</f>
        <v>0</v>
      </c>
      <c r="G201" s="333"/>
      <c r="H201" s="333"/>
      <c r="I201" s="334">
        <v>72.53</v>
      </c>
      <c r="J201" s="334"/>
      <c r="K201" s="335">
        <f t="shared" si="2"/>
        <v>0</v>
      </c>
      <c r="L201" s="336"/>
      <c r="N201" s="130"/>
      <c r="P201" s="130"/>
    </row>
    <row r="202" spans="1:16" s="5" customFormat="1" ht="27" customHeight="1" x14ac:dyDescent="0.2">
      <c r="A202" s="1"/>
      <c r="B202" s="330" t="str">
        <f>B147</f>
        <v>ÁREA INTERNA -  Áreas com espaços livres (sagão/hall) - DIÁRIO</v>
      </c>
      <c r="C202" s="331"/>
      <c r="D202" s="331"/>
      <c r="E202" s="332"/>
      <c r="F202" s="333">
        <f>L150</f>
        <v>0</v>
      </c>
      <c r="G202" s="333"/>
      <c r="H202" s="333"/>
      <c r="I202" s="334">
        <v>580.04999999999995</v>
      </c>
      <c r="J202" s="334"/>
      <c r="K202" s="335">
        <f t="shared" si="2"/>
        <v>0</v>
      </c>
      <c r="L202" s="336"/>
      <c r="N202" s="130"/>
      <c r="P202" s="130"/>
    </row>
    <row r="203" spans="1:16" s="5" customFormat="1" x14ac:dyDescent="0.2">
      <c r="A203" s="1"/>
      <c r="B203" s="330" t="str">
        <f>B153</f>
        <v>ÁREA INTERNA - BANHEIROS - DIÁRIOS</v>
      </c>
      <c r="C203" s="331"/>
      <c r="D203" s="331"/>
      <c r="E203" s="332"/>
      <c r="F203" s="333">
        <f>L156</f>
        <v>0</v>
      </c>
      <c r="G203" s="333"/>
      <c r="H203" s="333"/>
      <c r="I203" s="334">
        <v>131.41</v>
      </c>
      <c r="J203" s="334"/>
      <c r="K203" s="335">
        <f t="shared" si="2"/>
        <v>0</v>
      </c>
      <c r="L203" s="336"/>
      <c r="N203" s="130"/>
      <c r="P203" s="130"/>
    </row>
    <row r="204" spans="1:16" s="5" customFormat="1" ht="46.5" customHeight="1" x14ac:dyDescent="0.2">
      <c r="A204" s="1"/>
      <c r="B204" s="330" t="str">
        <f>B159</f>
        <v>ÁREA EXTERNA - PISOS PAVIMENTADOS ADJACENTES/CONTÍGUOS ÀS EDIFICAÇÕES - SEMANAL</v>
      </c>
      <c r="C204" s="331"/>
      <c r="D204" s="331"/>
      <c r="E204" s="332"/>
      <c r="F204" s="333">
        <f>L162</f>
        <v>0</v>
      </c>
      <c r="G204" s="333"/>
      <c r="H204" s="333"/>
      <c r="I204" s="334">
        <v>1074.82</v>
      </c>
      <c r="J204" s="334"/>
      <c r="K204" s="335">
        <f t="shared" si="2"/>
        <v>0</v>
      </c>
      <c r="L204" s="336"/>
      <c r="N204" s="131"/>
      <c r="P204" s="130"/>
    </row>
    <row r="205" spans="1:16" s="5" customFormat="1" ht="29.25" customHeight="1" x14ac:dyDescent="0.2">
      <c r="A205" s="1"/>
      <c r="B205" s="330" t="str">
        <f>B165</f>
        <v>ÁREA EXTERNA - Varrição de passeios e arruamentos - DIÁRIO</v>
      </c>
      <c r="C205" s="331"/>
      <c r="D205" s="331"/>
      <c r="E205" s="332"/>
      <c r="F205" s="335">
        <f>L168</f>
        <v>0</v>
      </c>
      <c r="G205" s="464"/>
      <c r="H205" s="336"/>
      <c r="I205" s="465">
        <v>362.53</v>
      </c>
      <c r="J205" s="466"/>
      <c r="K205" s="335">
        <f>F205*I205</f>
        <v>0</v>
      </c>
      <c r="L205" s="336"/>
      <c r="N205" s="131"/>
      <c r="P205" s="130"/>
    </row>
    <row r="206" spans="1:16" s="5" customFormat="1" ht="30" customHeight="1" x14ac:dyDescent="0.2">
      <c r="A206" s="1"/>
      <c r="B206" s="330" t="str">
        <f>B171</f>
        <v>ÁREA EXTERNA - Pátios e áreas verdes com alta frequência - SEMANAL</v>
      </c>
      <c r="C206" s="331"/>
      <c r="D206" s="331"/>
      <c r="E206" s="332"/>
      <c r="F206" s="335">
        <f>L174</f>
        <v>0</v>
      </c>
      <c r="G206" s="464"/>
      <c r="H206" s="336"/>
      <c r="I206" s="465">
        <v>57</v>
      </c>
      <c r="J206" s="466"/>
      <c r="K206" s="335">
        <f>F206*I206</f>
        <v>0</v>
      </c>
      <c r="L206" s="336"/>
      <c r="N206" s="131"/>
      <c r="P206" s="130"/>
    </row>
    <row r="207" spans="1:16" s="5" customFormat="1" ht="30" customHeight="1" x14ac:dyDescent="0.2">
      <c r="A207" s="1"/>
      <c r="B207" s="330" t="str">
        <f>B177</f>
        <v>ÁREA EXTERNA - Pátios e áreas verdes com baixa frequência - SEMANAL</v>
      </c>
      <c r="C207" s="331"/>
      <c r="D207" s="331"/>
      <c r="E207" s="332"/>
      <c r="F207" s="335">
        <f>L180</f>
        <v>0</v>
      </c>
      <c r="G207" s="464"/>
      <c r="H207" s="336"/>
      <c r="I207" s="465">
        <v>0</v>
      </c>
      <c r="J207" s="466"/>
      <c r="K207" s="335">
        <f>F207*I207</f>
        <v>0</v>
      </c>
      <c r="L207" s="336"/>
      <c r="N207" s="131"/>
      <c r="P207" s="130"/>
    </row>
    <row r="208" spans="1:16" s="5" customFormat="1" ht="30" customHeight="1" x14ac:dyDescent="0.2">
      <c r="A208" s="1"/>
      <c r="B208" s="330" t="str">
        <f>B183</f>
        <v>ÁREA EXTERNA - Face externa sem exposição de situação de risco - BIMESTRAL</v>
      </c>
      <c r="C208" s="331"/>
      <c r="D208" s="331"/>
      <c r="E208" s="332"/>
      <c r="F208" s="335">
        <f>L186</f>
        <v>0</v>
      </c>
      <c r="G208" s="464"/>
      <c r="H208" s="336"/>
      <c r="I208" s="465">
        <v>0</v>
      </c>
      <c r="J208" s="466"/>
      <c r="K208" s="335">
        <f>F208*I208</f>
        <v>0</v>
      </c>
      <c r="L208" s="336"/>
      <c r="N208" s="131"/>
      <c r="P208" s="130"/>
    </row>
    <row r="209" spans="1:32" s="5" customFormat="1" ht="30" customHeight="1" x14ac:dyDescent="0.2">
      <c r="A209" s="1"/>
      <c r="B209" s="337" t="str">
        <f>B189</f>
        <v>ÁREA EXTERNA - Fachadas envidraçadas - SEMESTRAL</v>
      </c>
      <c r="C209" s="337"/>
      <c r="D209" s="337"/>
      <c r="E209" s="337"/>
      <c r="F209" s="333">
        <f>L192</f>
        <v>0</v>
      </c>
      <c r="G209" s="333"/>
      <c r="H209" s="333"/>
      <c r="I209" s="334">
        <v>1519.39</v>
      </c>
      <c r="J209" s="334"/>
      <c r="K209" s="335">
        <f t="shared" si="2"/>
        <v>0</v>
      </c>
      <c r="L209" s="336"/>
      <c r="N209" s="131"/>
      <c r="P209" s="131"/>
    </row>
    <row r="210" spans="1:32" s="5" customFormat="1" ht="16.5" thickBot="1" x14ac:dyDescent="0.25">
      <c r="A210" s="1"/>
      <c r="B210" s="1"/>
      <c r="C210" s="1"/>
      <c r="D210" s="1"/>
      <c r="E210" s="1" t="s">
        <v>367</v>
      </c>
      <c r="F210" s="480">
        <f>SUM(I199:J209)</f>
        <v>5273.83</v>
      </c>
      <c r="G210" s="481"/>
      <c r="H210" s="482"/>
      <c r="I210" s="318" t="s">
        <v>157</v>
      </c>
      <c r="J210" s="319"/>
      <c r="K210" s="320">
        <f>SUM(K199:L209)</f>
        <v>0</v>
      </c>
      <c r="L210" s="321"/>
      <c r="N210" s="132"/>
      <c r="P210" s="132"/>
    </row>
    <row r="211" spans="1:32" s="5" customFormat="1" ht="16.5" thickBot="1" x14ac:dyDescent="0.25">
      <c r="A211" s="1"/>
      <c r="B211" s="1"/>
      <c r="C211" s="1"/>
      <c r="D211" s="1"/>
      <c r="E211" s="1"/>
      <c r="F211" s="1"/>
      <c r="G211" s="1"/>
      <c r="H211" s="1"/>
      <c r="I211" s="322" t="s">
        <v>114</v>
      </c>
      <c r="J211" s="323"/>
      <c r="K211" s="324">
        <f>SUM(K210*12)</f>
        <v>0</v>
      </c>
      <c r="L211" s="325"/>
      <c r="M211" s="2"/>
      <c r="N211" s="73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</row>
    <row r="212" spans="1:32" s="5" customFormat="1" x14ac:dyDescent="0.2">
      <c r="A21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</row>
    <row r="213" spans="1:32" s="5" customFormat="1" x14ac:dyDescent="0.2">
      <c r="A213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</row>
    <row r="214" spans="1:32" s="5" customFormat="1" x14ac:dyDescent="0.2">
      <c r="A214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</row>
    <row r="215" spans="1:32" s="5" customFormat="1" x14ac:dyDescent="0.2">
      <c r="A215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</row>
    <row r="216" spans="1:32" s="5" customFormat="1" x14ac:dyDescent="0.2">
      <c r="A216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</row>
    <row r="217" spans="1:32" s="5" customFormat="1" x14ac:dyDescent="0.2">
      <c r="A217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</row>
    <row r="218" spans="1:32" s="5" customFormat="1" x14ac:dyDescent="0.2">
      <c r="A218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</row>
    <row r="219" spans="1:32" s="5" customFormat="1" x14ac:dyDescent="0.2">
      <c r="A219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</row>
    <row r="220" spans="1:32" s="5" customFormat="1" x14ac:dyDescent="0.2">
      <c r="A220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</row>
    <row r="221" spans="1:32" s="5" customFormat="1" x14ac:dyDescent="0.2">
      <c r="A221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</row>
    <row r="222" spans="1:32" s="5" customFormat="1" x14ac:dyDescent="0.2">
      <c r="A22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</row>
    <row r="223" spans="1:32" s="5" customFormat="1" x14ac:dyDescent="0.2">
      <c r="A223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</row>
    <row r="224" spans="1:32" s="5" customFormat="1" x14ac:dyDescent="0.2">
      <c r="A224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</row>
    <row r="225" spans="1:32" s="5" customFormat="1" x14ac:dyDescent="0.2">
      <c r="A225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</row>
    <row r="226" spans="1:32" s="5" customFormat="1" x14ac:dyDescent="0.2">
      <c r="A226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</row>
    <row r="227" spans="1:32" s="5" customFormat="1" x14ac:dyDescent="0.2">
      <c r="A227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</row>
    <row r="228" spans="1:32" s="5" customFormat="1" x14ac:dyDescent="0.2">
      <c r="A228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</row>
    <row r="229" spans="1:32" s="5" customFormat="1" x14ac:dyDescent="0.2">
      <c r="A229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</row>
    <row r="230" spans="1:32" s="5" customFormat="1" x14ac:dyDescent="0.2">
      <c r="A230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</row>
    <row r="231" spans="1:32" s="5" customFormat="1" x14ac:dyDescent="0.2">
      <c r="A231"/>
      <c r="L231" s="1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</row>
    <row r="232" spans="1:32" s="5" customFormat="1" x14ac:dyDescent="0.2">
      <c r="A23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</row>
    <row r="233" spans="1:32" s="5" customFormat="1" x14ac:dyDescent="0.2">
      <c r="A233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</row>
    <row r="234" spans="1:32" s="5" customFormat="1" x14ac:dyDescent="0.2">
      <c r="A234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</row>
    <row r="235" spans="1:32" s="5" customFormat="1" x14ac:dyDescent="0.2">
      <c r="A235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</row>
    <row r="236" spans="1:32" s="5" customFormat="1" x14ac:dyDescent="0.2">
      <c r="A236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</row>
    <row r="237" spans="1:32" s="5" customFormat="1" x14ac:dyDescent="0.2">
      <c r="A237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</row>
    <row r="238" spans="1:32" s="5" customFormat="1" x14ac:dyDescent="0.2">
      <c r="A238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</row>
    <row r="239" spans="1:32" s="5" customFormat="1" ht="24.95" customHeight="1" x14ac:dyDescent="0.2">
      <c r="A239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</row>
    <row r="240" spans="1:32" s="5" customFormat="1" ht="24.95" customHeight="1" x14ac:dyDescent="0.2">
      <c r="A240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</row>
    <row r="241" spans="1:32" s="5" customFormat="1" ht="24.95" customHeight="1" x14ac:dyDescent="0.2">
      <c r="A24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</row>
    <row r="242" spans="1:32" s="5" customFormat="1" ht="24.95" customHeight="1" x14ac:dyDescent="0.2">
      <c r="A24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</row>
    <row r="243" spans="1:32" s="5" customFormat="1" ht="24.95" customHeight="1" x14ac:dyDescent="0.2">
      <c r="A243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</row>
    <row r="244" spans="1:32" s="5" customFormat="1" ht="24.95" customHeight="1" x14ac:dyDescent="0.2">
      <c r="A244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</row>
    <row r="245" spans="1:32" s="5" customFormat="1" ht="24.95" customHeight="1" x14ac:dyDescent="0.2">
      <c r="A245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</row>
    <row r="246" spans="1:32" s="2" customFormat="1" ht="24.95" customHeight="1" x14ac:dyDescent="0.2">
      <c r="A246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32" s="2" customFormat="1" ht="24.95" customHeight="1" x14ac:dyDescent="0.2">
      <c r="A247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32" s="2" customFormat="1" x14ac:dyDescent="0.2">
      <c r="A248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32" s="2" customFormat="1" x14ac:dyDescent="0.2">
      <c r="A249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32" s="2" customFormat="1" x14ac:dyDescent="0.2">
      <c r="A250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32" s="2" customFormat="1" x14ac:dyDescent="0.2">
      <c r="A25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32" s="2" customFormat="1" x14ac:dyDescent="0.2">
      <c r="A25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32" s="2" customFormat="1" x14ac:dyDescent="0.2">
      <c r="A253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32" s="2" customFormat="1" x14ac:dyDescent="0.2">
      <c r="A254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32" s="2" customFormat="1" x14ac:dyDescent="0.2">
      <c r="A255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32" s="2" customFormat="1" x14ac:dyDescent="0.2">
      <c r="A256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s="2" customFormat="1" x14ac:dyDescent="0.2">
      <c r="A257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s="2" customFormat="1" x14ac:dyDescent="0.2">
      <c r="A258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s="2" customFormat="1" x14ac:dyDescent="0.2">
      <c r="A259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s="2" customFormat="1" x14ac:dyDescent="0.2">
      <c r="A260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s="2" customFormat="1" x14ac:dyDescent="0.2">
      <c r="A26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s="2" customFormat="1" x14ac:dyDescent="0.2">
      <c r="A26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s="2" customFormat="1" x14ac:dyDescent="0.2">
      <c r="A263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s="2" customFormat="1" x14ac:dyDescent="0.2">
      <c r="A264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s="2" customFormat="1" x14ac:dyDescent="0.2">
      <c r="A265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s="2" customFormat="1" x14ac:dyDescent="0.2">
      <c r="A266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</sheetData>
  <sheetProtection selectLockedCells="1" selectUnlockedCells="1"/>
  <mergeCells count="291">
    <mergeCell ref="I187:L187"/>
    <mergeCell ref="K205:L205"/>
    <mergeCell ref="K206:L206"/>
    <mergeCell ref="F210:H210"/>
    <mergeCell ref="I181:L181"/>
    <mergeCell ref="B183:L183"/>
    <mergeCell ref="B184:D185"/>
    <mergeCell ref="E184:H184"/>
    <mergeCell ref="I184:K184"/>
    <mergeCell ref="E185:H185"/>
    <mergeCell ref="I185:K185"/>
    <mergeCell ref="B186:D186"/>
    <mergeCell ref="E186:H186"/>
    <mergeCell ref="I186:K186"/>
    <mergeCell ref="I207:J207"/>
    <mergeCell ref="F207:H207"/>
    <mergeCell ref="B207:E207"/>
    <mergeCell ref="I208:J208"/>
    <mergeCell ref="F208:H208"/>
    <mergeCell ref="B208:E208"/>
    <mergeCell ref="K207:L207"/>
    <mergeCell ref="K208:L208"/>
    <mergeCell ref="B205:E205"/>
    <mergeCell ref="B206:E206"/>
    <mergeCell ref="F205:H205"/>
    <mergeCell ref="F206:H206"/>
    <mergeCell ref="I205:J205"/>
    <mergeCell ref="I206:J206"/>
    <mergeCell ref="B8:L8"/>
    <mergeCell ref="B10:L10"/>
    <mergeCell ref="C11:K11"/>
    <mergeCell ref="C12:K12"/>
    <mergeCell ref="C13:K13"/>
    <mergeCell ref="C14:K14"/>
    <mergeCell ref="B22:L22"/>
    <mergeCell ref="B24:L24"/>
    <mergeCell ref="B30:L30"/>
    <mergeCell ref="C31:H31"/>
    <mergeCell ref="C32:H32"/>
    <mergeCell ref="C33:H33"/>
    <mergeCell ref="C34:H34"/>
    <mergeCell ref="C35:H35"/>
    <mergeCell ref="C25:K25"/>
    <mergeCell ref="C26:K26"/>
    <mergeCell ref="C28:K28"/>
    <mergeCell ref="C29:K29"/>
    <mergeCell ref="C43:J43"/>
    <mergeCell ref="B44:K44"/>
    <mergeCell ref="B1:L1"/>
    <mergeCell ref="B2:L2"/>
    <mergeCell ref="B3:L3"/>
    <mergeCell ref="B5:D5"/>
    <mergeCell ref="E5:L5"/>
    <mergeCell ref="B6:D6"/>
    <mergeCell ref="E6:L6"/>
    <mergeCell ref="B20:L20"/>
    <mergeCell ref="B21:L21"/>
    <mergeCell ref="B15:L15"/>
    <mergeCell ref="B17:L17"/>
    <mergeCell ref="C18:G18"/>
    <mergeCell ref="H18:J18"/>
    <mergeCell ref="K18:L18"/>
    <mergeCell ref="C19:G19"/>
    <mergeCell ref="H19:J19"/>
    <mergeCell ref="K19:L19"/>
    <mergeCell ref="B4:L4"/>
    <mergeCell ref="C47:J47"/>
    <mergeCell ref="C36:H36"/>
    <mergeCell ref="C37:H37"/>
    <mergeCell ref="B38:K38"/>
    <mergeCell ref="B39:L39"/>
    <mergeCell ref="C41:H41"/>
    <mergeCell ref="C42:J42"/>
    <mergeCell ref="C54:J54"/>
    <mergeCell ref="C55:J55"/>
    <mergeCell ref="B56:J56"/>
    <mergeCell ref="C48:J48"/>
    <mergeCell ref="C49:J49"/>
    <mergeCell ref="C50:J50"/>
    <mergeCell ref="C51:J51"/>
    <mergeCell ref="C52:J52"/>
    <mergeCell ref="C53:J53"/>
    <mergeCell ref="B64:L64"/>
    <mergeCell ref="C65:K65"/>
    <mergeCell ref="C66:K66"/>
    <mergeCell ref="C67:K67"/>
    <mergeCell ref="C58:G58"/>
    <mergeCell ref="C59:G59"/>
    <mergeCell ref="C60:G60"/>
    <mergeCell ref="C61:G61"/>
    <mergeCell ref="C62:G62"/>
    <mergeCell ref="B63:K63"/>
    <mergeCell ref="C76:J76"/>
    <mergeCell ref="B78:J78"/>
    <mergeCell ref="B79:L79"/>
    <mergeCell ref="C81:J81"/>
    <mergeCell ref="C82:J82"/>
    <mergeCell ref="C68:K68"/>
    <mergeCell ref="B69:K69"/>
    <mergeCell ref="B70:L70"/>
    <mergeCell ref="C72:J72"/>
    <mergeCell ref="C73:J73"/>
    <mergeCell ref="C75:J75"/>
    <mergeCell ref="C95:K95"/>
    <mergeCell ref="B96:K96"/>
    <mergeCell ref="B97:L97"/>
    <mergeCell ref="C98:G98"/>
    <mergeCell ref="H98:I98"/>
    <mergeCell ref="C99:G99"/>
    <mergeCell ref="H99:I99"/>
    <mergeCell ref="B88:K88"/>
    <mergeCell ref="C90:J90"/>
    <mergeCell ref="C91:J91"/>
    <mergeCell ref="B92:L92"/>
    <mergeCell ref="C93:G93"/>
    <mergeCell ref="C94:K94"/>
    <mergeCell ref="C102:G102"/>
    <mergeCell ref="H102:I102"/>
    <mergeCell ref="B103:K103"/>
    <mergeCell ref="B104:L104"/>
    <mergeCell ref="C105:J105"/>
    <mergeCell ref="N99:Q99"/>
    <mergeCell ref="C100:G100"/>
    <mergeCell ref="H100:I100"/>
    <mergeCell ref="N100:Q100"/>
    <mergeCell ref="C101:G101"/>
    <mergeCell ref="H101:I101"/>
    <mergeCell ref="N101:Q101"/>
    <mergeCell ref="C118:K118"/>
    <mergeCell ref="C119:K119"/>
    <mergeCell ref="C120:K120"/>
    <mergeCell ref="C121:K121"/>
    <mergeCell ref="C122:J122"/>
    <mergeCell ref="C123:K123"/>
    <mergeCell ref="B114:K114"/>
    <mergeCell ref="B115:L115"/>
    <mergeCell ref="C117:K117"/>
    <mergeCell ref="B132:D132"/>
    <mergeCell ref="E132:H132"/>
    <mergeCell ref="I132:K132"/>
    <mergeCell ref="B133:H133"/>
    <mergeCell ref="I133:L133"/>
    <mergeCell ref="B135:L135"/>
    <mergeCell ref="C124:J124"/>
    <mergeCell ref="B125:L125"/>
    <mergeCell ref="B127:L127"/>
    <mergeCell ref="B129:L129"/>
    <mergeCell ref="B130:D131"/>
    <mergeCell ref="E130:H130"/>
    <mergeCell ref="I130:K130"/>
    <mergeCell ref="E131:H131"/>
    <mergeCell ref="I131:K131"/>
    <mergeCell ref="B139:H139"/>
    <mergeCell ref="I139:L139"/>
    <mergeCell ref="B141:L141"/>
    <mergeCell ref="B142:D143"/>
    <mergeCell ref="E142:H142"/>
    <mergeCell ref="I142:K142"/>
    <mergeCell ref="E143:H143"/>
    <mergeCell ref="I143:K143"/>
    <mergeCell ref="B136:D137"/>
    <mergeCell ref="E136:H136"/>
    <mergeCell ref="I136:K136"/>
    <mergeCell ref="E137:H137"/>
    <mergeCell ref="I137:K137"/>
    <mergeCell ref="B138:D138"/>
    <mergeCell ref="E138:H138"/>
    <mergeCell ref="I138:K138"/>
    <mergeCell ref="B148:D149"/>
    <mergeCell ref="E148:H148"/>
    <mergeCell ref="I148:K148"/>
    <mergeCell ref="E149:H149"/>
    <mergeCell ref="I149:K149"/>
    <mergeCell ref="B150:D150"/>
    <mergeCell ref="E150:H150"/>
    <mergeCell ref="I150:K150"/>
    <mergeCell ref="B144:D144"/>
    <mergeCell ref="E144:H144"/>
    <mergeCell ref="I144:K144"/>
    <mergeCell ref="B145:H145"/>
    <mergeCell ref="I145:L145"/>
    <mergeCell ref="B147:L147"/>
    <mergeCell ref="B156:D156"/>
    <mergeCell ref="E156:H156"/>
    <mergeCell ref="I156:K156"/>
    <mergeCell ref="B157:H157"/>
    <mergeCell ref="I157:L157"/>
    <mergeCell ref="B159:L159"/>
    <mergeCell ref="B151:H151"/>
    <mergeCell ref="I151:L151"/>
    <mergeCell ref="B153:L153"/>
    <mergeCell ref="B154:D155"/>
    <mergeCell ref="E154:H154"/>
    <mergeCell ref="I154:K154"/>
    <mergeCell ref="E155:H155"/>
    <mergeCell ref="I155:K155"/>
    <mergeCell ref="B163:H163"/>
    <mergeCell ref="I163:L163"/>
    <mergeCell ref="B165:L165"/>
    <mergeCell ref="B166:D167"/>
    <mergeCell ref="E166:H166"/>
    <mergeCell ref="I166:K166"/>
    <mergeCell ref="E167:H167"/>
    <mergeCell ref="I167:K167"/>
    <mergeCell ref="B160:D161"/>
    <mergeCell ref="E160:H160"/>
    <mergeCell ref="I160:K160"/>
    <mergeCell ref="E161:H161"/>
    <mergeCell ref="I161:K161"/>
    <mergeCell ref="B162:D162"/>
    <mergeCell ref="E162:H162"/>
    <mergeCell ref="I162:K162"/>
    <mergeCell ref="B172:D173"/>
    <mergeCell ref="E172:H172"/>
    <mergeCell ref="I172:K172"/>
    <mergeCell ref="E173:H173"/>
    <mergeCell ref="I173:K173"/>
    <mergeCell ref="B174:D174"/>
    <mergeCell ref="E174:H174"/>
    <mergeCell ref="I174:K174"/>
    <mergeCell ref="B168:D168"/>
    <mergeCell ref="E168:H168"/>
    <mergeCell ref="I168:K168"/>
    <mergeCell ref="B169:H169"/>
    <mergeCell ref="I169:L169"/>
    <mergeCell ref="B171:L171"/>
    <mergeCell ref="B192:D192"/>
    <mergeCell ref="E192:H192"/>
    <mergeCell ref="I192:K192"/>
    <mergeCell ref="B193:H193"/>
    <mergeCell ref="I193:L193"/>
    <mergeCell ref="B175:H175"/>
    <mergeCell ref="I175:L175"/>
    <mergeCell ref="B189:L189"/>
    <mergeCell ref="B190:D191"/>
    <mergeCell ref="E190:H190"/>
    <mergeCell ref="I190:K190"/>
    <mergeCell ref="E191:H191"/>
    <mergeCell ref="I191:K191"/>
    <mergeCell ref="B177:L177"/>
    <mergeCell ref="B178:D179"/>
    <mergeCell ref="E178:H178"/>
    <mergeCell ref="I178:K178"/>
    <mergeCell ref="E179:H179"/>
    <mergeCell ref="I179:K179"/>
    <mergeCell ref="B180:D180"/>
    <mergeCell ref="E180:H180"/>
    <mergeCell ref="I180:K180"/>
    <mergeCell ref="B181:H181"/>
    <mergeCell ref="B187:H187"/>
    <mergeCell ref="I199:J199"/>
    <mergeCell ref="K199:L199"/>
    <mergeCell ref="K197:L198"/>
    <mergeCell ref="I202:J202"/>
    <mergeCell ref="K202:L202"/>
    <mergeCell ref="B203:E203"/>
    <mergeCell ref="F203:H203"/>
    <mergeCell ref="I203:J203"/>
    <mergeCell ref="K203:L203"/>
    <mergeCell ref="B200:E200"/>
    <mergeCell ref="F200:H200"/>
    <mergeCell ref="I200:J200"/>
    <mergeCell ref="K200:L200"/>
    <mergeCell ref="B201:E201"/>
    <mergeCell ref="F201:H201"/>
    <mergeCell ref="I201:J201"/>
    <mergeCell ref="K201:L201"/>
    <mergeCell ref="B109:G109"/>
    <mergeCell ref="H109:K109"/>
    <mergeCell ref="C110:I110"/>
    <mergeCell ref="B106:K106"/>
    <mergeCell ref="I210:J210"/>
    <mergeCell ref="K210:L210"/>
    <mergeCell ref="I211:J211"/>
    <mergeCell ref="K211:L211"/>
    <mergeCell ref="B196:L196"/>
    <mergeCell ref="B197:E198"/>
    <mergeCell ref="F197:H198"/>
    <mergeCell ref="I197:J198"/>
    <mergeCell ref="B204:E204"/>
    <mergeCell ref="F204:H204"/>
    <mergeCell ref="I204:J204"/>
    <mergeCell ref="K204:L204"/>
    <mergeCell ref="B209:E209"/>
    <mergeCell ref="F209:H209"/>
    <mergeCell ref="I209:J209"/>
    <mergeCell ref="K209:L209"/>
    <mergeCell ref="B202:E202"/>
    <mergeCell ref="F202:H202"/>
    <mergeCell ref="B199:E199"/>
    <mergeCell ref="F199:H199"/>
  </mergeCells>
  <pageMargins left="0.44027777777777777" right="0.37986111111111109" top="0.15972222222222221" bottom="0.35416666666666669" header="0.51180555555555551" footer="0.51180555555555551"/>
  <pageSetup paperSize="9" scale="38" firstPageNumber="0" orientation="portrait" horizontalDpi="300" verticalDpi="300" r:id="rId1"/>
  <headerFooter alignWithMargins="0"/>
  <rowBreaks count="2" manualBreakCount="2">
    <brk id="103" min="1" max="11" man="1"/>
    <brk id="159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54A1EF-E0E7-4AD0-A420-723464142551}">
  <sheetPr>
    <tabColor indexed="10"/>
  </sheetPr>
  <dimension ref="A1:AF266"/>
  <sheetViews>
    <sheetView showGridLines="0" tabSelected="1" view="pageBreakPreview" topLeftCell="A15" zoomScale="75" zoomScaleNormal="75" zoomScaleSheetLayoutView="75" workbookViewId="0">
      <selection activeCell="L192" sqref="L192"/>
    </sheetView>
  </sheetViews>
  <sheetFormatPr defaultColWidth="11.42578125" defaultRowHeight="15" x14ac:dyDescent="0.2"/>
  <cols>
    <col min="1" max="1" width="18.5703125" customWidth="1"/>
    <col min="2" max="2" width="7.7109375" style="1" customWidth="1"/>
    <col min="3" max="3" width="13.42578125" style="1" customWidth="1"/>
    <col min="4" max="4" width="9.140625" style="1" customWidth="1"/>
    <col min="5" max="5" width="23.28515625" style="1" customWidth="1"/>
    <col min="6" max="6" width="14.85546875" style="1" customWidth="1"/>
    <col min="7" max="7" width="12.5703125" style="1" customWidth="1"/>
    <col min="8" max="8" width="17.140625" style="1" customWidth="1"/>
    <col min="9" max="9" width="8.28515625" style="1" customWidth="1"/>
    <col min="10" max="11" width="16.5703125" style="1" customWidth="1"/>
    <col min="12" max="12" width="24.28515625" style="1" customWidth="1"/>
    <col min="13" max="13" width="3.7109375" style="2" customWidth="1"/>
    <col min="14" max="14" width="17.140625" style="2" customWidth="1"/>
    <col min="15" max="15" width="11" style="2" bestFit="1" customWidth="1"/>
    <col min="16" max="16" width="8.5703125" style="2" bestFit="1" customWidth="1"/>
    <col min="17" max="17" width="9.42578125" style="2" customWidth="1"/>
    <col min="18" max="18" width="11.42578125" style="2"/>
    <col min="19" max="19" width="11.42578125" style="2" bestFit="1" customWidth="1"/>
    <col min="20" max="21" width="9.140625" style="2" customWidth="1"/>
    <col min="22" max="32" width="11.42578125" style="2"/>
  </cols>
  <sheetData>
    <row r="1" spans="2:12" s="76" customFormat="1" ht="96" customHeight="1" x14ac:dyDescent="0.2">
      <c r="B1" s="442" t="s">
        <v>189</v>
      </c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2:12" ht="37.5" customHeight="1" x14ac:dyDescent="0.2">
      <c r="B2" s="443" t="s">
        <v>146</v>
      </c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2:12" ht="13.5" customHeight="1" thickBot="1" x14ac:dyDescent="0.3">
      <c r="B3" s="444" t="s">
        <v>66</v>
      </c>
      <c r="C3" s="444"/>
      <c r="D3" s="444"/>
      <c r="E3" s="444"/>
      <c r="F3" s="444"/>
      <c r="G3" s="444"/>
      <c r="H3" s="444"/>
      <c r="I3" s="444"/>
      <c r="J3" s="444"/>
      <c r="K3" s="444"/>
      <c r="L3" s="444"/>
    </row>
    <row r="4" spans="2:12" ht="20.25" customHeight="1" thickBot="1" x14ac:dyDescent="0.3">
      <c r="B4" s="461" t="s">
        <v>400</v>
      </c>
      <c r="C4" s="462"/>
      <c r="D4" s="462"/>
      <c r="E4" s="462"/>
      <c r="F4" s="462"/>
      <c r="G4" s="462"/>
      <c r="H4" s="462"/>
      <c r="I4" s="462"/>
      <c r="J4" s="462"/>
      <c r="K4" s="462"/>
      <c r="L4" s="463"/>
    </row>
    <row r="5" spans="2:12" ht="21" customHeight="1" thickBot="1" x14ac:dyDescent="0.25">
      <c r="B5" s="483" t="s">
        <v>0</v>
      </c>
      <c r="C5" s="483"/>
      <c r="D5" s="483"/>
      <c r="E5" s="484" t="s">
        <v>398</v>
      </c>
      <c r="F5" s="484"/>
      <c r="G5" s="484"/>
      <c r="H5" s="484"/>
      <c r="I5" s="484"/>
      <c r="J5" s="484"/>
      <c r="K5" s="484"/>
      <c r="L5" s="484"/>
    </row>
    <row r="6" spans="2:12" ht="20.25" customHeight="1" thickBot="1" x14ac:dyDescent="0.25">
      <c r="B6" s="447" t="s">
        <v>1</v>
      </c>
      <c r="C6" s="447"/>
      <c r="D6" s="447"/>
      <c r="E6" s="448" t="s">
        <v>190</v>
      </c>
      <c r="F6" s="448"/>
      <c r="G6" s="448"/>
      <c r="H6" s="448"/>
      <c r="I6" s="448"/>
      <c r="J6" s="448"/>
      <c r="K6" s="448"/>
      <c r="L6" s="449"/>
    </row>
    <row r="7" spans="2:12" ht="13.5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2:12" ht="21" customHeight="1" x14ac:dyDescent="0.3">
      <c r="B8" s="467" t="s">
        <v>2</v>
      </c>
      <c r="C8" s="467"/>
      <c r="D8" s="467"/>
      <c r="E8" s="467"/>
      <c r="F8" s="467"/>
      <c r="G8" s="467"/>
      <c r="H8" s="467"/>
      <c r="I8" s="467"/>
      <c r="J8" s="467"/>
      <c r="K8" s="467"/>
      <c r="L8" s="467"/>
    </row>
    <row r="9" spans="2:12" x14ac:dyDescent="0.2"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2:12" ht="16.5" thickBot="1" x14ac:dyDescent="0.3">
      <c r="B10" s="453" t="s">
        <v>37</v>
      </c>
      <c r="C10" s="453"/>
      <c r="D10" s="453"/>
      <c r="E10" s="453"/>
      <c r="F10" s="453"/>
      <c r="G10" s="453"/>
      <c r="H10" s="453"/>
      <c r="I10" s="453"/>
      <c r="J10" s="453"/>
      <c r="K10" s="453"/>
      <c r="L10" s="453"/>
    </row>
    <row r="11" spans="2:12" ht="20.25" customHeight="1" thickBot="1" x14ac:dyDescent="0.25">
      <c r="B11" s="4" t="s">
        <v>3</v>
      </c>
      <c r="C11" s="420" t="s">
        <v>4</v>
      </c>
      <c r="D11" s="420"/>
      <c r="E11" s="420"/>
      <c r="F11" s="420"/>
      <c r="G11" s="420"/>
      <c r="H11" s="420"/>
      <c r="I11" s="420"/>
      <c r="J11" s="420"/>
      <c r="K11" s="420"/>
      <c r="L11" s="303"/>
    </row>
    <row r="12" spans="2:12" ht="33" customHeight="1" thickBot="1" x14ac:dyDescent="0.25">
      <c r="B12" s="11" t="s">
        <v>5</v>
      </c>
      <c r="C12" s="468" t="s">
        <v>6</v>
      </c>
      <c r="D12" s="468"/>
      <c r="E12" s="468"/>
      <c r="F12" s="468"/>
      <c r="G12" s="468"/>
      <c r="H12" s="468"/>
      <c r="I12" s="468"/>
      <c r="J12" s="468"/>
      <c r="K12" s="468"/>
      <c r="L12" s="124" t="s">
        <v>156</v>
      </c>
    </row>
    <row r="13" spans="2:12" ht="20.25" customHeight="1" thickBot="1" x14ac:dyDescent="0.25">
      <c r="B13" s="4" t="s">
        <v>7</v>
      </c>
      <c r="C13" s="420" t="s">
        <v>36</v>
      </c>
      <c r="D13" s="420"/>
      <c r="E13" s="420"/>
      <c r="F13" s="420"/>
      <c r="G13" s="420"/>
      <c r="H13" s="420"/>
      <c r="I13" s="420"/>
      <c r="J13" s="420"/>
      <c r="K13" s="420"/>
      <c r="L13" s="113" t="s">
        <v>193</v>
      </c>
    </row>
    <row r="14" spans="2:12" ht="20.25" customHeight="1" thickBot="1" x14ac:dyDescent="0.25">
      <c r="B14" s="4" t="s">
        <v>22</v>
      </c>
      <c r="C14" s="420" t="s">
        <v>11</v>
      </c>
      <c r="D14" s="420"/>
      <c r="E14" s="420"/>
      <c r="F14" s="420"/>
      <c r="G14" s="420"/>
      <c r="H14" s="420"/>
      <c r="I14" s="420"/>
      <c r="J14" s="420"/>
      <c r="K14" s="420"/>
      <c r="L14" s="114">
        <v>12</v>
      </c>
    </row>
    <row r="15" spans="2:12" ht="15" customHeight="1" x14ac:dyDescent="0.2">
      <c r="B15" s="451"/>
      <c r="C15" s="452"/>
      <c r="D15" s="452"/>
      <c r="E15" s="452"/>
      <c r="F15" s="452"/>
      <c r="G15" s="452"/>
      <c r="H15" s="452"/>
      <c r="I15" s="452"/>
      <c r="J15" s="452"/>
      <c r="K15" s="452"/>
      <c r="L15" s="452"/>
    </row>
    <row r="16" spans="2:12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2:13" ht="20.25" customHeight="1" thickBot="1" x14ac:dyDescent="0.3">
      <c r="B17" s="453" t="s">
        <v>38</v>
      </c>
      <c r="C17" s="453"/>
      <c r="D17" s="453"/>
      <c r="E17" s="453"/>
      <c r="F17" s="453"/>
      <c r="G17" s="453"/>
      <c r="H17" s="453"/>
      <c r="I17" s="453"/>
      <c r="J17" s="453"/>
      <c r="K17" s="454"/>
      <c r="L17" s="454"/>
    </row>
    <row r="18" spans="2:13" ht="35.25" customHeight="1" thickBot="1" x14ac:dyDescent="0.25">
      <c r="B18" s="78">
        <v>1</v>
      </c>
      <c r="C18" s="417" t="s">
        <v>86</v>
      </c>
      <c r="D18" s="455"/>
      <c r="E18" s="455"/>
      <c r="F18" s="455"/>
      <c r="G18" s="418"/>
      <c r="H18" s="417" t="s">
        <v>87</v>
      </c>
      <c r="I18" s="455"/>
      <c r="J18" s="455"/>
      <c r="K18" s="456" t="s">
        <v>124</v>
      </c>
      <c r="L18" s="457"/>
    </row>
    <row r="19" spans="2:13" ht="21" customHeight="1" thickBot="1" x14ac:dyDescent="0.25">
      <c r="B19" s="8" t="s">
        <v>3</v>
      </c>
      <c r="C19" s="311" t="s">
        <v>139</v>
      </c>
      <c r="D19" s="312"/>
      <c r="E19" s="312"/>
      <c r="F19" s="312"/>
      <c r="G19" s="458"/>
      <c r="H19" s="311" t="s">
        <v>194</v>
      </c>
      <c r="I19" s="312"/>
      <c r="J19" s="312"/>
      <c r="K19" s="485" t="s">
        <v>370</v>
      </c>
      <c r="L19" s="486"/>
    </row>
    <row r="20" spans="2:13" ht="21.75" customHeight="1" x14ac:dyDescent="0.2">
      <c r="B20" s="450" t="s">
        <v>88</v>
      </c>
      <c r="C20" s="450"/>
      <c r="D20" s="450"/>
      <c r="E20" s="450"/>
      <c r="F20" s="450"/>
      <c r="G20" s="450"/>
      <c r="H20" s="450"/>
      <c r="I20" s="450"/>
      <c r="J20" s="450"/>
      <c r="K20" s="450"/>
      <c r="L20" s="450"/>
    </row>
    <row r="21" spans="2:13" ht="15" customHeight="1" x14ac:dyDescent="0.2">
      <c r="B21" s="450" t="s">
        <v>90</v>
      </c>
      <c r="C21" s="450"/>
      <c r="D21" s="450"/>
      <c r="E21" s="450"/>
      <c r="F21" s="450"/>
      <c r="G21" s="450"/>
      <c r="H21" s="450"/>
      <c r="I21" s="450"/>
      <c r="J21" s="450"/>
      <c r="K21" s="450"/>
      <c r="L21" s="450"/>
    </row>
    <row r="22" spans="2:13" ht="15" customHeight="1" x14ac:dyDescent="0.2">
      <c r="B22" s="450" t="s">
        <v>89</v>
      </c>
      <c r="C22" s="450"/>
      <c r="D22" s="450"/>
      <c r="E22" s="450"/>
      <c r="F22" s="450"/>
      <c r="G22" s="450"/>
      <c r="H22" s="450"/>
      <c r="I22" s="450"/>
      <c r="J22" s="450"/>
      <c r="K22" s="450"/>
      <c r="L22" s="450"/>
      <c r="M22" s="51"/>
    </row>
    <row r="23" spans="2:13" ht="15" customHeight="1" thickBot="1" x14ac:dyDescent="0.25"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51"/>
    </row>
    <row r="24" spans="2:13" ht="15" customHeight="1" thickBot="1" x14ac:dyDescent="0.25">
      <c r="B24" s="469" t="s">
        <v>39</v>
      </c>
      <c r="C24" s="470"/>
      <c r="D24" s="470"/>
      <c r="E24" s="470"/>
      <c r="F24" s="470"/>
      <c r="G24" s="470"/>
      <c r="H24" s="470"/>
      <c r="I24" s="470"/>
      <c r="J24" s="470"/>
      <c r="K24" s="470"/>
      <c r="L24" s="471"/>
    </row>
    <row r="25" spans="2:13" ht="33.75" customHeight="1" thickBot="1" x14ac:dyDescent="0.25">
      <c r="B25" s="8">
        <v>1</v>
      </c>
      <c r="C25" s="473" t="s">
        <v>91</v>
      </c>
      <c r="D25" s="474"/>
      <c r="E25" s="474"/>
      <c r="F25" s="474"/>
      <c r="G25" s="474"/>
      <c r="H25" s="474"/>
      <c r="I25" s="474"/>
      <c r="J25" s="474"/>
      <c r="K25" s="475"/>
      <c r="L25" s="110" t="s">
        <v>134</v>
      </c>
    </row>
    <row r="26" spans="2:13" ht="15" customHeight="1" thickBot="1" x14ac:dyDescent="0.25">
      <c r="B26" s="4">
        <v>2</v>
      </c>
      <c r="C26" s="313" t="s">
        <v>40</v>
      </c>
      <c r="D26" s="314"/>
      <c r="E26" s="314"/>
      <c r="F26" s="314"/>
      <c r="G26" s="314"/>
      <c r="H26" s="314"/>
      <c r="I26" s="314"/>
      <c r="J26" s="314"/>
      <c r="K26" s="415"/>
      <c r="L26" s="111" t="s">
        <v>133</v>
      </c>
    </row>
    <row r="27" spans="2:13" ht="15" customHeight="1" thickBot="1" x14ac:dyDescent="0.25">
      <c r="B27" s="4">
        <v>3</v>
      </c>
      <c r="C27" s="118" t="s">
        <v>92</v>
      </c>
      <c r="D27" s="52"/>
      <c r="E27" s="52"/>
      <c r="F27" s="52"/>
      <c r="G27" s="52"/>
      <c r="H27" s="52"/>
      <c r="I27" s="52"/>
      <c r="J27" s="52"/>
      <c r="K27" s="52"/>
      <c r="L27" s="274"/>
    </row>
    <row r="28" spans="2:13" ht="15" customHeight="1" thickBot="1" x14ac:dyDescent="0.25">
      <c r="B28" s="53">
        <v>4</v>
      </c>
      <c r="C28" s="476" t="s">
        <v>13</v>
      </c>
      <c r="D28" s="476"/>
      <c r="E28" s="476"/>
      <c r="F28" s="476"/>
      <c r="G28" s="476"/>
      <c r="H28" s="476"/>
      <c r="I28" s="476"/>
      <c r="J28" s="476"/>
      <c r="K28" s="477"/>
      <c r="L28" s="112" t="s">
        <v>108</v>
      </c>
    </row>
    <row r="29" spans="2:13" ht="20.25" customHeight="1" thickBot="1" x14ac:dyDescent="0.25">
      <c r="B29" s="242">
        <v>5</v>
      </c>
      <c r="C29" s="478" t="s">
        <v>14</v>
      </c>
      <c r="D29" s="478"/>
      <c r="E29" s="478"/>
      <c r="F29" s="478"/>
      <c r="G29" s="478"/>
      <c r="H29" s="478"/>
      <c r="I29" s="478"/>
      <c r="J29" s="478"/>
      <c r="K29" s="479"/>
      <c r="L29" s="243" t="s">
        <v>135</v>
      </c>
    </row>
    <row r="30" spans="2:13" ht="34.5" customHeight="1" thickBot="1" x14ac:dyDescent="0.35">
      <c r="B30" s="472" t="s">
        <v>55</v>
      </c>
      <c r="C30" s="472"/>
      <c r="D30" s="472"/>
      <c r="E30" s="472"/>
      <c r="F30" s="472"/>
      <c r="G30" s="472"/>
      <c r="H30" s="472"/>
      <c r="I30" s="472"/>
      <c r="J30" s="472"/>
      <c r="K30" s="472"/>
      <c r="L30" s="472"/>
    </row>
    <row r="31" spans="2:13" ht="20.25" customHeight="1" thickBot="1" x14ac:dyDescent="0.25">
      <c r="B31" s="78" t="s">
        <v>15</v>
      </c>
      <c r="C31" s="416" t="s">
        <v>59</v>
      </c>
      <c r="D31" s="416"/>
      <c r="E31" s="416"/>
      <c r="F31" s="416"/>
      <c r="G31" s="416"/>
      <c r="H31" s="416"/>
      <c r="I31" s="78" t="s">
        <v>16</v>
      </c>
      <c r="J31" s="78" t="s">
        <v>17</v>
      </c>
      <c r="K31" s="79" t="s">
        <v>18</v>
      </c>
      <c r="L31" s="80" t="s">
        <v>19</v>
      </c>
    </row>
    <row r="32" spans="2:13" ht="20.25" customHeight="1" thickBot="1" x14ac:dyDescent="0.25">
      <c r="B32" s="4" t="s">
        <v>3</v>
      </c>
      <c r="C32" s="420" t="s">
        <v>41</v>
      </c>
      <c r="D32" s="420"/>
      <c r="E32" s="420"/>
      <c r="F32" s="420"/>
      <c r="G32" s="420"/>
      <c r="H32" s="420"/>
      <c r="I32" s="98">
        <v>1</v>
      </c>
      <c r="J32" s="104"/>
      <c r="K32" s="105">
        <v>1</v>
      </c>
      <c r="L32" s="14">
        <f>L27</f>
        <v>0</v>
      </c>
    </row>
    <row r="33" spans="2:17" ht="16.5" thickBot="1" x14ac:dyDescent="0.25">
      <c r="B33" s="8" t="s">
        <v>5</v>
      </c>
      <c r="C33" s="437" t="s">
        <v>42</v>
      </c>
      <c r="D33" s="437"/>
      <c r="E33" s="437"/>
      <c r="F33" s="437"/>
      <c r="G33" s="437"/>
      <c r="H33" s="437"/>
      <c r="I33" s="102">
        <v>1</v>
      </c>
      <c r="J33" s="133">
        <f>L27</f>
        <v>0</v>
      </c>
      <c r="K33" s="107"/>
      <c r="L33" s="14">
        <f>+J33*I33*K33</f>
        <v>0</v>
      </c>
    </row>
    <row r="34" spans="2:17" ht="20.25" customHeight="1" thickBot="1" x14ac:dyDescent="0.25">
      <c r="B34" s="7" t="s">
        <v>7</v>
      </c>
      <c r="C34" s="437" t="s">
        <v>43</v>
      </c>
      <c r="D34" s="437"/>
      <c r="E34" s="437"/>
      <c r="F34" s="437"/>
      <c r="G34" s="437"/>
      <c r="H34" s="437"/>
      <c r="I34" s="102"/>
      <c r="J34" s="108"/>
      <c r="K34" s="109"/>
      <c r="L34" s="14">
        <f>L32*K34*I34</f>
        <v>0</v>
      </c>
    </row>
    <row r="35" spans="2:17" ht="21.75" customHeight="1" thickBot="1" x14ac:dyDescent="0.25">
      <c r="B35" s="7" t="s">
        <v>22</v>
      </c>
      <c r="C35" s="437" t="s">
        <v>44</v>
      </c>
      <c r="D35" s="437"/>
      <c r="E35" s="437"/>
      <c r="F35" s="437"/>
      <c r="G35" s="437"/>
      <c r="H35" s="437"/>
      <c r="I35" s="102"/>
      <c r="J35" s="106"/>
      <c r="K35" s="107"/>
      <c r="L35" s="14">
        <f>+J35*I35*K35</f>
        <v>0</v>
      </c>
    </row>
    <row r="36" spans="2:17" ht="21" customHeight="1" thickBot="1" x14ac:dyDescent="0.25">
      <c r="B36" s="7" t="s">
        <v>8</v>
      </c>
      <c r="C36" s="437" t="s">
        <v>45</v>
      </c>
      <c r="D36" s="437"/>
      <c r="E36" s="437"/>
      <c r="F36" s="437"/>
      <c r="G36" s="437"/>
      <c r="H36" s="437"/>
      <c r="I36" s="102"/>
      <c r="J36" s="106"/>
      <c r="K36" s="107"/>
      <c r="L36" s="14">
        <f>+J36*I36*K36</f>
        <v>0</v>
      </c>
    </row>
    <row r="37" spans="2:17" ht="27.75" customHeight="1" thickBot="1" x14ac:dyDescent="0.25">
      <c r="B37" s="7" t="s">
        <v>9</v>
      </c>
      <c r="C37" s="437" t="s">
        <v>76</v>
      </c>
      <c r="D37" s="437"/>
      <c r="E37" s="437"/>
      <c r="F37" s="437"/>
      <c r="G37" s="437"/>
      <c r="H37" s="437"/>
      <c r="I37" s="102"/>
      <c r="J37" s="106"/>
      <c r="K37" s="107"/>
      <c r="L37" s="14">
        <f>+J37*I37*K37</f>
        <v>0</v>
      </c>
    </row>
    <row r="38" spans="2:17" ht="18.75" customHeight="1" thickBot="1" x14ac:dyDescent="0.3">
      <c r="B38" s="438" t="s">
        <v>29</v>
      </c>
      <c r="C38" s="439"/>
      <c r="D38" s="439"/>
      <c r="E38" s="439"/>
      <c r="F38" s="439"/>
      <c r="G38" s="439"/>
      <c r="H38" s="439"/>
      <c r="I38" s="439"/>
      <c r="J38" s="439"/>
      <c r="K38" s="440"/>
      <c r="L38" s="81">
        <f>SUM(L32:L37)</f>
        <v>0</v>
      </c>
    </row>
    <row r="39" spans="2:17" ht="20.25" customHeight="1" x14ac:dyDescent="0.3">
      <c r="B39" s="426" t="s">
        <v>54</v>
      </c>
      <c r="C39" s="426"/>
      <c r="D39" s="426"/>
      <c r="E39" s="426"/>
      <c r="F39" s="426"/>
      <c r="G39" s="426"/>
      <c r="H39" s="426"/>
      <c r="I39" s="426"/>
      <c r="J39" s="426"/>
      <c r="K39" s="426"/>
      <c r="L39" s="426"/>
    </row>
    <row r="40" spans="2:17" ht="20.25" customHeight="1" thickBot="1" x14ac:dyDescent="0.35">
      <c r="B40" s="54" t="s">
        <v>93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2:17" ht="20.25" customHeight="1" thickBot="1" x14ac:dyDescent="0.25">
      <c r="B41" s="78" t="s">
        <v>47</v>
      </c>
      <c r="C41" s="416" t="s">
        <v>67</v>
      </c>
      <c r="D41" s="416"/>
      <c r="E41" s="416"/>
      <c r="F41" s="416"/>
      <c r="G41" s="416"/>
      <c r="H41" s="416"/>
      <c r="I41" s="78"/>
      <c r="J41" s="78"/>
      <c r="K41" s="79" t="s">
        <v>18</v>
      </c>
      <c r="L41" s="80" t="s">
        <v>19</v>
      </c>
    </row>
    <row r="42" spans="2:17" ht="20.25" customHeight="1" thickBot="1" x14ac:dyDescent="0.25">
      <c r="B42" s="8" t="s">
        <v>3</v>
      </c>
      <c r="C42" s="420" t="s">
        <v>125</v>
      </c>
      <c r="D42" s="420"/>
      <c r="E42" s="420"/>
      <c r="F42" s="420"/>
      <c r="G42" s="420"/>
      <c r="H42" s="420"/>
      <c r="I42" s="420"/>
      <c r="J42" s="313"/>
      <c r="K42" s="21">
        <v>8.3299999999999999E-2</v>
      </c>
      <c r="L42" s="12">
        <f>ROUND(L$38*K42,2)</f>
        <v>0</v>
      </c>
    </row>
    <row r="43" spans="2:17" ht="20.25" customHeight="1" thickBot="1" x14ac:dyDescent="0.25">
      <c r="B43" s="8" t="s">
        <v>5</v>
      </c>
      <c r="C43" s="420" t="s">
        <v>147</v>
      </c>
      <c r="D43" s="420"/>
      <c r="E43" s="420"/>
      <c r="F43" s="420"/>
      <c r="G43" s="420"/>
      <c r="H43" s="420"/>
      <c r="I43" s="420"/>
      <c r="J43" s="420"/>
      <c r="K43" s="21">
        <v>0.121</v>
      </c>
      <c r="L43" s="12">
        <f>ROUND(L$38*K43,2)</f>
        <v>0</v>
      </c>
    </row>
    <row r="44" spans="2:17" ht="20.25" customHeight="1" thickBot="1" x14ac:dyDescent="0.25">
      <c r="B44" s="423" t="s">
        <v>70</v>
      </c>
      <c r="C44" s="424"/>
      <c r="D44" s="424"/>
      <c r="E44" s="424"/>
      <c r="F44" s="424"/>
      <c r="G44" s="424"/>
      <c r="H44" s="424"/>
      <c r="I44" s="424"/>
      <c r="J44" s="424"/>
      <c r="K44" s="425"/>
      <c r="L44" s="39">
        <f>SUM(L42:L43)</f>
        <v>0</v>
      </c>
      <c r="Q44" s="36"/>
    </row>
    <row r="45" spans="2:17" ht="20.25" customHeight="1" x14ac:dyDescent="0.2"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Q45" s="36"/>
    </row>
    <row r="46" spans="2:17" ht="21" customHeight="1" thickBot="1" x14ac:dyDescent="0.35">
      <c r="B46" s="54" t="s">
        <v>94</v>
      </c>
      <c r="C46" s="120"/>
      <c r="D46" s="120"/>
      <c r="E46" s="120"/>
      <c r="F46" s="120"/>
      <c r="G46" s="120"/>
      <c r="H46" s="120"/>
      <c r="I46" s="120"/>
      <c r="J46" s="120"/>
      <c r="K46" s="120"/>
      <c r="L46" s="120"/>
    </row>
    <row r="47" spans="2:17" ht="21" customHeight="1" thickBot="1" x14ac:dyDescent="0.25">
      <c r="B47" s="78" t="s">
        <v>46</v>
      </c>
      <c r="C47" s="422" t="s">
        <v>48</v>
      </c>
      <c r="D47" s="422"/>
      <c r="E47" s="422"/>
      <c r="F47" s="422"/>
      <c r="G47" s="422"/>
      <c r="H47" s="422"/>
      <c r="I47" s="422"/>
      <c r="J47" s="422"/>
      <c r="K47" s="78" t="s">
        <v>18</v>
      </c>
      <c r="L47" s="117" t="s">
        <v>19</v>
      </c>
      <c r="N47" s="31"/>
    </row>
    <row r="48" spans="2:17" ht="16.5" thickBot="1" x14ac:dyDescent="0.25">
      <c r="B48" s="4" t="s">
        <v>35</v>
      </c>
      <c r="C48" s="313" t="s">
        <v>23</v>
      </c>
      <c r="D48" s="313"/>
      <c r="E48" s="313"/>
      <c r="F48" s="313"/>
      <c r="G48" s="313"/>
      <c r="H48" s="313"/>
      <c r="I48" s="313"/>
      <c r="J48" s="313"/>
      <c r="K48" s="9">
        <v>0.2</v>
      </c>
      <c r="L48" s="12">
        <f t="shared" ref="L48:L55" si="0">ROUND(($L$38+$L$44)*K48,2)</f>
        <v>0</v>
      </c>
    </row>
    <row r="49" spans="2:17" ht="16.5" thickBot="1" x14ac:dyDescent="0.25">
      <c r="B49" s="8" t="s">
        <v>5</v>
      </c>
      <c r="C49" s="313" t="s">
        <v>118</v>
      </c>
      <c r="D49" s="313"/>
      <c r="E49" s="313"/>
      <c r="F49" s="313"/>
      <c r="G49" s="313"/>
      <c r="H49" s="313"/>
      <c r="I49" s="313"/>
      <c r="J49" s="313"/>
      <c r="K49" s="285">
        <v>2.5000000000000001E-2</v>
      </c>
      <c r="L49" s="12">
        <f t="shared" si="0"/>
        <v>0</v>
      </c>
    </row>
    <row r="50" spans="2:17" ht="16.5" thickBot="1" x14ac:dyDescent="0.25">
      <c r="B50" s="8" t="s">
        <v>7</v>
      </c>
      <c r="C50" s="434" t="s">
        <v>119</v>
      </c>
      <c r="D50" s="435"/>
      <c r="E50" s="435"/>
      <c r="F50" s="435"/>
      <c r="G50" s="435"/>
      <c r="H50" s="435"/>
      <c r="I50" s="435"/>
      <c r="J50" s="436"/>
      <c r="K50" s="286">
        <v>1.4999999999999999E-2</v>
      </c>
      <c r="L50" s="12">
        <f t="shared" si="0"/>
        <v>0</v>
      </c>
      <c r="Q50" s="36"/>
    </row>
    <row r="51" spans="2:17" ht="16.5" thickBot="1" x14ac:dyDescent="0.25">
      <c r="B51" s="8" t="s">
        <v>22</v>
      </c>
      <c r="C51" s="313" t="s">
        <v>120</v>
      </c>
      <c r="D51" s="313"/>
      <c r="E51" s="313"/>
      <c r="F51" s="313"/>
      <c r="G51" s="313"/>
      <c r="H51" s="313"/>
      <c r="I51" s="313"/>
      <c r="J51" s="313"/>
      <c r="K51" s="285">
        <v>1.4999999999999999E-2</v>
      </c>
      <c r="L51" s="12">
        <f t="shared" si="0"/>
        <v>0</v>
      </c>
    </row>
    <row r="52" spans="2:17" ht="16.5" thickBot="1" x14ac:dyDescent="0.25">
      <c r="B52" s="8" t="s">
        <v>8</v>
      </c>
      <c r="C52" s="313" t="s">
        <v>121</v>
      </c>
      <c r="D52" s="313"/>
      <c r="E52" s="313"/>
      <c r="F52" s="313"/>
      <c r="G52" s="313"/>
      <c r="H52" s="313"/>
      <c r="I52" s="313"/>
      <c r="J52" s="313"/>
      <c r="K52" s="285">
        <v>0.01</v>
      </c>
      <c r="L52" s="12">
        <f t="shared" si="0"/>
        <v>0</v>
      </c>
    </row>
    <row r="53" spans="2:17" ht="16.5" thickBot="1" x14ac:dyDescent="0.25">
      <c r="B53" s="8" t="s">
        <v>9</v>
      </c>
      <c r="C53" s="313" t="s">
        <v>122</v>
      </c>
      <c r="D53" s="313"/>
      <c r="E53" s="313"/>
      <c r="F53" s="313"/>
      <c r="G53" s="313"/>
      <c r="H53" s="313"/>
      <c r="I53" s="313"/>
      <c r="J53" s="313"/>
      <c r="K53" s="285">
        <v>6.0000000000000001E-3</v>
      </c>
      <c r="L53" s="12">
        <f t="shared" si="0"/>
        <v>0</v>
      </c>
      <c r="Q53" s="36"/>
    </row>
    <row r="54" spans="2:17" ht="16.5" thickBot="1" x14ac:dyDescent="0.25">
      <c r="B54" s="8" t="s">
        <v>10</v>
      </c>
      <c r="C54" s="441" t="s">
        <v>123</v>
      </c>
      <c r="D54" s="441"/>
      <c r="E54" s="441"/>
      <c r="F54" s="441"/>
      <c r="G54" s="441"/>
      <c r="H54" s="441"/>
      <c r="I54" s="441"/>
      <c r="J54" s="441"/>
      <c r="K54" s="287">
        <v>2E-3</v>
      </c>
      <c r="L54" s="12">
        <f t="shared" si="0"/>
        <v>0</v>
      </c>
    </row>
    <row r="55" spans="2:17" ht="16.5" thickBot="1" x14ac:dyDescent="0.25">
      <c r="B55" s="8" t="s">
        <v>25</v>
      </c>
      <c r="C55" s="313" t="s">
        <v>68</v>
      </c>
      <c r="D55" s="314"/>
      <c r="E55" s="314"/>
      <c r="F55" s="314"/>
      <c r="G55" s="314"/>
      <c r="H55" s="314"/>
      <c r="I55" s="314"/>
      <c r="J55" s="314"/>
      <c r="K55" s="9">
        <v>0.08</v>
      </c>
      <c r="L55" s="12">
        <f t="shared" si="0"/>
        <v>0</v>
      </c>
    </row>
    <row r="56" spans="2:17" ht="21.75" customHeight="1" thickBot="1" x14ac:dyDescent="0.25">
      <c r="B56" s="423" t="s">
        <v>69</v>
      </c>
      <c r="C56" s="424"/>
      <c r="D56" s="424"/>
      <c r="E56" s="424"/>
      <c r="F56" s="424"/>
      <c r="G56" s="424"/>
      <c r="H56" s="424"/>
      <c r="I56" s="424"/>
      <c r="J56" s="425"/>
      <c r="K56" s="40">
        <f>SUM(K48:K55)</f>
        <v>0.35300000000000004</v>
      </c>
      <c r="L56" s="39">
        <f>SUM(L48:L55)</f>
        <v>0</v>
      </c>
      <c r="Q56" s="36"/>
    </row>
    <row r="57" spans="2:17" ht="21" customHeight="1" thickBot="1" x14ac:dyDescent="0.3">
      <c r="B57" s="54" t="s">
        <v>126</v>
      </c>
      <c r="C57" s="55"/>
      <c r="D57" s="55"/>
      <c r="E57" s="55"/>
      <c r="F57" s="55"/>
      <c r="G57" s="55"/>
      <c r="H57" s="55"/>
      <c r="I57" s="55"/>
      <c r="J57" s="55"/>
      <c r="K57" s="55"/>
      <c r="L57" s="55"/>
    </row>
    <row r="58" spans="2:17" ht="15" customHeight="1" thickBot="1" x14ac:dyDescent="0.25">
      <c r="B58" s="79" t="s">
        <v>49</v>
      </c>
      <c r="C58" s="427" t="s">
        <v>56</v>
      </c>
      <c r="D58" s="419"/>
      <c r="E58" s="419"/>
      <c r="F58" s="419"/>
      <c r="G58" s="419"/>
      <c r="H58" s="88" t="s">
        <v>20</v>
      </c>
      <c r="I58" s="82" t="s">
        <v>16</v>
      </c>
      <c r="J58" s="79" t="s">
        <v>21</v>
      </c>
      <c r="K58" s="82" t="s">
        <v>34</v>
      </c>
      <c r="L58" s="79" t="s">
        <v>19</v>
      </c>
    </row>
    <row r="59" spans="2:17" ht="20.25" customHeight="1" thickBot="1" x14ac:dyDescent="0.25">
      <c r="B59" s="4" t="s">
        <v>3</v>
      </c>
      <c r="C59" s="428" t="s">
        <v>57</v>
      </c>
      <c r="D59" s="429"/>
      <c r="E59" s="429"/>
      <c r="F59" s="429"/>
      <c r="G59" s="429"/>
      <c r="H59" s="288"/>
      <c r="I59" s="101">
        <v>44</v>
      </c>
      <c r="J59" s="98">
        <v>1</v>
      </c>
      <c r="K59" s="10">
        <v>0.06</v>
      </c>
      <c r="L59" s="24">
        <f>ROUND((H59*I59*J59)-($L$32*K59),2)</f>
        <v>0</v>
      </c>
    </row>
    <row r="60" spans="2:17" ht="20.25" customHeight="1" thickBot="1" x14ac:dyDescent="0.25">
      <c r="B60" s="4" t="s">
        <v>5</v>
      </c>
      <c r="C60" s="405" t="s">
        <v>127</v>
      </c>
      <c r="D60" s="405"/>
      <c r="E60" s="405"/>
      <c r="F60" s="405"/>
      <c r="G60" s="428"/>
      <c r="H60" s="289"/>
      <c r="I60" s="102">
        <v>1</v>
      </c>
      <c r="J60" s="99">
        <v>1</v>
      </c>
      <c r="K60" s="10">
        <v>0.01</v>
      </c>
      <c r="L60" s="24">
        <f>ROUND((H60*I60*J60)-(H60*I60*J60*K60),2)</f>
        <v>0</v>
      </c>
    </row>
    <row r="61" spans="2:17" ht="20.25" customHeight="1" thickBot="1" x14ac:dyDescent="0.25">
      <c r="B61" s="11" t="s">
        <v>22</v>
      </c>
      <c r="C61" s="405" t="s">
        <v>148</v>
      </c>
      <c r="D61" s="405"/>
      <c r="E61" s="405"/>
      <c r="F61" s="405"/>
      <c r="G61" s="428"/>
      <c r="H61" s="289">
        <v>0</v>
      </c>
      <c r="I61" s="103">
        <v>1</v>
      </c>
      <c r="J61" s="100">
        <v>1</v>
      </c>
      <c r="K61" s="32">
        <v>0</v>
      </c>
      <c r="L61" s="24">
        <f>ROUND((H61*I61*J61)-(H61*I61*J61*K61),2)</f>
        <v>0</v>
      </c>
    </row>
    <row r="62" spans="2:17" ht="20.25" customHeight="1" thickBot="1" x14ac:dyDescent="0.25">
      <c r="B62" s="4" t="s">
        <v>8</v>
      </c>
      <c r="C62" s="405" t="s">
        <v>149</v>
      </c>
      <c r="D62" s="405"/>
      <c r="E62" s="405"/>
      <c r="F62" s="405"/>
      <c r="G62" s="428"/>
      <c r="H62" s="290">
        <v>0</v>
      </c>
      <c r="I62" s="101">
        <v>1</v>
      </c>
      <c r="J62" s="98">
        <v>1</v>
      </c>
      <c r="K62" s="10">
        <v>0</v>
      </c>
      <c r="L62" s="24">
        <f>ROUND((H62*I62*J62)-(H62*I62*J62*K62),2)</f>
        <v>0</v>
      </c>
    </row>
    <row r="63" spans="2:17" ht="20.25" customHeight="1" thickBot="1" x14ac:dyDescent="0.25">
      <c r="B63" s="430" t="s">
        <v>69</v>
      </c>
      <c r="C63" s="431"/>
      <c r="D63" s="431"/>
      <c r="E63" s="431"/>
      <c r="F63" s="431"/>
      <c r="G63" s="431"/>
      <c r="H63" s="432"/>
      <c r="I63" s="431"/>
      <c r="J63" s="431"/>
      <c r="K63" s="433"/>
      <c r="L63" s="41">
        <f>SUM(L59:L62)</f>
        <v>0</v>
      </c>
    </row>
    <row r="64" spans="2:17" ht="20.25" customHeight="1" thickBot="1" x14ac:dyDescent="0.25">
      <c r="B64" s="421" t="s">
        <v>95</v>
      </c>
      <c r="C64" s="421"/>
      <c r="D64" s="421"/>
      <c r="E64" s="421"/>
      <c r="F64" s="421"/>
      <c r="G64" s="421"/>
      <c r="H64" s="421"/>
      <c r="I64" s="421"/>
      <c r="J64" s="421"/>
      <c r="K64" s="421"/>
      <c r="L64" s="421"/>
    </row>
    <row r="65" spans="1:17" ht="20.25" customHeight="1" thickBot="1" x14ac:dyDescent="0.25">
      <c r="B65" s="78">
        <v>2</v>
      </c>
      <c r="C65" s="387" t="s">
        <v>50</v>
      </c>
      <c r="D65" s="388"/>
      <c r="E65" s="388"/>
      <c r="F65" s="388"/>
      <c r="G65" s="388"/>
      <c r="H65" s="388"/>
      <c r="I65" s="388"/>
      <c r="J65" s="388"/>
      <c r="K65" s="422"/>
      <c r="L65" s="78" t="s">
        <v>19</v>
      </c>
    </row>
    <row r="66" spans="1:17" ht="20.25" customHeight="1" thickBot="1" x14ac:dyDescent="0.25">
      <c r="B66" s="4" t="s">
        <v>51</v>
      </c>
      <c r="C66" s="313" t="str">
        <f>C41</f>
        <v>13º (DÉCIMO TERCEIRO) SALÁRIO, FÉRIAS  E ADICIONAL DE FÉRIAS</v>
      </c>
      <c r="D66" s="314"/>
      <c r="E66" s="314"/>
      <c r="F66" s="314"/>
      <c r="G66" s="314"/>
      <c r="H66" s="314"/>
      <c r="I66" s="314"/>
      <c r="J66" s="314"/>
      <c r="K66" s="415"/>
      <c r="L66" s="24">
        <f>$L$44</f>
        <v>0</v>
      </c>
    </row>
    <row r="67" spans="1:17" ht="20.25" customHeight="1" thickBot="1" x14ac:dyDescent="0.25">
      <c r="B67" s="4" t="s">
        <v>46</v>
      </c>
      <c r="C67" s="313" t="s">
        <v>96</v>
      </c>
      <c r="D67" s="314"/>
      <c r="E67" s="314"/>
      <c r="F67" s="314"/>
      <c r="G67" s="314"/>
      <c r="H67" s="314"/>
      <c r="I67" s="314"/>
      <c r="J67" s="314"/>
      <c r="K67" s="415"/>
      <c r="L67" s="24">
        <f>L56</f>
        <v>0</v>
      </c>
    </row>
    <row r="68" spans="1:17" ht="20.25" customHeight="1" thickBot="1" x14ac:dyDescent="0.25">
      <c r="B68" s="11" t="s">
        <v>49</v>
      </c>
      <c r="C68" s="313" t="s">
        <v>56</v>
      </c>
      <c r="D68" s="314"/>
      <c r="E68" s="314"/>
      <c r="F68" s="314"/>
      <c r="G68" s="314"/>
      <c r="H68" s="314"/>
      <c r="I68" s="314"/>
      <c r="J68" s="314"/>
      <c r="K68" s="415"/>
      <c r="L68" s="24">
        <f>$L$63</f>
        <v>0</v>
      </c>
    </row>
    <row r="69" spans="1:17" ht="20.25" customHeight="1" thickBot="1" x14ac:dyDescent="0.25">
      <c r="B69" s="402" t="s">
        <v>12</v>
      </c>
      <c r="C69" s="403"/>
      <c r="D69" s="403"/>
      <c r="E69" s="403"/>
      <c r="F69" s="403"/>
      <c r="G69" s="403"/>
      <c r="H69" s="403"/>
      <c r="I69" s="403"/>
      <c r="J69" s="403"/>
      <c r="K69" s="404"/>
      <c r="L69" s="83">
        <f>SUM(L66:L68)</f>
        <v>0</v>
      </c>
    </row>
    <row r="70" spans="1:17" ht="20.25" customHeight="1" thickBot="1" x14ac:dyDescent="0.35">
      <c r="B70" s="426" t="s">
        <v>53</v>
      </c>
      <c r="C70" s="426"/>
      <c r="D70" s="426"/>
      <c r="E70" s="426"/>
      <c r="F70" s="426"/>
      <c r="G70" s="426"/>
      <c r="H70" s="426"/>
      <c r="I70" s="426"/>
      <c r="J70" s="426"/>
      <c r="K70" s="426"/>
      <c r="L70" s="426"/>
    </row>
    <row r="71" spans="1:17" ht="20.25" customHeight="1" thickBot="1" x14ac:dyDescent="0.25">
      <c r="B71" s="267">
        <v>3</v>
      </c>
      <c r="C71" s="268" t="s">
        <v>78</v>
      </c>
      <c r="D71" s="268"/>
      <c r="E71" s="268"/>
      <c r="F71" s="268"/>
      <c r="G71" s="268"/>
      <c r="H71" s="268"/>
      <c r="I71" s="268"/>
      <c r="J71" s="269"/>
      <c r="K71" s="264" t="s">
        <v>18</v>
      </c>
      <c r="L71" s="270" t="s">
        <v>24</v>
      </c>
    </row>
    <row r="72" spans="1:17" ht="20.25" customHeight="1" thickBot="1" x14ac:dyDescent="0.25">
      <c r="B72" s="8" t="s">
        <v>3</v>
      </c>
      <c r="C72" s="473" t="s">
        <v>30</v>
      </c>
      <c r="D72" s="474"/>
      <c r="E72" s="474"/>
      <c r="F72" s="474"/>
      <c r="G72" s="474"/>
      <c r="H72" s="474"/>
      <c r="I72" s="474"/>
      <c r="J72" s="475"/>
      <c r="K72" s="295">
        <f>(1/12)*5%</f>
        <v>4.1666666666666666E-3</v>
      </c>
      <c r="L72" s="22">
        <f>((L38+L44)*K72)</f>
        <v>0</v>
      </c>
      <c r="N72" s="36"/>
      <c r="P72" s="37"/>
    </row>
    <row r="73" spans="1:17" ht="20.25" customHeight="1" thickBot="1" x14ac:dyDescent="0.25">
      <c r="B73" s="8" t="s">
        <v>5</v>
      </c>
      <c r="C73" s="313" t="s">
        <v>77</v>
      </c>
      <c r="D73" s="314"/>
      <c r="E73" s="314"/>
      <c r="F73" s="314"/>
      <c r="G73" s="314"/>
      <c r="H73" s="314"/>
      <c r="I73" s="314"/>
      <c r="J73" s="415"/>
      <c r="K73" s="295">
        <v>0.08</v>
      </c>
      <c r="L73" s="22">
        <f>L72*K73</f>
        <v>0</v>
      </c>
      <c r="N73" s="43"/>
    </row>
    <row r="74" spans="1:17" ht="20.25" customHeight="1" thickBot="1" x14ac:dyDescent="0.25">
      <c r="B74" s="8" t="s">
        <v>7</v>
      </c>
      <c r="C74" s="121" t="s">
        <v>195</v>
      </c>
      <c r="D74" s="122"/>
      <c r="E74" s="122"/>
      <c r="F74" s="122"/>
      <c r="G74" s="122"/>
      <c r="H74" s="122"/>
      <c r="I74" s="122"/>
      <c r="J74" s="47"/>
      <c r="K74" s="295">
        <v>0.02</v>
      </c>
      <c r="L74" s="22">
        <f>SUM(L44+L38)*K74</f>
        <v>0</v>
      </c>
      <c r="N74" s="36"/>
    </row>
    <row r="75" spans="1:17" ht="20.25" customHeight="1" thickBot="1" x14ac:dyDescent="0.25">
      <c r="B75" s="8" t="s">
        <v>22</v>
      </c>
      <c r="C75" s="313" t="s">
        <v>79</v>
      </c>
      <c r="D75" s="314"/>
      <c r="E75" s="314"/>
      <c r="F75" s="314"/>
      <c r="G75" s="314"/>
      <c r="H75" s="314"/>
      <c r="I75" s="314"/>
      <c r="J75" s="415"/>
      <c r="K75" s="295">
        <v>1.9400000000000001E-2</v>
      </c>
      <c r="L75" s="22">
        <f>(L38+L44)*K75</f>
        <v>0</v>
      </c>
    </row>
    <row r="76" spans="1:17" ht="19.5" customHeight="1" thickBot="1" x14ac:dyDescent="0.25">
      <c r="B76" s="8" t="s">
        <v>8</v>
      </c>
      <c r="C76" s="313" t="s">
        <v>97</v>
      </c>
      <c r="D76" s="314"/>
      <c r="E76" s="314"/>
      <c r="F76" s="314"/>
      <c r="G76" s="314"/>
      <c r="H76" s="314"/>
      <c r="I76" s="314"/>
      <c r="J76" s="415"/>
      <c r="K76" s="18">
        <f>K56</f>
        <v>0.35300000000000004</v>
      </c>
      <c r="L76" s="22">
        <f>K76*L75</f>
        <v>0</v>
      </c>
    </row>
    <row r="77" spans="1:17" ht="20.25" customHeight="1" thickBot="1" x14ac:dyDescent="0.25">
      <c r="B77" s="8" t="s">
        <v>9</v>
      </c>
      <c r="C77" s="119" t="s">
        <v>387</v>
      </c>
      <c r="D77" s="119"/>
      <c r="E77" s="119"/>
      <c r="F77" s="119"/>
      <c r="G77" s="119"/>
      <c r="H77" s="119"/>
      <c r="I77" s="119"/>
      <c r="J77" s="48"/>
      <c r="K77" s="295">
        <v>0.02</v>
      </c>
      <c r="L77" s="22">
        <f>SUM(L44+L38)*K77</f>
        <v>0</v>
      </c>
    </row>
    <row r="78" spans="1:17" ht="20.25" customHeight="1" thickBot="1" x14ac:dyDescent="0.25">
      <c r="B78" s="423" t="s">
        <v>69</v>
      </c>
      <c r="C78" s="424"/>
      <c r="D78" s="424"/>
      <c r="E78" s="424"/>
      <c r="F78" s="424"/>
      <c r="G78" s="424"/>
      <c r="H78" s="424"/>
      <c r="I78" s="424"/>
      <c r="J78" s="425"/>
      <c r="K78" s="38">
        <f>SUM(K72:K77)</f>
        <v>0.49656666666666671</v>
      </c>
      <c r="L78" s="42">
        <f>SUM(L72:L77)</f>
        <v>0</v>
      </c>
    </row>
    <row r="79" spans="1:17" ht="18.75" customHeight="1" x14ac:dyDescent="0.2">
      <c r="B79" s="389" t="s">
        <v>98</v>
      </c>
      <c r="C79" s="389"/>
      <c r="D79" s="389"/>
      <c r="E79" s="389"/>
      <c r="F79" s="389"/>
      <c r="G79" s="389"/>
      <c r="H79" s="389"/>
      <c r="I79" s="389"/>
      <c r="J79" s="389"/>
      <c r="K79" s="389"/>
      <c r="L79" s="389"/>
      <c r="Q79" s="36"/>
    </row>
    <row r="80" spans="1:17" s="2" customFormat="1" ht="20.25" customHeight="1" x14ac:dyDescent="0.25">
      <c r="A80"/>
      <c r="B80" s="54" t="s">
        <v>128</v>
      </c>
      <c r="C80" s="44"/>
      <c r="D80" s="49"/>
      <c r="E80" s="49"/>
      <c r="F80" s="49"/>
      <c r="G80" s="49"/>
      <c r="H80" s="49"/>
      <c r="I80" s="49"/>
      <c r="J80" s="49"/>
      <c r="K80" s="49"/>
      <c r="L80" s="25"/>
      <c r="Q80" s="36"/>
    </row>
    <row r="81" spans="1:17" s="2" customFormat="1" ht="20.25" customHeight="1" thickBot="1" x14ac:dyDescent="0.25">
      <c r="A81"/>
      <c r="B81" s="79" t="s">
        <v>28</v>
      </c>
      <c r="C81" s="419" t="s">
        <v>72</v>
      </c>
      <c r="D81" s="419"/>
      <c r="E81" s="419"/>
      <c r="F81" s="419"/>
      <c r="G81" s="419"/>
      <c r="H81" s="419"/>
      <c r="I81" s="419"/>
      <c r="J81" s="419"/>
      <c r="K81" s="79" t="s">
        <v>18</v>
      </c>
      <c r="L81" s="79" t="s">
        <v>24</v>
      </c>
    </row>
    <row r="82" spans="1:17" s="2" customFormat="1" ht="16.5" thickBot="1" x14ac:dyDescent="0.25">
      <c r="A82"/>
      <c r="B82" s="8" t="s">
        <v>3</v>
      </c>
      <c r="C82" s="420" t="s">
        <v>73</v>
      </c>
      <c r="D82" s="420"/>
      <c r="E82" s="420"/>
      <c r="F82" s="420"/>
      <c r="G82" s="420"/>
      <c r="H82" s="420"/>
      <c r="I82" s="420"/>
      <c r="J82" s="313"/>
      <c r="K82" s="295">
        <v>9.2999999999999992E-3</v>
      </c>
      <c r="L82" s="12">
        <f>($L$38+$L$69+$L$78)*K82</f>
        <v>0</v>
      </c>
      <c r="N82" s="36"/>
      <c r="Q82" s="36"/>
    </row>
    <row r="83" spans="1:17" s="2" customFormat="1" ht="16.5" thickBot="1" x14ac:dyDescent="0.25">
      <c r="A83"/>
      <c r="B83" s="8" t="s">
        <v>5</v>
      </c>
      <c r="C83" s="15" t="s">
        <v>154</v>
      </c>
      <c r="D83" s="13"/>
      <c r="E83" s="13"/>
      <c r="F83" s="13"/>
      <c r="G83" s="13"/>
      <c r="H83" s="13"/>
      <c r="I83" s="13"/>
      <c r="J83" s="13"/>
      <c r="K83" s="295">
        <f>ROUND(((2/30)/12),2)</f>
        <v>0.01</v>
      </c>
      <c r="L83" s="12">
        <f t="shared" ref="L83:L87" si="1">($L$38+$L$69+$L$78)*K83</f>
        <v>0</v>
      </c>
    </row>
    <row r="84" spans="1:17" s="2" customFormat="1" ht="16.5" thickBot="1" x14ac:dyDescent="0.25">
      <c r="A84"/>
      <c r="B84" s="8" t="s">
        <v>7</v>
      </c>
      <c r="C84" s="15" t="s">
        <v>74</v>
      </c>
      <c r="D84" s="13"/>
      <c r="E84" s="13"/>
      <c r="F84" s="13"/>
      <c r="G84" s="13"/>
      <c r="H84" s="13"/>
      <c r="I84" s="13"/>
      <c r="J84" s="13"/>
      <c r="K84" s="295">
        <f>((5/30)/12)*2%</f>
        <v>2.7777777777777778E-4</v>
      </c>
      <c r="L84" s="12">
        <f t="shared" si="1"/>
        <v>0</v>
      </c>
    </row>
    <row r="85" spans="1:17" s="2" customFormat="1" ht="16.5" thickBot="1" x14ac:dyDescent="0.25">
      <c r="A85"/>
      <c r="B85" s="8" t="s">
        <v>22</v>
      </c>
      <c r="C85" s="15" t="s">
        <v>155</v>
      </c>
      <c r="D85" s="13"/>
      <c r="E85" s="13"/>
      <c r="F85" s="13"/>
      <c r="G85" s="13"/>
      <c r="H85" s="13"/>
      <c r="I85" s="13"/>
      <c r="J85" s="13"/>
      <c r="K85" s="295">
        <f>((15/30)/12)*8%</f>
        <v>3.3333333333333331E-3</v>
      </c>
      <c r="L85" s="12">
        <f t="shared" si="1"/>
        <v>0</v>
      </c>
    </row>
    <row r="86" spans="1:17" s="2" customFormat="1" ht="16.5" thickBot="1" x14ac:dyDescent="0.25">
      <c r="A86"/>
      <c r="B86" s="8" t="s">
        <v>8</v>
      </c>
      <c r="C86" s="15" t="s">
        <v>397</v>
      </c>
      <c r="D86" s="13"/>
      <c r="E86" s="13"/>
      <c r="F86" s="13"/>
      <c r="G86" s="13"/>
      <c r="H86" s="13"/>
      <c r="I86" s="13"/>
      <c r="J86" s="13"/>
      <c r="K86" s="295">
        <f>((4/12)/12*10%)</f>
        <v>2.7777777777777779E-3</v>
      </c>
      <c r="L86" s="12">
        <f t="shared" si="1"/>
        <v>0</v>
      </c>
    </row>
    <row r="87" spans="1:17" s="2" customFormat="1" ht="16.5" thickBot="1" x14ac:dyDescent="0.25">
      <c r="A87"/>
      <c r="B87" s="8" t="s">
        <v>9</v>
      </c>
      <c r="C87" s="15" t="s">
        <v>75</v>
      </c>
      <c r="D87" s="13"/>
      <c r="E87" s="13"/>
      <c r="F87" s="13"/>
      <c r="G87" s="13"/>
      <c r="H87" s="13"/>
      <c r="I87" s="13"/>
      <c r="J87" s="13"/>
      <c r="K87" s="296"/>
      <c r="L87" s="12">
        <f t="shared" si="1"/>
        <v>0</v>
      </c>
    </row>
    <row r="88" spans="1:17" s="2" customFormat="1" ht="20.25" customHeight="1" thickBot="1" x14ac:dyDescent="0.25">
      <c r="A88"/>
      <c r="B88" s="402" t="s">
        <v>12</v>
      </c>
      <c r="C88" s="403"/>
      <c r="D88" s="403"/>
      <c r="E88" s="403"/>
      <c r="F88" s="403"/>
      <c r="G88" s="403"/>
      <c r="H88" s="403"/>
      <c r="I88" s="403"/>
      <c r="J88" s="403"/>
      <c r="K88" s="404"/>
      <c r="L88" s="86">
        <f>SUM(L82:L87)</f>
        <v>0</v>
      </c>
    </row>
    <row r="89" spans="1:17" s="2" customFormat="1" ht="20.25" customHeight="1" x14ac:dyDescent="0.25">
      <c r="A89"/>
      <c r="B89" s="54" t="s">
        <v>99</v>
      </c>
      <c r="C89" s="49"/>
      <c r="D89" s="49"/>
      <c r="E89" s="49"/>
      <c r="F89" s="49"/>
      <c r="G89" s="49"/>
      <c r="H89" s="49"/>
      <c r="I89" s="49"/>
      <c r="J89" s="49"/>
      <c r="K89" s="26"/>
      <c r="L89" s="25"/>
    </row>
    <row r="90" spans="1:17" s="2" customFormat="1" ht="21" customHeight="1" thickBot="1" x14ac:dyDescent="0.25">
      <c r="A90"/>
      <c r="B90" s="79" t="s">
        <v>80</v>
      </c>
      <c r="C90" s="419" t="s">
        <v>81</v>
      </c>
      <c r="D90" s="419"/>
      <c r="E90" s="419"/>
      <c r="F90" s="419"/>
      <c r="G90" s="419"/>
      <c r="H90" s="419"/>
      <c r="I90" s="419"/>
      <c r="J90" s="419"/>
      <c r="K90" s="79" t="s">
        <v>18</v>
      </c>
      <c r="L90" s="79" t="s">
        <v>24</v>
      </c>
    </row>
    <row r="91" spans="1:17" s="2" customFormat="1" ht="27" customHeight="1" thickBot="1" x14ac:dyDescent="0.25">
      <c r="A91"/>
      <c r="B91" s="8" t="s">
        <v>3</v>
      </c>
      <c r="C91" s="420" t="s">
        <v>82</v>
      </c>
      <c r="D91" s="420"/>
      <c r="E91" s="420"/>
      <c r="F91" s="420"/>
      <c r="G91" s="420"/>
      <c r="H91" s="420"/>
      <c r="I91" s="420"/>
      <c r="J91" s="313"/>
      <c r="K91" s="18">
        <v>0</v>
      </c>
      <c r="L91" s="12">
        <f>+SUM($L$38+$L$69+$L$78)*K91</f>
        <v>0</v>
      </c>
      <c r="N91" s="36"/>
      <c r="Q91" s="36"/>
    </row>
    <row r="92" spans="1:17" s="2" customFormat="1" ht="18.75" customHeight="1" thickBot="1" x14ac:dyDescent="0.25">
      <c r="A92"/>
      <c r="B92" s="421" t="s">
        <v>83</v>
      </c>
      <c r="C92" s="421"/>
      <c r="D92" s="421"/>
      <c r="E92" s="421"/>
      <c r="F92" s="421"/>
      <c r="G92" s="421"/>
      <c r="H92" s="421"/>
      <c r="I92" s="421"/>
      <c r="J92" s="421"/>
      <c r="K92" s="421"/>
      <c r="L92" s="421"/>
    </row>
    <row r="93" spans="1:17" s="2" customFormat="1" ht="20.25" customHeight="1" thickBot="1" x14ac:dyDescent="0.25">
      <c r="A93"/>
      <c r="B93" s="78">
        <v>4</v>
      </c>
      <c r="C93" s="387" t="s">
        <v>84</v>
      </c>
      <c r="D93" s="388"/>
      <c r="E93" s="388"/>
      <c r="F93" s="388"/>
      <c r="G93" s="422"/>
      <c r="H93" s="78"/>
      <c r="I93" s="78"/>
      <c r="J93" s="78"/>
      <c r="K93" s="117"/>
      <c r="L93" s="78" t="s">
        <v>19</v>
      </c>
    </row>
    <row r="94" spans="1:17" s="2" customFormat="1" ht="20.25" customHeight="1" thickBot="1" x14ac:dyDescent="0.25">
      <c r="A94"/>
      <c r="B94" s="4" t="s">
        <v>28</v>
      </c>
      <c r="C94" s="313" t="s">
        <v>72</v>
      </c>
      <c r="D94" s="314"/>
      <c r="E94" s="314"/>
      <c r="F94" s="314"/>
      <c r="G94" s="314"/>
      <c r="H94" s="314"/>
      <c r="I94" s="314"/>
      <c r="J94" s="314"/>
      <c r="K94" s="415"/>
      <c r="L94" s="24">
        <f>$L$88</f>
        <v>0</v>
      </c>
    </row>
    <row r="95" spans="1:17" s="2" customFormat="1" ht="20.25" customHeight="1" thickBot="1" x14ac:dyDescent="0.25">
      <c r="A95"/>
      <c r="B95" s="4" t="s">
        <v>80</v>
      </c>
      <c r="C95" s="313" t="s">
        <v>81</v>
      </c>
      <c r="D95" s="314"/>
      <c r="E95" s="314"/>
      <c r="F95" s="314"/>
      <c r="G95" s="314"/>
      <c r="H95" s="314"/>
      <c r="I95" s="314"/>
      <c r="J95" s="314"/>
      <c r="K95" s="415"/>
      <c r="L95" s="24">
        <f>$L$91</f>
        <v>0</v>
      </c>
    </row>
    <row r="96" spans="1:17" s="2" customFormat="1" ht="20.25" customHeight="1" thickBot="1" x14ac:dyDescent="0.25">
      <c r="A96"/>
      <c r="B96" s="402" t="s">
        <v>12</v>
      </c>
      <c r="C96" s="403"/>
      <c r="D96" s="403"/>
      <c r="E96" s="403"/>
      <c r="F96" s="403"/>
      <c r="G96" s="403"/>
      <c r="H96" s="403"/>
      <c r="I96" s="403"/>
      <c r="J96" s="403"/>
      <c r="K96" s="404"/>
      <c r="L96" s="83">
        <f>SUM(L94:L95)</f>
        <v>0</v>
      </c>
    </row>
    <row r="97" spans="1:21" s="2" customFormat="1" ht="20.25" customHeight="1" thickBot="1" x14ac:dyDescent="0.25">
      <c r="A97"/>
      <c r="B97" s="408" t="s">
        <v>52</v>
      </c>
      <c r="C97" s="408"/>
      <c r="D97" s="408"/>
      <c r="E97" s="408"/>
      <c r="F97" s="408"/>
      <c r="G97" s="408"/>
      <c r="H97" s="408"/>
      <c r="I97" s="408"/>
      <c r="J97" s="408"/>
      <c r="K97" s="408"/>
      <c r="L97" s="408"/>
    </row>
    <row r="98" spans="1:21" s="2" customFormat="1" ht="20.25" customHeight="1" thickBot="1" x14ac:dyDescent="0.25">
      <c r="A98"/>
      <c r="B98" s="78">
        <v>5</v>
      </c>
      <c r="C98" s="416" t="s">
        <v>33</v>
      </c>
      <c r="D98" s="416"/>
      <c r="E98" s="416"/>
      <c r="F98" s="416"/>
      <c r="G98" s="416"/>
      <c r="H98" s="417" t="s">
        <v>132</v>
      </c>
      <c r="I98" s="418"/>
      <c r="J98" s="78" t="s">
        <v>21</v>
      </c>
      <c r="K98" s="117" t="s">
        <v>18</v>
      </c>
      <c r="L98" s="78" t="s">
        <v>19</v>
      </c>
    </row>
    <row r="99" spans="1:21" s="2" customFormat="1" ht="20.25" customHeight="1" thickBot="1" x14ac:dyDescent="0.25">
      <c r="A99"/>
      <c r="B99" s="4" t="s">
        <v>3</v>
      </c>
      <c r="C99" s="313" t="s">
        <v>71</v>
      </c>
      <c r="D99" s="314"/>
      <c r="E99" s="314"/>
      <c r="F99" s="314"/>
      <c r="G99" s="415"/>
      <c r="H99" s="487">
        <f>UNIFORMES!G12</f>
        <v>0</v>
      </c>
      <c r="I99" s="488"/>
      <c r="J99" s="98"/>
      <c r="K99" s="10"/>
      <c r="L99" s="24">
        <f>H99</f>
        <v>0</v>
      </c>
      <c r="N99" s="410"/>
      <c r="O99" s="410"/>
      <c r="P99" s="410"/>
      <c r="Q99" s="410"/>
    </row>
    <row r="100" spans="1:21" s="2" customFormat="1" ht="20.25" customHeight="1" thickBot="1" x14ac:dyDescent="0.25">
      <c r="A100"/>
      <c r="B100" s="4" t="s">
        <v>5</v>
      </c>
      <c r="C100" s="405" t="s">
        <v>26</v>
      </c>
      <c r="D100" s="405"/>
      <c r="E100" s="405"/>
      <c r="F100" s="405"/>
      <c r="G100" s="405"/>
      <c r="H100" s="487">
        <f>'MATERIAIS E EPIS'!F23</f>
        <v>0</v>
      </c>
      <c r="I100" s="488"/>
      <c r="J100" s="99"/>
      <c r="K100" s="10"/>
      <c r="L100" s="24">
        <f>H100-K100</f>
        <v>0</v>
      </c>
      <c r="N100" s="413"/>
      <c r="O100" s="413"/>
      <c r="P100" s="413"/>
      <c r="Q100" s="413"/>
    </row>
    <row r="101" spans="1:21" s="2" customFormat="1" ht="20.25" customHeight="1" thickBot="1" x14ac:dyDescent="0.25">
      <c r="A101"/>
      <c r="B101" s="11" t="s">
        <v>7</v>
      </c>
      <c r="C101" s="405" t="s">
        <v>27</v>
      </c>
      <c r="D101" s="405"/>
      <c r="E101" s="405"/>
      <c r="F101" s="405"/>
      <c r="G101" s="405"/>
      <c r="H101" s="487">
        <f>EQUIPAMENTOS!H17</f>
        <v>0</v>
      </c>
      <c r="I101" s="488"/>
      <c r="J101" s="100"/>
      <c r="K101" s="10"/>
      <c r="L101" s="24">
        <f>H101</f>
        <v>0</v>
      </c>
      <c r="N101" s="414"/>
      <c r="O101" s="414"/>
      <c r="P101" s="414"/>
      <c r="Q101" s="414"/>
    </row>
    <row r="102" spans="1:21" s="2" customFormat="1" ht="27" customHeight="1" thickBot="1" x14ac:dyDescent="0.25">
      <c r="A102"/>
      <c r="B102" s="4" t="s">
        <v>22</v>
      </c>
      <c r="C102" s="405" t="s">
        <v>355</v>
      </c>
      <c r="D102" s="405"/>
      <c r="E102" s="405"/>
      <c r="F102" s="405"/>
      <c r="G102" s="405"/>
      <c r="H102" s="489">
        <f>INSUMOS!H25</f>
        <v>0</v>
      </c>
      <c r="I102" s="490"/>
      <c r="J102" s="98"/>
      <c r="K102" s="10"/>
      <c r="L102" s="24">
        <f>H102</f>
        <v>0</v>
      </c>
    </row>
    <row r="103" spans="1:21" s="2" customFormat="1" ht="27" customHeight="1" thickBot="1" x14ac:dyDescent="0.25">
      <c r="A103"/>
      <c r="B103" s="402" t="s">
        <v>12</v>
      </c>
      <c r="C103" s="403"/>
      <c r="D103" s="403"/>
      <c r="E103" s="403"/>
      <c r="F103" s="403"/>
      <c r="G103" s="403"/>
      <c r="H103" s="403"/>
      <c r="I103" s="403"/>
      <c r="J103" s="403"/>
      <c r="K103" s="404"/>
      <c r="L103" s="86">
        <f>SUM(L99:L102)</f>
        <v>0</v>
      </c>
    </row>
    <row r="104" spans="1:21" s="2" customFormat="1" ht="27" customHeight="1" thickBot="1" x14ac:dyDescent="0.25">
      <c r="A104"/>
      <c r="B104" s="408" t="s">
        <v>58</v>
      </c>
      <c r="C104" s="408"/>
      <c r="D104" s="408"/>
      <c r="E104" s="408"/>
      <c r="F104" s="408"/>
      <c r="G104" s="408"/>
      <c r="H104" s="408"/>
      <c r="I104" s="408"/>
      <c r="J104" s="408"/>
      <c r="K104" s="408"/>
      <c r="L104" s="408"/>
    </row>
    <row r="105" spans="1:21" s="2" customFormat="1" ht="18.75" customHeight="1" thickBot="1" x14ac:dyDescent="0.3">
      <c r="A105"/>
      <c r="B105" s="87">
        <v>6</v>
      </c>
      <c r="C105" s="409" t="s">
        <v>356</v>
      </c>
      <c r="D105" s="409"/>
      <c r="E105" s="409"/>
      <c r="F105" s="409"/>
      <c r="G105" s="409"/>
      <c r="H105" s="409"/>
      <c r="I105" s="409"/>
      <c r="J105" s="409"/>
      <c r="K105" s="88" t="s">
        <v>18</v>
      </c>
      <c r="L105" s="88" t="s">
        <v>130</v>
      </c>
      <c r="O105" s="27"/>
      <c r="P105" s="27"/>
      <c r="Q105" s="63"/>
      <c r="R105" s="64"/>
      <c r="S105" s="64"/>
      <c r="T105" s="64"/>
      <c r="U105" s="28"/>
    </row>
    <row r="106" spans="1:21" s="2" customFormat="1" ht="20.25" customHeight="1" thickBot="1" x14ac:dyDescent="0.3">
      <c r="A106"/>
      <c r="B106" s="315" t="s">
        <v>131</v>
      </c>
      <c r="C106" s="316"/>
      <c r="D106" s="316"/>
      <c r="E106" s="316"/>
      <c r="F106" s="316"/>
      <c r="G106" s="316"/>
      <c r="H106" s="316"/>
      <c r="I106" s="316"/>
      <c r="J106" s="316"/>
      <c r="K106" s="317"/>
      <c r="L106" s="246">
        <f>L122</f>
        <v>0</v>
      </c>
      <c r="O106" s="27"/>
      <c r="P106" s="27"/>
      <c r="Q106" s="71"/>
      <c r="R106" s="64"/>
      <c r="S106" s="64"/>
      <c r="T106" s="64"/>
      <c r="U106" s="28"/>
    </row>
    <row r="107" spans="1:21" s="2" customFormat="1" ht="20.25" customHeight="1" thickBot="1" x14ac:dyDescent="0.3">
      <c r="A107"/>
      <c r="B107" s="8" t="s">
        <v>3</v>
      </c>
      <c r="C107" s="244" t="s">
        <v>31</v>
      </c>
      <c r="D107" s="245"/>
      <c r="E107" s="245"/>
      <c r="F107" s="245"/>
      <c r="G107" s="245"/>
      <c r="H107" s="245"/>
      <c r="I107" s="245"/>
      <c r="J107" s="245"/>
      <c r="K107" s="304">
        <v>0.05</v>
      </c>
      <c r="L107" s="96">
        <f>L106*K107</f>
        <v>0</v>
      </c>
      <c r="O107" s="27"/>
      <c r="P107" s="27"/>
      <c r="Q107" s="72"/>
      <c r="R107" s="65"/>
      <c r="S107" s="66"/>
      <c r="T107" s="66"/>
      <c r="U107" s="29"/>
    </row>
    <row r="108" spans="1:21" s="2" customFormat="1" ht="20.25" customHeight="1" thickBot="1" x14ac:dyDescent="0.3">
      <c r="A108"/>
      <c r="B108" s="8" t="s">
        <v>5</v>
      </c>
      <c r="C108" s="33" t="s">
        <v>100</v>
      </c>
      <c r="D108" s="34"/>
      <c r="E108" s="34"/>
      <c r="F108" s="34"/>
      <c r="G108" s="34"/>
      <c r="H108" s="34"/>
      <c r="I108" s="34"/>
      <c r="J108" s="34"/>
      <c r="K108" s="305">
        <v>0.1</v>
      </c>
      <c r="L108" s="97">
        <f>ROUND((L106*K108),2)</f>
        <v>0</v>
      </c>
      <c r="O108" s="27"/>
      <c r="P108" s="27"/>
      <c r="Q108" s="67"/>
      <c r="R108" s="68"/>
      <c r="S108" s="69"/>
      <c r="T108" s="69"/>
      <c r="U108" s="30"/>
    </row>
    <row r="109" spans="1:21" s="2" customFormat="1" ht="20.25" customHeight="1" thickBot="1" x14ac:dyDescent="0.3">
      <c r="A109"/>
      <c r="B109" s="311" t="s">
        <v>196</v>
      </c>
      <c r="C109" s="312"/>
      <c r="D109" s="312"/>
      <c r="E109" s="312"/>
      <c r="F109" s="312"/>
      <c r="G109" s="312"/>
      <c r="H109" s="312" t="s">
        <v>197</v>
      </c>
      <c r="I109" s="312"/>
      <c r="J109" s="312"/>
      <c r="K109" s="312"/>
      <c r="L109" s="139">
        <f>SUM(L106:L108)</f>
        <v>0</v>
      </c>
      <c r="O109" s="27"/>
      <c r="P109" s="27"/>
      <c r="Q109" s="67"/>
      <c r="R109" s="68"/>
      <c r="S109" s="69"/>
      <c r="T109" s="69"/>
      <c r="U109" s="30"/>
    </row>
    <row r="110" spans="1:21" s="2" customFormat="1" ht="20.25" customHeight="1" thickBot="1" x14ac:dyDescent="0.3">
      <c r="A110"/>
      <c r="B110" s="4" t="s">
        <v>7</v>
      </c>
      <c r="C110" s="313" t="s">
        <v>198</v>
      </c>
      <c r="D110" s="314"/>
      <c r="E110" s="314"/>
      <c r="F110" s="314"/>
      <c r="G110" s="314"/>
      <c r="H110" s="314"/>
      <c r="I110" s="314"/>
      <c r="J110" s="137">
        <f>SUM(K111:K113)*100</f>
        <v>14.250000000000002</v>
      </c>
      <c r="K110" s="138">
        <f>ROUND((100-J110)/100,2)</f>
        <v>0.86</v>
      </c>
      <c r="L110" s="247">
        <f>SUM(L109/K110)</f>
        <v>0</v>
      </c>
      <c r="O110" s="27"/>
      <c r="P110" s="27"/>
      <c r="Q110" s="67"/>
      <c r="R110" s="68"/>
      <c r="S110" s="69"/>
      <c r="T110" s="69"/>
      <c r="U110" s="30"/>
    </row>
    <row r="111" spans="1:21" s="2" customFormat="1" ht="20.25" customHeight="1" thickBot="1" x14ac:dyDescent="0.3">
      <c r="A111"/>
      <c r="B111" s="45"/>
      <c r="C111" s="121" t="s">
        <v>137</v>
      </c>
      <c r="D111" s="122"/>
      <c r="E111" s="122"/>
      <c r="F111" s="122"/>
      <c r="G111" s="122"/>
      <c r="H111" s="122"/>
      <c r="I111" s="122"/>
      <c r="J111" s="122"/>
      <c r="K111" s="306">
        <v>1.6500000000000001E-2</v>
      </c>
      <c r="L111" s="248">
        <f>ROUND((K111*L110),2)</f>
        <v>0</v>
      </c>
      <c r="O111" s="27"/>
      <c r="P111" s="27"/>
      <c r="Q111" s="67"/>
      <c r="R111" s="68"/>
      <c r="S111" s="69"/>
      <c r="T111" s="69"/>
      <c r="U111" s="30"/>
    </row>
    <row r="112" spans="1:21" s="2" customFormat="1" ht="20.25" customHeight="1" thickBot="1" x14ac:dyDescent="0.3">
      <c r="A112"/>
      <c r="B112" s="45"/>
      <c r="C112" s="121" t="s">
        <v>138</v>
      </c>
      <c r="D112" s="122"/>
      <c r="E112" s="122"/>
      <c r="F112" s="122"/>
      <c r="G112" s="122"/>
      <c r="H112" s="122"/>
      <c r="I112" s="122"/>
      <c r="J112" s="122"/>
      <c r="K112" s="306">
        <v>7.5999999999999998E-2</v>
      </c>
      <c r="L112" s="249">
        <f>ROUND((K112*L110),2)</f>
        <v>0</v>
      </c>
      <c r="O112" s="27"/>
      <c r="P112" s="27"/>
      <c r="Q112" s="67"/>
      <c r="R112" s="68"/>
      <c r="S112" s="69"/>
      <c r="T112" s="69"/>
      <c r="U112" s="30"/>
    </row>
    <row r="113" spans="1:32" s="2" customFormat="1" ht="20.25" customHeight="1" thickBot="1" x14ac:dyDescent="0.3">
      <c r="A113"/>
      <c r="B113" s="45"/>
      <c r="C113" s="121" t="s">
        <v>136</v>
      </c>
      <c r="D113" s="122"/>
      <c r="E113" s="122"/>
      <c r="F113" s="122"/>
      <c r="G113" s="122"/>
      <c r="H113" s="122"/>
      <c r="I113" s="122"/>
      <c r="J113" s="122"/>
      <c r="K113" s="306">
        <v>0.05</v>
      </c>
      <c r="L113" s="250">
        <f>ROUND((K113*L110),2)</f>
        <v>0</v>
      </c>
      <c r="O113" s="27"/>
      <c r="P113" s="27"/>
      <c r="Q113" s="67"/>
      <c r="R113" s="68"/>
      <c r="S113" s="69"/>
      <c r="T113" s="69"/>
      <c r="U113" s="30"/>
    </row>
    <row r="114" spans="1:32" s="2" customFormat="1" ht="20.25" customHeight="1" thickBot="1" x14ac:dyDescent="0.3">
      <c r="A114"/>
      <c r="B114" s="402" t="s">
        <v>12</v>
      </c>
      <c r="C114" s="403"/>
      <c r="D114" s="403"/>
      <c r="E114" s="403"/>
      <c r="F114" s="403"/>
      <c r="G114" s="403"/>
      <c r="H114" s="403"/>
      <c r="I114" s="403"/>
      <c r="J114" s="403"/>
      <c r="K114" s="404"/>
      <c r="L114" s="89">
        <f>SUM(L111:L113,L107:L108)</f>
        <v>0</v>
      </c>
      <c r="O114" s="27"/>
      <c r="P114" s="27"/>
      <c r="Q114" s="67"/>
      <c r="R114" s="68"/>
      <c r="S114" s="69"/>
      <c r="T114" s="69"/>
      <c r="U114" s="30"/>
    </row>
    <row r="115" spans="1:32" s="2" customFormat="1" ht="21" customHeight="1" thickBot="1" x14ac:dyDescent="0.3">
      <c r="A115"/>
      <c r="B115" s="389" t="s">
        <v>115</v>
      </c>
      <c r="C115" s="389"/>
      <c r="D115" s="389"/>
      <c r="E115" s="389"/>
      <c r="F115" s="389"/>
      <c r="G115" s="389"/>
      <c r="H115" s="389"/>
      <c r="I115" s="389"/>
      <c r="J115" s="389"/>
      <c r="K115" s="389"/>
      <c r="L115" s="389"/>
      <c r="O115" s="27"/>
      <c r="P115" s="27"/>
      <c r="Q115" s="67"/>
      <c r="R115" s="70"/>
      <c r="S115" s="69"/>
      <c r="T115" s="69"/>
      <c r="U115" s="30"/>
    </row>
    <row r="116" spans="1:32" s="2" customFormat="1" ht="21" customHeight="1" thickBot="1" x14ac:dyDescent="0.3">
      <c r="A116"/>
      <c r="B116" s="90"/>
      <c r="C116" s="123" t="s">
        <v>65</v>
      </c>
      <c r="D116" s="91"/>
      <c r="E116" s="92"/>
      <c r="F116" s="92"/>
      <c r="G116" s="92"/>
      <c r="H116" s="92"/>
      <c r="I116" s="92"/>
      <c r="J116" s="92"/>
      <c r="K116" s="92"/>
      <c r="L116" s="93" t="s">
        <v>32</v>
      </c>
      <c r="O116" s="27"/>
      <c r="P116" s="27"/>
      <c r="Q116" s="67"/>
      <c r="R116" s="70"/>
      <c r="S116" s="69"/>
      <c r="T116" s="69"/>
      <c r="U116" s="30"/>
    </row>
    <row r="117" spans="1:32" s="2" customFormat="1" ht="20.25" customHeight="1" thickBot="1" x14ac:dyDescent="0.3">
      <c r="A117"/>
      <c r="B117" s="17" t="s">
        <v>3</v>
      </c>
      <c r="C117" s="399" t="s">
        <v>60</v>
      </c>
      <c r="D117" s="400"/>
      <c r="E117" s="400"/>
      <c r="F117" s="400"/>
      <c r="G117" s="400"/>
      <c r="H117" s="400"/>
      <c r="I117" s="400"/>
      <c r="J117" s="400"/>
      <c r="K117" s="401"/>
      <c r="L117" s="23">
        <f>L38</f>
        <v>0</v>
      </c>
      <c r="O117" s="27"/>
      <c r="P117" s="27"/>
      <c r="Q117" s="67"/>
      <c r="R117" s="70"/>
      <c r="S117" s="69"/>
      <c r="T117" s="69"/>
      <c r="U117" s="30"/>
    </row>
    <row r="118" spans="1:32" s="2" customFormat="1" ht="20.25" customHeight="1" thickBot="1" x14ac:dyDescent="0.3">
      <c r="A118"/>
      <c r="B118" s="16" t="s">
        <v>5</v>
      </c>
      <c r="C118" s="399" t="s">
        <v>61</v>
      </c>
      <c r="D118" s="400"/>
      <c r="E118" s="400"/>
      <c r="F118" s="400"/>
      <c r="G118" s="400"/>
      <c r="H118" s="400"/>
      <c r="I118" s="400"/>
      <c r="J118" s="400"/>
      <c r="K118" s="400"/>
      <c r="L118" s="19">
        <f>L69</f>
        <v>0</v>
      </c>
      <c r="O118" s="27"/>
      <c r="P118" s="27"/>
      <c r="Q118" s="67"/>
      <c r="R118" s="70"/>
      <c r="S118" s="69"/>
      <c r="T118" s="69"/>
      <c r="U118" s="30"/>
    </row>
    <row r="119" spans="1:32" s="2" customFormat="1" ht="20.25" customHeight="1" thickBot="1" x14ac:dyDescent="0.3">
      <c r="A119"/>
      <c r="B119" s="16" t="s">
        <v>7</v>
      </c>
      <c r="C119" s="399" t="s">
        <v>53</v>
      </c>
      <c r="D119" s="400"/>
      <c r="E119" s="400"/>
      <c r="F119" s="400"/>
      <c r="G119" s="400"/>
      <c r="H119" s="400"/>
      <c r="I119" s="400"/>
      <c r="J119" s="400"/>
      <c r="K119" s="401"/>
      <c r="L119" s="20">
        <f>L78</f>
        <v>0</v>
      </c>
      <c r="O119" s="27"/>
      <c r="P119" s="27"/>
      <c r="Q119" s="67"/>
      <c r="R119" s="70"/>
      <c r="S119" s="69"/>
      <c r="T119" s="69"/>
      <c r="U119" s="30"/>
    </row>
    <row r="120" spans="1:32" s="2" customFormat="1" ht="20.25" customHeight="1" thickBot="1" x14ac:dyDescent="0.3">
      <c r="A120"/>
      <c r="B120" s="16" t="s">
        <v>22</v>
      </c>
      <c r="C120" s="399" t="s">
        <v>62</v>
      </c>
      <c r="D120" s="400"/>
      <c r="E120" s="400"/>
      <c r="F120" s="400"/>
      <c r="G120" s="400"/>
      <c r="H120" s="400"/>
      <c r="I120" s="400"/>
      <c r="J120" s="400"/>
      <c r="K120" s="401"/>
      <c r="L120" s="20">
        <f>L96</f>
        <v>0</v>
      </c>
      <c r="O120" s="27"/>
      <c r="P120" s="27"/>
      <c r="Q120" s="67"/>
      <c r="R120" s="70"/>
      <c r="S120" s="69"/>
      <c r="T120" s="69"/>
      <c r="U120" s="30"/>
    </row>
    <row r="121" spans="1:32" s="2" customFormat="1" ht="20.25" customHeight="1" thickBot="1" x14ac:dyDescent="0.3">
      <c r="A121"/>
      <c r="B121" s="16" t="s">
        <v>8</v>
      </c>
      <c r="C121" s="399" t="s">
        <v>52</v>
      </c>
      <c r="D121" s="400"/>
      <c r="E121" s="400"/>
      <c r="F121" s="400"/>
      <c r="G121" s="400"/>
      <c r="H121" s="400"/>
      <c r="I121" s="400"/>
      <c r="J121" s="400"/>
      <c r="K121" s="401"/>
      <c r="L121" s="20">
        <f>L103</f>
        <v>0</v>
      </c>
      <c r="O121" s="27"/>
      <c r="P121" s="27"/>
      <c r="Q121" s="67"/>
      <c r="R121" s="70"/>
      <c r="S121" s="69"/>
      <c r="T121" s="69"/>
      <c r="U121" s="30"/>
    </row>
    <row r="122" spans="1:32" s="2" customFormat="1" ht="20.25" customHeight="1" thickBot="1" x14ac:dyDescent="0.3">
      <c r="A122"/>
      <c r="B122" s="79"/>
      <c r="C122" s="387" t="s">
        <v>63</v>
      </c>
      <c r="D122" s="388"/>
      <c r="E122" s="388"/>
      <c r="F122" s="388"/>
      <c r="G122" s="388"/>
      <c r="H122" s="388"/>
      <c r="I122" s="388"/>
      <c r="J122" s="388"/>
      <c r="K122" s="94"/>
      <c r="L122" s="95">
        <f>SUM(L117:L121)</f>
        <v>0</v>
      </c>
      <c r="N122" s="73"/>
      <c r="O122" s="27"/>
      <c r="P122" s="27"/>
      <c r="Q122" s="67"/>
      <c r="R122" s="70"/>
      <c r="S122" s="69"/>
      <c r="T122" s="69"/>
      <c r="U122" s="30"/>
    </row>
    <row r="123" spans="1:32" s="2" customFormat="1" ht="20.25" customHeight="1" thickBot="1" x14ac:dyDescent="0.3">
      <c r="A123"/>
      <c r="B123" s="16" t="s">
        <v>9</v>
      </c>
      <c r="C123" s="399" t="s">
        <v>58</v>
      </c>
      <c r="D123" s="400"/>
      <c r="E123" s="400"/>
      <c r="F123" s="400"/>
      <c r="G123" s="400"/>
      <c r="H123" s="400"/>
      <c r="I123" s="400"/>
      <c r="J123" s="400"/>
      <c r="K123" s="401"/>
      <c r="L123" s="20">
        <f>$L$114</f>
        <v>0</v>
      </c>
      <c r="N123" s="73"/>
      <c r="O123" s="27"/>
      <c r="P123" s="27"/>
      <c r="Q123" s="67"/>
      <c r="R123" s="70"/>
      <c r="S123" s="69"/>
      <c r="T123" s="69"/>
      <c r="U123" s="30"/>
    </row>
    <row r="124" spans="1:32" s="2" customFormat="1" ht="20.25" customHeight="1" thickBot="1" x14ac:dyDescent="0.3">
      <c r="A124"/>
      <c r="B124" s="79"/>
      <c r="C124" s="387" t="s">
        <v>64</v>
      </c>
      <c r="D124" s="388"/>
      <c r="E124" s="388"/>
      <c r="F124" s="388"/>
      <c r="G124" s="388"/>
      <c r="H124" s="388"/>
      <c r="I124" s="388"/>
      <c r="J124" s="388"/>
      <c r="K124" s="94"/>
      <c r="L124" s="95">
        <f>L123+L122</f>
        <v>0</v>
      </c>
      <c r="N124" s="73"/>
      <c r="O124" s="27"/>
      <c r="P124" s="27"/>
      <c r="Q124" s="67"/>
      <c r="R124" s="70"/>
      <c r="S124" s="69"/>
      <c r="T124" s="69"/>
      <c r="U124" s="30"/>
    </row>
    <row r="125" spans="1:32" s="2" customFormat="1" ht="20.25" customHeight="1" x14ac:dyDescent="0.2">
      <c r="A125"/>
      <c r="B125" s="389" t="s">
        <v>145</v>
      </c>
      <c r="C125" s="389"/>
      <c r="D125" s="389"/>
      <c r="E125" s="389"/>
      <c r="F125" s="389"/>
      <c r="G125" s="389"/>
      <c r="H125" s="389"/>
      <c r="I125" s="389"/>
      <c r="J125" s="389"/>
      <c r="K125" s="389"/>
      <c r="L125" s="389"/>
    </row>
    <row r="126" spans="1:32" s="2" customFormat="1" ht="9" customHeight="1" thickBot="1" x14ac:dyDescent="0.25">
      <c r="A126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32" s="2" customFormat="1" ht="18.75" customHeight="1" thickBot="1" x14ac:dyDescent="0.25">
      <c r="A127" s="1"/>
      <c r="B127" s="390" t="s">
        <v>116</v>
      </c>
      <c r="C127" s="391"/>
      <c r="D127" s="391"/>
      <c r="E127" s="391"/>
      <c r="F127" s="391"/>
      <c r="G127" s="391"/>
      <c r="H127" s="391"/>
      <c r="I127" s="391"/>
      <c r="J127" s="391"/>
      <c r="K127" s="391"/>
      <c r="L127" s="392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</row>
    <row r="128" spans="1:32" s="2" customForma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</row>
    <row r="129" spans="1:32" s="2" customFormat="1" ht="15.75" x14ac:dyDescent="0.25">
      <c r="A129" s="1"/>
      <c r="B129" s="393" t="s">
        <v>358</v>
      </c>
      <c r="C129" s="394"/>
      <c r="D129" s="394"/>
      <c r="E129" s="394"/>
      <c r="F129" s="394"/>
      <c r="G129" s="394"/>
      <c r="H129" s="394"/>
      <c r="I129" s="394"/>
      <c r="J129" s="394"/>
      <c r="K129" s="394"/>
      <c r="L129" s="39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</row>
    <row r="130" spans="1:32" s="2" customFormat="1" ht="15.75" x14ac:dyDescent="0.25">
      <c r="A130" s="1"/>
      <c r="B130" s="356" t="s">
        <v>101</v>
      </c>
      <c r="C130" s="357"/>
      <c r="D130" s="358"/>
      <c r="E130" s="362" t="s">
        <v>102</v>
      </c>
      <c r="F130" s="363"/>
      <c r="G130" s="363"/>
      <c r="H130" s="364"/>
      <c r="I130" s="365" t="s">
        <v>103</v>
      </c>
      <c r="J130" s="366"/>
      <c r="K130" s="367"/>
      <c r="L130" s="56" t="s">
        <v>104</v>
      </c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</row>
    <row r="131" spans="1:32" s="2" customFormat="1" ht="15.75" x14ac:dyDescent="0.25">
      <c r="A131" s="1"/>
      <c r="B131" s="380"/>
      <c r="C131" s="381"/>
      <c r="D131" s="382"/>
      <c r="E131" s="380" t="s">
        <v>105</v>
      </c>
      <c r="F131" s="381"/>
      <c r="G131" s="381"/>
      <c r="H131" s="382"/>
      <c r="I131" s="396" t="s">
        <v>106</v>
      </c>
      <c r="J131" s="397"/>
      <c r="K131" s="398"/>
      <c r="L131" s="57" t="s">
        <v>107</v>
      </c>
      <c r="M131" s="5"/>
      <c r="N131" s="129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</row>
    <row r="132" spans="1:32" s="2" customFormat="1" x14ac:dyDescent="0.2">
      <c r="A132" s="1"/>
      <c r="B132" s="345" t="s">
        <v>108</v>
      </c>
      <c r="C132" s="346"/>
      <c r="D132" s="347"/>
      <c r="E132" s="345">
        <f>1/800</f>
        <v>1.25E-3</v>
      </c>
      <c r="F132" s="346"/>
      <c r="G132" s="346"/>
      <c r="H132" s="347"/>
      <c r="I132" s="386">
        <f>L124</f>
        <v>0</v>
      </c>
      <c r="J132" s="372"/>
      <c r="K132" s="373"/>
      <c r="L132" s="125">
        <f>ROUND((E132*I132),2)</f>
        <v>0</v>
      </c>
      <c r="M132" s="5"/>
      <c r="N132" s="128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</row>
    <row r="133" spans="1:32" s="2" customFormat="1" ht="15.75" x14ac:dyDescent="0.25">
      <c r="A133" s="1"/>
      <c r="B133" s="351" t="s">
        <v>150</v>
      </c>
      <c r="C133" s="351"/>
      <c r="D133" s="351"/>
      <c r="E133" s="351"/>
      <c r="F133" s="351"/>
      <c r="G133" s="351"/>
      <c r="H133" s="351"/>
      <c r="I133" s="370" t="s">
        <v>199</v>
      </c>
      <c r="J133" s="370"/>
      <c r="K133" s="370"/>
      <c r="L133" s="370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</row>
    <row r="134" spans="1:32" s="2" customFormat="1" ht="15.75" x14ac:dyDescent="0.25">
      <c r="A134" s="1"/>
      <c r="B134" s="50"/>
      <c r="C134" s="59"/>
      <c r="D134" s="59"/>
      <c r="E134" s="59"/>
      <c r="F134" s="59"/>
      <c r="G134" s="59"/>
      <c r="H134" s="59"/>
      <c r="I134" s="35"/>
      <c r="J134" s="35"/>
      <c r="K134" s="35"/>
      <c r="L134" s="61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</row>
    <row r="135" spans="1:32" s="2" customFormat="1" ht="15.75" x14ac:dyDescent="0.2">
      <c r="A135" s="1"/>
      <c r="B135" s="353" t="s">
        <v>392</v>
      </c>
      <c r="C135" s="354"/>
      <c r="D135" s="354"/>
      <c r="E135" s="354"/>
      <c r="F135" s="354"/>
      <c r="G135" s="354"/>
      <c r="H135" s="354"/>
      <c r="I135" s="354"/>
      <c r="J135" s="354"/>
      <c r="K135" s="354"/>
      <c r="L135" s="355"/>
      <c r="M135" s="5"/>
      <c r="N135" s="128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</row>
    <row r="136" spans="1:32" s="2" customFormat="1" ht="15.75" x14ac:dyDescent="0.25">
      <c r="A136" s="1"/>
      <c r="B136" s="356" t="s">
        <v>101</v>
      </c>
      <c r="C136" s="357"/>
      <c r="D136" s="358"/>
      <c r="E136" s="362" t="s">
        <v>102</v>
      </c>
      <c r="F136" s="363"/>
      <c r="G136" s="363"/>
      <c r="H136" s="364"/>
      <c r="I136" s="365" t="s">
        <v>103</v>
      </c>
      <c r="J136" s="366"/>
      <c r="K136" s="367"/>
      <c r="L136" s="56" t="s">
        <v>104</v>
      </c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</row>
    <row r="137" spans="1:32" s="2" customFormat="1" ht="15.75" x14ac:dyDescent="0.25">
      <c r="A137" s="1"/>
      <c r="B137" s="380"/>
      <c r="C137" s="381"/>
      <c r="D137" s="382"/>
      <c r="E137" s="380" t="s">
        <v>105</v>
      </c>
      <c r="F137" s="381"/>
      <c r="G137" s="381"/>
      <c r="H137" s="382"/>
      <c r="I137" s="383" t="s">
        <v>106</v>
      </c>
      <c r="J137" s="384"/>
      <c r="K137" s="385"/>
      <c r="L137" s="57" t="s">
        <v>107</v>
      </c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</row>
    <row r="138" spans="1:32" s="2" customFormat="1" x14ac:dyDescent="0.2">
      <c r="A138" s="1"/>
      <c r="B138" s="342" t="s">
        <v>108</v>
      </c>
      <c r="C138" s="343"/>
      <c r="D138" s="344"/>
      <c r="E138" s="345">
        <f>1/360</f>
        <v>2.7777777777777779E-3</v>
      </c>
      <c r="F138" s="346"/>
      <c r="G138" s="346"/>
      <c r="H138" s="347"/>
      <c r="I138" s="386">
        <f>L124</f>
        <v>0</v>
      </c>
      <c r="J138" s="372"/>
      <c r="K138" s="373"/>
      <c r="L138" s="58">
        <f>ROUND((E138*32*(1/188.76)*I138),2)</f>
        <v>0</v>
      </c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</row>
    <row r="139" spans="1:32" s="2" customFormat="1" ht="15.75" x14ac:dyDescent="0.25">
      <c r="A139" s="1"/>
      <c r="B139" s="377" t="s">
        <v>150</v>
      </c>
      <c r="C139" s="378"/>
      <c r="D139" s="378"/>
      <c r="E139" s="378"/>
      <c r="F139" s="378"/>
      <c r="G139" s="378"/>
      <c r="H139" s="379"/>
      <c r="I139" s="374" t="s">
        <v>348</v>
      </c>
      <c r="J139" s="375"/>
      <c r="K139" s="375"/>
      <c r="L139" s="376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</row>
    <row r="140" spans="1:32" s="2" customFormat="1" ht="15.75" x14ac:dyDescent="0.25">
      <c r="A140" s="1"/>
      <c r="B140" s="50"/>
      <c r="C140" s="59"/>
      <c r="D140" s="59"/>
      <c r="E140" s="59"/>
      <c r="F140" s="59"/>
      <c r="G140" s="59"/>
      <c r="H140" s="59"/>
      <c r="I140" s="35"/>
      <c r="J140" s="35"/>
      <c r="K140" s="35"/>
      <c r="L140" s="61"/>
      <c r="M140" s="5"/>
      <c r="N140" s="128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</row>
    <row r="141" spans="1:32" s="2" customFormat="1" ht="15.75" x14ac:dyDescent="0.2">
      <c r="A141" s="1"/>
      <c r="B141" s="353" t="s">
        <v>395</v>
      </c>
      <c r="C141" s="354"/>
      <c r="D141" s="354"/>
      <c r="E141" s="354"/>
      <c r="F141" s="354"/>
      <c r="G141" s="354"/>
      <c r="H141" s="354"/>
      <c r="I141" s="354"/>
      <c r="J141" s="354"/>
      <c r="K141" s="354"/>
      <c r="L141" s="35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</row>
    <row r="142" spans="1:32" s="2" customFormat="1" ht="15.75" x14ac:dyDescent="0.25">
      <c r="A142" s="1"/>
      <c r="B142" s="356" t="s">
        <v>101</v>
      </c>
      <c r="C142" s="357"/>
      <c r="D142" s="358"/>
      <c r="E142" s="362" t="s">
        <v>102</v>
      </c>
      <c r="F142" s="363"/>
      <c r="G142" s="363"/>
      <c r="H142" s="364"/>
      <c r="I142" s="365" t="s">
        <v>103</v>
      </c>
      <c r="J142" s="366"/>
      <c r="K142" s="367"/>
      <c r="L142" s="56" t="s">
        <v>104</v>
      </c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</row>
    <row r="143" spans="1:32" s="2" customFormat="1" ht="15.75" x14ac:dyDescent="0.25">
      <c r="A143" s="1"/>
      <c r="B143" s="359"/>
      <c r="C143" s="360"/>
      <c r="D143" s="361"/>
      <c r="E143" s="368" t="s">
        <v>105</v>
      </c>
      <c r="F143" s="368"/>
      <c r="G143" s="368"/>
      <c r="H143" s="368"/>
      <c r="I143" s="369" t="s">
        <v>106</v>
      </c>
      <c r="J143" s="369"/>
      <c r="K143" s="369"/>
      <c r="L143" s="57" t="s">
        <v>107</v>
      </c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</row>
    <row r="144" spans="1:32" s="2" customFormat="1" x14ac:dyDescent="0.2">
      <c r="A144" s="1"/>
      <c r="B144" s="342" t="s">
        <v>108</v>
      </c>
      <c r="C144" s="343"/>
      <c r="D144" s="343"/>
      <c r="E144" s="371">
        <f>1/1500</f>
        <v>6.6666666666666664E-4</v>
      </c>
      <c r="F144" s="371"/>
      <c r="G144" s="371"/>
      <c r="H144" s="371"/>
      <c r="I144" s="372">
        <f>L124</f>
        <v>0</v>
      </c>
      <c r="J144" s="372"/>
      <c r="K144" s="373"/>
      <c r="L144" s="58">
        <f>ROUND((E144*16*(1/188.76)*I144),2)</f>
        <v>0</v>
      </c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</row>
    <row r="145" spans="1:32" s="2" customFormat="1" ht="15.75" x14ac:dyDescent="0.25">
      <c r="A145" s="1"/>
      <c r="B145" s="351" t="s">
        <v>150</v>
      </c>
      <c r="C145" s="351"/>
      <c r="D145" s="351"/>
      <c r="E145" s="351"/>
      <c r="F145" s="351"/>
      <c r="G145" s="351"/>
      <c r="H145" s="351"/>
      <c r="I145" s="374" t="s">
        <v>364</v>
      </c>
      <c r="J145" s="375"/>
      <c r="K145" s="375"/>
      <c r="L145" s="376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</row>
    <row r="146" spans="1:32" s="2" customFormat="1" ht="15.75" x14ac:dyDescent="0.25">
      <c r="A146" s="1"/>
      <c r="B146" s="50"/>
      <c r="C146" s="59"/>
      <c r="D146" s="59"/>
      <c r="E146" s="59"/>
      <c r="F146" s="59"/>
      <c r="G146" s="59"/>
      <c r="H146" s="59"/>
      <c r="I146" s="35"/>
      <c r="J146" s="35"/>
      <c r="K146" s="35"/>
      <c r="L146" s="61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</row>
    <row r="147" spans="1:32" s="2" customFormat="1" ht="15.75" x14ac:dyDescent="0.2">
      <c r="A147" s="1"/>
      <c r="B147" s="353" t="s">
        <v>393</v>
      </c>
      <c r="C147" s="354"/>
      <c r="D147" s="354"/>
      <c r="E147" s="354"/>
      <c r="F147" s="354"/>
      <c r="G147" s="354"/>
      <c r="H147" s="354"/>
      <c r="I147" s="354"/>
      <c r="J147" s="354"/>
      <c r="K147" s="354"/>
      <c r="L147" s="35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</row>
    <row r="148" spans="1:32" s="2" customFormat="1" ht="15.75" x14ac:dyDescent="0.25">
      <c r="A148" s="1"/>
      <c r="B148" s="356" t="s">
        <v>101</v>
      </c>
      <c r="C148" s="357"/>
      <c r="D148" s="358"/>
      <c r="E148" s="362" t="s">
        <v>102</v>
      </c>
      <c r="F148" s="363"/>
      <c r="G148" s="363"/>
      <c r="H148" s="364"/>
      <c r="I148" s="365" t="s">
        <v>103</v>
      </c>
      <c r="J148" s="366"/>
      <c r="K148" s="367"/>
      <c r="L148" s="56" t="s">
        <v>104</v>
      </c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</row>
    <row r="149" spans="1:32" s="2" customFormat="1" ht="15.75" x14ac:dyDescent="0.25">
      <c r="A149" s="1"/>
      <c r="B149" s="359"/>
      <c r="C149" s="360"/>
      <c r="D149" s="361"/>
      <c r="E149" s="368" t="s">
        <v>105</v>
      </c>
      <c r="F149" s="368"/>
      <c r="G149" s="368"/>
      <c r="H149" s="368"/>
      <c r="I149" s="369" t="s">
        <v>106</v>
      </c>
      <c r="J149" s="369"/>
      <c r="K149" s="369"/>
      <c r="L149" s="57" t="s">
        <v>107</v>
      </c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</row>
    <row r="150" spans="1:32" s="2" customFormat="1" x14ac:dyDescent="0.2">
      <c r="A150" s="1"/>
      <c r="B150" s="342" t="s">
        <v>108</v>
      </c>
      <c r="C150" s="343"/>
      <c r="D150" s="344"/>
      <c r="E150" s="345">
        <f>1/1000</f>
        <v>1E-3</v>
      </c>
      <c r="F150" s="346"/>
      <c r="G150" s="346"/>
      <c r="H150" s="347"/>
      <c r="I150" s="348">
        <f>L124</f>
        <v>0</v>
      </c>
      <c r="J150" s="349"/>
      <c r="K150" s="350"/>
      <c r="L150" s="58">
        <f>ROUND((E150*I150),2)</f>
        <v>0</v>
      </c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</row>
    <row r="151" spans="1:32" s="2" customFormat="1" ht="15.75" x14ac:dyDescent="0.25">
      <c r="A151" s="1"/>
      <c r="B151" s="351" t="s">
        <v>150</v>
      </c>
      <c r="C151" s="351"/>
      <c r="D151" s="351"/>
      <c r="E151" s="351"/>
      <c r="F151" s="351"/>
      <c r="G151" s="351"/>
      <c r="H151" s="351"/>
      <c r="I151" s="370" t="s">
        <v>364</v>
      </c>
      <c r="J151" s="370"/>
      <c r="K151" s="370"/>
      <c r="L151" s="370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</row>
    <row r="152" spans="1:32" s="2" customFormat="1" ht="15.75" x14ac:dyDescent="0.25">
      <c r="A152" s="1"/>
      <c r="B152" s="50"/>
      <c r="C152" s="59"/>
      <c r="D152" s="59"/>
      <c r="E152" s="59"/>
      <c r="F152" s="59"/>
      <c r="G152" s="59"/>
      <c r="H152" s="59"/>
      <c r="I152" s="35"/>
      <c r="J152" s="35"/>
      <c r="K152" s="35"/>
      <c r="L152" s="61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</row>
    <row r="153" spans="1:32" s="2" customFormat="1" ht="15.75" x14ac:dyDescent="0.2">
      <c r="A153" s="1"/>
      <c r="B153" s="353" t="s">
        <v>359</v>
      </c>
      <c r="C153" s="354"/>
      <c r="D153" s="354"/>
      <c r="E153" s="354"/>
      <c r="F153" s="354"/>
      <c r="G153" s="354"/>
      <c r="H153" s="354"/>
      <c r="I153" s="354"/>
      <c r="J153" s="354"/>
      <c r="K153" s="354"/>
      <c r="L153" s="35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</row>
    <row r="154" spans="1:32" s="2" customFormat="1" ht="15.75" x14ac:dyDescent="0.25">
      <c r="A154" s="1"/>
      <c r="B154" s="356" t="s">
        <v>101</v>
      </c>
      <c r="C154" s="357"/>
      <c r="D154" s="358"/>
      <c r="E154" s="362" t="s">
        <v>102</v>
      </c>
      <c r="F154" s="363"/>
      <c r="G154" s="363"/>
      <c r="H154" s="364"/>
      <c r="I154" s="365" t="s">
        <v>103</v>
      </c>
      <c r="J154" s="366"/>
      <c r="K154" s="367"/>
      <c r="L154" s="56" t="s">
        <v>104</v>
      </c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</row>
    <row r="155" spans="1:32" s="2" customFormat="1" ht="15.75" x14ac:dyDescent="0.25">
      <c r="A155" s="1"/>
      <c r="B155" s="359"/>
      <c r="C155" s="360"/>
      <c r="D155" s="361"/>
      <c r="E155" s="368" t="s">
        <v>105</v>
      </c>
      <c r="F155" s="368"/>
      <c r="G155" s="368"/>
      <c r="H155" s="368"/>
      <c r="I155" s="369" t="s">
        <v>106</v>
      </c>
      <c r="J155" s="369"/>
      <c r="K155" s="369"/>
      <c r="L155" s="57" t="s">
        <v>107</v>
      </c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</row>
    <row r="156" spans="1:32" s="2" customFormat="1" x14ac:dyDescent="0.2">
      <c r="A156" s="1"/>
      <c r="B156" s="342" t="s">
        <v>108</v>
      </c>
      <c r="C156" s="343"/>
      <c r="D156" s="344"/>
      <c r="E156" s="345">
        <f>1/200</f>
        <v>5.0000000000000001E-3</v>
      </c>
      <c r="F156" s="346"/>
      <c r="G156" s="346"/>
      <c r="H156" s="347"/>
      <c r="I156" s="348">
        <f>L124</f>
        <v>0</v>
      </c>
      <c r="J156" s="349"/>
      <c r="K156" s="350"/>
      <c r="L156" s="58">
        <f>ROUND((E156*I156),2)</f>
        <v>0</v>
      </c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</row>
    <row r="157" spans="1:32" s="2" customFormat="1" ht="15.75" x14ac:dyDescent="0.25">
      <c r="A157" s="1"/>
      <c r="B157" s="351" t="s">
        <v>150</v>
      </c>
      <c r="C157" s="351"/>
      <c r="D157" s="351"/>
      <c r="E157" s="351"/>
      <c r="F157" s="351"/>
      <c r="G157" s="351"/>
      <c r="H157" s="351"/>
      <c r="I157" s="370" t="s">
        <v>349</v>
      </c>
      <c r="J157" s="370"/>
      <c r="K157" s="370"/>
      <c r="L157" s="370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</row>
    <row r="158" spans="1:32" s="2" customFormat="1" ht="15.75" x14ac:dyDescent="0.25">
      <c r="A158" s="1"/>
      <c r="B158" s="50"/>
      <c r="C158" s="59"/>
      <c r="D158" s="59"/>
      <c r="E158" s="59"/>
      <c r="F158" s="59"/>
      <c r="G158" s="59"/>
      <c r="H158" s="59"/>
      <c r="I158" s="35"/>
      <c r="J158" s="35"/>
      <c r="K158" s="35"/>
      <c r="L158" s="61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</row>
    <row r="159" spans="1:32" s="2" customFormat="1" ht="15.75" x14ac:dyDescent="0.2">
      <c r="A159" s="1"/>
      <c r="B159" s="353" t="s">
        <v>391</v>
      </c>
      <c r="C159" s="354"/>
      <c r="D159" s="354"/>
      <c r="E159" s="354"/>
      <c r="F159" s="354"/>
      <c r="G159" s="354"/>
      <c r="H159" s="354"/>
      <c r="I159" s="354"/>
      <c r="J159" s="354"/>
      <c r="K159" s="354"/>
      <c r="L159" s="35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</row>
    <row r="160" spans="1:32" s="2" customFormat="1" ht="15.75" x14ac:dyDescent="0.25">
      <c r="A160" s="1"/>
      <c r="B160" s="356" t="s">
        <v>101</v>
      </c>
      <c r="C160" s="357"/>
      <c r="D160" s="358"/>
      <c r="E160" s="362" t="s">
        <v>102</v>
      </c>
      <c r="F160" s="363"/>
      <c r="G160" s="363"/>
      <c r="H160" s="364"/>
      <c r="I160" s="365" t="s">
        <v>103</v>
      </c>
      <c r="J160" s="366"/>
      <c r="K160" s="367"/>
      <c r="L160" s="56" t="s">
        <v>104</v>
      </c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</row>
    <row r="161" spans="1:32" s="2" customFormat="1" ht="15.75" x14ac:dyDescent="0.25">
      <c r="A161" s="1"/>
      <c r="B161" s="359"/>
      <c r="C161" s="360"/>
      <c r="D161" s="361"/>
      <c r="E161" s="368" t="s">
        <v>105</v>
      </c>
      <c r="F161" s="368"/>
      <c r="G161" s="368"/>
      <c r="H161" s="368"/>
      <c r="I161" s="369" t="s">
        <v>106</v>
      </c>
      <c r="J161" s="369"/>
      <c r="K161" s="369"/>
      <c r="L161" s="57" t="s">
        <v>107</v>
      </c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</row>
    <row r="162" spans="1:32" s="5" customFormat="1" x14ac:dyDescent="0.2">
      <c r="A162" s="1"/>
      <c r="B162" s="342" t="s">
        <v>108</v>
      </c>
      <c r="C162" s="343"/>
      <c r="D162" s="344"/>
      <c r="E162" s="345">
        <f>1/1800</f>
        <v>5.5555555555555556E-4</v>
      </c>
      <c r="F162" s="346"/>
      <c r="G162" s="346"/>
      <c r="H162" s="347"/>
      <c r="I162" s="348">
        <f>L124</f>
        <v>0</v>
      </c>
      <c r="J162" s="349"/>
      <c r="K162" s="350"/>
      <c r="L162" s="58">
        <f>ROUND((E162*32*(1/188.76)*I162),2)</f>
        <v>0</v>
      </c>
    </row>
    <row r="163" spans="1:32" s="5" customFormat="1" ht="15.75" x14ac:dyDescent="0.25">
      <c r="A163" s="1"/>
      <c r="B163" s="351" t="s">
        <v>150</v>
      </c>
      <c r="C163" s="351"/>
      <c r="D163" s="351"/>
      <c r="E163" s="351"/>
      <c r="F163" s="351"/>
      <c r="G163" s="351"/>
      <c r="H163" s="351"/>
      <c r="I163" s="352" t="s">
        <v>350</v>
      </c>
      <c r="J163" s="352"/>
      <c r="K163" s="352"/>
      <c r="L163" s="352"/>
    </row>
    <row r="164" spans="1:32" s="5" customFormat="1" ht="15.75" x14ac:dyDescent="0.25">
      <c r="A164" s="1"/>
      <c r="B164" s="59"/>
      <c r="C164" s="59"/>
      <c r="D164" s="59"/>
      <c r="E164" s="60"/>
      <c r="F164" s="60"/>
      <c r="G164" s="60"/>
      <c r="H164" s="60"/>
      <c r="I164" s="35"/>
      <c r="J164" s="35"/>
      <c r="K164" s="35"/>
      <c r="L164" s="62"/>
    </row>
    <row r="165" spans="1:32" s="5" customFormat="1" ht="15.75" x14ac:dyDescent="0.2">
      <c r="A165" s="1"/>
      <c r="B165" s="353" t="s">
        <v>360</v>
      </c>
      <c r="C165" s="354"/>
      <c r="D165" s="354"/>
      <c r="E165" s="354"/>
      <c r="F165" s="354"/>
      <c r="G165" s="354"/>
      <c r="H165" s="354"/>
      <c r="I165" s="354"/>
      <c r="J165" s="354"/>
      <c r="K165" s="354"/>
      <c r="L165" s="355"/>
    </row>
    <row r="166" spans="1:32" s="5" customFormat="1" ht="15.75" x14ac:dyDescent="0.25">
      <c r="A166" s="1"/>
      <c r="B166" s="356" t="s">
        <v>101</v>
      </c>
      <c r="C166" s="357"/>
      <c r="D166" s="358"/>
      <c r="E166" s="362" t="s">
        <v>102</v>
      </c>
      <c r="F166" s="363"/>
      <c r="G166" s="363"/>
      <c r="H166" s="364"/>
      <c r="I166" s="365" t="s">
        <v>103</v>
      </c>
      <c r="J166" s="366"/>
      <c r="K166" s="367"/>
      <c r="L166" s="56" t="s">
        <v>104</v>
      </c>
    </row>
    <row r="167" spans="1:32" s="5" customFormat="1" ht="15.75" x14ac:dyDescent="0.25">
      <c r="A167" s="1"/>
      <c r="B167" s="359"/>
      <c r="C167" s="360"/>
      <c r="D167" s="361"/>
      <c r="E167" s="368" t="s">
        <v>105</v>
      </c>
      <c r="F167" s="368"/>
      <c r="G167" s="368"/>
      <c r="H167" s="368"/>
      <c r="I167" s="369" t="s">
        <v>106</v>
      </c>
      <c r="J167" s="369"/>
      <c r="K167" s="369"/>
      <c r="L167" s="57" t="s">
        <v>107</v>
      </c>
    </row>
    <row r="168" spans="1:32" s="5" customFormat="1" x14ac:dyDescent="0.2">
      <c r="A168" s="1"/>
      <c r="B168" s="342" t="s">
        <v>108</v>
      </c>
      <c r="C168" s="343"/>
      <c r="D168" s="344"/>
      <c r="E168" s="345">
        <f>1/6000</f>
        <v>1.6666666666666666E-4</v>
      </c>
      <c r="F168" s="346"/>
      <c r="G168" s="346"/>
      <c r="H168" s="347"/>
      <c r="I168" s="348">
        <f>L124</f>
        <v>0</v>
      </c>
      <c r="J168" s="349"/>
      <c r="K168" s="350"/>
      <c r="L168" s="58">
        <f>ROUND((E168*I168),2)</f>
        <v>0</v>
      </c>
    </row>
    <row r="169" spans="1:32" s="5" customFormat="1" ht="15.75" x14ac:dyDescent="0.25">
      <c r="A169" s="1"/>
      <c r="B169" s="351" t="s">
        <v>150</v>
      </c>
      <c r="C169" s="351"/>
      <c r="D169" s="351"/>
      <c r="E169" s="351"/>
      <c r="F169" s="351"/>
      <c r="G169" s="351"/>
      <c r="H169" s="351"/>
      <c r="I169" s="352" t="s">
        <v>351</v>
      </c>
      <c r="J169" s="352"/>
      <c r="K169" s="352"/>
      <c r="L169" s="352"/>
    </row>
    <row r="170" spans="1:32" s="5" customFormat="1" ht="15.75" x14ac:dyDescent="0.25">
      <c r="A170" s="1"/>
      <c r="B170" s="59"/>
      <c r="C170" s="59"/>
      <c r="D170" s="59"/>
      <c r="E170" s="60"/>
      <c r="F170" s="60"/>
      <c r="G170" s="60"/>
      <c r="H170" s="60"/>
      <c r="I170" s="35"/>
      <c r="J170" s="35"/>
      <c r="K170" s="35"/>
      <c r="L170" s="62"/>
    </row>
    <row r="171" spans="1:32" s="5" customFormat="1" ht="15.75" x14ac:dyDescent="0.2">
      <c r="A171" s="1"/>
      <c r="B171" s="353" t="s">
        <v>366</v>
      </c>
      <c r="C171" s="354"/>
      <c r="D171" s="354"/>
      <c r="E171" s="354"/>
      <c r="F171" s="354"/>
      <c r="G171" s="354"/>
      <c r="H171" s="354"/>
      <c r="I171" s="354"/>
      <c r="J171" s="354"/>
      <c r="K171" s="354"/>
      <c r="L171" s="355"/>
    </row>
    <row r="172" spans="1:32" s="5" customFormat="1" ht="15.75" x14ac:dyDescent="0.25">
      <c r="A172" s="1"/>
      <c r="B172" s="356" t="s">
        <v>101</v>
      </c>
      <c r="C172" s="357"/>
      <c r="D172" s="358"/>
      <c r="E172" s="362" t="s">
        <v>102</v>
      </c>
      <c r="F172" s="363"/>
      <c r="G172" s="363"/>
      <c r="H172" s="364"/>
      <c r="I172" s="365" t="s">
        <v>103</v>
      </c>
      <c r="J172" s="366"/>
      <c r="K172" s="367"/>
      <c r="L172" s="56" t="s">
        <v>104</v>
      </c>
    </row>
    <row r="173" spans="1:32" s="5" customFormat="1" ht="15.75" x14ac:dyDescent="0.25">
      <c r="A173" s="1"/>
      <c r="B173" s="359"/>
      <c r="C173" s="360"/>
      <c r="D173" s="361"/>
      <c r="E173" s="368" t="s">
        <v>105</v>
      </c>
      <c r="F173" s="368"/>
      <c r="G173" s="368"/>
      <c r="H173" s="368"/>
      <c r="I173" s="369" t="s">
        <v>106</v>
      </c>
      <c r="J173" s="369"/>
      <c r="K173" s="369"/>
      <c r="L173" s="57" t="s">
        <v>107</v>
      </c>
    </row>
    <row r="174" spans="1:32" s="5" customFormat="1" x14ac:dyDescent="0.2">
      <c r="A174" s="1"/>
      <c r="B174" s="342" t="s">
        <v>108</v>
      </c>
      <c r="C174" s="343"/>
      <c r="D174" s="344"/>
      <c r="E174" s="345">
        <f>1/1800</f>
        <v>5.5555555555555556E-4</v>
      </c>
      <c r="F174" s="346"/>
      <c r="G174" s="346"/>
      <c r="H174" s="347"/>
      <c r="I174" s="348">
        <f>L124</f>
        <v>0</v>
      </c>
      <c r="J174" s="349"/>
      <c r="K174" s="350"/>
      <c r="L174" s="58">
        <f>ROUND((E174*32*(1/188.76)*I174),2)</f>
        <v>0</v>
      </c>
    </row>
    <row r="175" spans="1:32" s="5" customFormat="1" ht="15.75" x14ac:dyDescent="0.25">
      <c r="A175" s="1"/>
      <c r="B175" s="351" t="s">
        <v>150</v>
      </c>
      <c r="C175" s="351"/>
      <c r="D175" s="351"/>
      <c r="E175" s="351"/>
      <c r="F175" s="351"/>
      <c r="G175" s="351"/>
      <c r="H175" s="351"/>
      <c r="I175" s="352" t="s">
        <v>350</v>
      </c>
      <c r="J175" s="352"/>
      <c r="K175" s="352"/>
      <c r="L175" s="352"/>
    </row>
    <row r="176" spans="1:32" s="5" customFormat="1" ht="15.75" x14ac:dyDescent="0.25">
      <c r="A176" s="1"/>
      <c r="B176" s="251"/>
      <c r="C176" s="251"/>
      <c r="D176" s="251"/>
      <c r="E176" s="251"/>
      <c r="F176" s="251"/>
      <c r="G176" s="251"/>
      <c r="H176" s="251"/>
      <c r="I176" s="252"/>
      <c r="J176" s="252"/>
      <c r="K176" s="252"/>
      <c r="L176" s="252"/>
    </row>
    <row r="177" spans="1:12" s="5" customFormat="1" ht="15.75" x14ac:dyDescent="0.2">
      <c r="A177" s="1"/>
      <c r="B177" s="353" t="s">
        <v>365</v>
      </c>
      <c r="C177" s="354"/>
      <c r="D177" s="354"/>
      <c r="E177" s="354"/>
      <c r="F177" s="354"/>
      <c r="G177" s="354"/>
      <c r="H177" s="354"/>
      <c r="I177" s="354"/>
      <c r="J177" s="354"/>
      <c r="K177" s="354"/>
      <c r="L177" s="355"/>
    </row>
    <row r="178" spans="1:12" s="5" customFormat="1" ht="15.75" x14ac:dyDescent="0.25">
      <c r="A178" s="1"/>
      <c r="B178" s="356" t="s">
        <v>101</v>
      </c>
      <c r="C178" s="357"/>
      <c r="D178" s="358"/>
      <c r="E178" s="362" t="s">
        <v>102</v>
      </c>
      <c r="F178" s="363"/>
      <c r="G178" s="363"/>
      <c r="H178" s="364"/>
      <c r="I178" s="365" t="s">
        <v>103</v>
      </c>
      <c r="J178" s="366"/>
      <c r="K178" s="367"/>
      <c r="L178" s="56" t="s">
        <v>104</v>
      </c>
    </row>
    <row r="179" spans="1:12" s="5" customFormat="1" ht="15.75" x14ac:dyDescent="0.25">
      <c r="A179" s="1"/>
      <c r="B179" s="359"/>
      <c r="C179" s="360"/>
      <c r="D179" s="361"/>
      <c r="E179" s="368" t="s">
        <v>105</v>
      </c>
      <c r="F179" s="368"/>
      <c r="G179" s="368"/>
      <c r="H179" s="368"/>
      <c r="I179" s="369" t="s">
        <v>106</v>
      </c>
      <c r="J179" s="369"/>
      <c r="K179" s="369"/>
      <c r="L179" s="57" t="s">
        <v>107</v>
      </c>
    </row>
    <row r="180" spans="1:12" s="5" customFormat="1" x14ac:dyDescent="0.2">
      <c r="A180" s="1"/>
      <c r="B180" s="342" t="s">
        <v>108</v>
      </c>
      <c r="C180" s="343"/>
      <c r="D180" s="344"/>
      <c r="E180" s="345">
        <f>1/1800</f>
        <v>5.5555555555555556E-4</v>
      </c>
      <c r="F180" s="346"/>
      <c r="G180" s="346"/>
      <c r="H180" s="347"/>
      <c r="I180" s="348">
        <f>L124</f>
        <v>0</v>
      </c>
      <c r="J180" s="349"/>
      <c r="K180" s="350"/>
      <c r="L180" s="58">
        <f>ROUND((E180*32*(1/188.76)*I180),2)</f>
        <v>0</v>
      </c>
    </row>
    <row r="181" spans="1:12" s="5" customFormat="1" ht="15.75" x14ac:dyDescent="0.25">
      <c r="A181" s="1"/>
      <c r="B181" s="351" t="s">
        <v>150</v>
      </c>
      <c r="C181" s="351"/>
      <c r="D181" s="351"/>
      <c r="E181" s="351"/>
      <c r="F181" s="351"/>
      <c r="G181" s="351"/>
      <c r="H181" s="351"/>
      <c r="I181" s="352" t="s">
        <v>350</v>
      </c>
      <c r="J181" s="352"/>
      <c r="K181" s="352"/>
      <c r="L181" s="352"/>
    </row>
    <row r="182" spans="1:12" s="5" customFormat="1" ht="15.75" x14ac:dyDescent="0.25">
      <c r="A182" s="1"/>
      <c r="B182" s="251"/>
      <c r="C182" s="251"/>
      <c r="D182" s="251"/>
      <c r="E182" s="251"/>
      <c r="F182" s="251"/>
      <c r="G182" s="251"/>
      <c r="H182" s="251"/>
      <c r="I182" s="252"/>
      <c r="J182" s="252"/>
      <c r="K182" s="252"/>
      <c r="L182" s="252"/>
    </row>
    <row r="183" spans="1:12" s="5" customFormat="1" ht="15.75" x14ac:dyDescent="0.2">
      <c r="A183" s="1"/>
      <c r="B183" s="353" t="s">
        <v>362</v>
      </c>
      <c r="C183" s="354"/>
      <c r="D183" s="354"/>
      <c r="E183" s="354"/>
      <c r="F183" s="354"/>
      <c r="G183" s="354"/>
      <c r="H183" s="354"/>
      <c r="I183" s="354"/>
      <c r="J183" s="354"/>
      <c r="K183" s="354"/>
      <c r="L183" s="355"/>
    </row>
    <row r="184" spans="1:12" s="5" customFormat="1" ht="15.75" x14ac:dyDescent="0.25">
      <c r="A184" s="1"/>
      <c r="B184" s="356" t="s">
        <v>101</v>
      </c>
      <c r="C184" s="357"/>
      <c r="D184" s="358"/>
      <c r="E184" s="362" t="s">
        <v>102</v>
      </c>
      <c r="F184" s="363"/>
      <c r="G184" s="363"/>
      <c r="H184" s="364"/>
      <c r="I184" s="365" t="s">
        <v>103</v>
      </c>
      <c r="J184" s="366"/>
      <c r="K184" s="367"/>
      <c r="L184" s="56" t="s">
        <v>104</v>
      </c>
    </row>
    <row r="185" spans="1:12" s="5" customFormat="1" ht="15.75" x14ac:dyDescent="0.25">
      <c r="A185" s="1"/>
      <c r="B185" s="359"/>
      <c r="C185" s="360"/>
      <c r="D185" s="361"/>
      <c r="E185" s="368" t="s">
        <v>105</v>
      </c>
      <c r="F185" s="368"/>
      <c r="G185" s="368"/>
      <c r="H185" s="368"/>
      <c r="I185" s="369" t="s">
        <v>106</v>
      </c>
      <c r="J185" s="369"/>
      <c r="K185" s="369"/>
      <c r="L185" s="57" t="s">
        <v>107</v>
      </c>
    </row>
    <row r="186" spans="1:12" s="5" customFormat="1" x14ac:dyDescent="0.2">
      <c r="A186" s="1"/>
      <c r="B186" s="342" t="s">
        <v>108</v>
      </c>
      <c r="C186" s="343"/>
      <c r="D186" s="344"/>
      <c r="E186" s="345">
        <f>1/300</f>
        <v>3.3333333333333335E-3</v>
      </c>
      <c r="F186" s="346"/>
      <c r="G186" s="346"/>
      <c r="H186" s="347"/>
      <c r="I186" s="348">
        <f>L124</f>
        <v>0</v>
      </c>
      <c r="J186" s="349"/>
      <c r="K186" s="350"/>
      <c r="L186" s="58">
        <f>ROUND((E186*4*(1/188.76)*I186),2)</f>
        <v>0</v>
      </c>
    </row>
    <row r="187" spans="1:12" s="5" customFormat="1" ht="15.75" x14ac:dyDescent="0.25">
      <c r="A187" s="1"/>
      <c r="B187" s="351" t="s">
        <v>150</v>
      </c>
      <c r="C187" s="351"/>
      <c r="D187" s="351"/>
      <c r="E187" s="351"/>
      <c r="F187" s="351"/>
      <c r="G187" s="351"/>
      <c r="H187" s="351"/>
      <c r="I187" s="352" t="s">
        <v>361</v>
      </c>
      <c r="J187" s="352"/>
      <c r="K187" s="352"/>
      <c r="L187" s="352"/>
    </row>
    <row r="188" spans="1:12" s="5" customFormat="1" ht="15.75" x14ac:dyDescent="0.25">
      <c r="A188" s="1"/>
      <c r="B188" s="59"/>
      <c r="C188" s="59"/>
      <c r="D188" s="59"/>
      <c r="E188" s="60"/>
      <c r="F188" s="60"/>
      <c r="G188" s="60"/>
      <c r="H188" s="60"/>
      <c r="I188" s="35"/>
      <c r="J188" s="35"/>
      <c r="K188" s="35"/>
      <c r="L188" s="62"/>
    </row>
    <row r="189" spans="1:12" s="5" customFormat="1" ht="15.75" x14ac:dyDescent="0.2">
      <c r="A189" s="1"/>
      <c r="B189" s="353" t="s">
        <v>363</v>
      </c>
      <c r="C189" s="354"/>
      <c r="D189" s="354"/>
      <c r="E189" s="354"/>
      <c r="F189" s="354"/>
      <c r="G189" s="354"/>
      <c r="H189" s="354"/>
      <c r="I189" s="354"/>
      <c r="J189" s="354"/>
      <c r="K189" s="354"/>
      <c r="L189" s="355"/>
    </row>
    <row r="190" spans="1:12" s="5" customFormat="1" ht="15.75" x14ac:dyDescent="0.25">
      <c r="A190" s="1"/>
      <c r="B190" s="356" t="s">
        <v>101</v>
      </c>
      <c r="C190" s="357"/>
      <c r="D190" s="358"/>
      <c r="E190" s="362" t="s">
        <v>102</v>
      </c>
      <c r="F190" s="363"/>
      <c r="G190" s="363"/>
      <c r="H190" s="364"/>
      <c r="I190" s="365" t="s">
        <v>103</v>
      </c>
      <c r="J190" s="366"/>
      <c r="K190" s="367"/>
      <c r="L190" s="56" t="s">
        <v>104</v>
      </c>
    </row>
    <row r="191" spans="1:12" s="5" customFormat="1" ht="15.75" x14ac:dyDescent="0.25">
      <c r="A191" s="1"/>
      <c r="B191" s="359"/>
      <c r="C191" s="360"/>
      <c r="D191" s="361"/>
      <c r="E191" s="368" t="s">
        <v>105</v>
      </c>
      <c r="F191" s="368"/>
      <c r="G191" s="368"/>
      <c r="H191" s="368"/>
      <c r="I191" s="369" t="s">
        <v>106</v>
      </c>
      <c r="J191" s="369"/>
      <c r="K191" s="369"/>
      <c r="L191" s="57" t="s">
        <v>107</v>
      </c>
    </row>
    <row r="192" spans="1:12" s="5" customFormat="1" x14ac:dyDescent="0.2">
      <c r="A192" s="1"/>
      <c r="B192" s="342" t="s">
        <v>108</v>
      </c>
      <c r="C192" s="343"/>
      <c r="D192" s="344"/>
      <c r="E192" s="345">
        <f>1/130</f>
        <v>7.6923076923076927E-3</v>
      </c>
      <c r="F192" s="346"/>
      <c r="G192" s="346"/>
      <c r="H192" s="347"/>
      <c r="I192" s="348">
        <f>$L$124</f>
        <v>0</v>
      </c>
      <c r="J192" s="349"/>
      <c r="K192" s="350"/>
      <c r="L192" s="58">
        <f>ROUND((E192*(1.33/188.76)*I192),2)</f>
        <v>0</v>
      </c>
    </row>
    <row r="193" spans="1:16" s="5" customFormat="1" ht="15.75" x14ac:dyDescent="0.25">
      <c r="A193" s="1"/>
      <c r="B193" s="351" t="s">
        <v>150</v>
      </c>
      <c r="C193" s="351"/>
      <c r="D193" s="351"/>
      <c r="E193" s="351"/>
      <c r="F193" s="351"/>
      <c r="G193" s="351"/>
      <c r="H193" s="351"/>
      <c r="I193" s="352" t="s">
        <v>357</v>
      </c>
      <c r="J193" s="352"/>
      <c r="K193" s="352"/>
      <c r="L193" s="352"/>
    </row>
    <row r="194" spans="1:16" s="5" customFormat="1" ht="15.75" x14ac:dyDescent="0.25">
      <c r="A194" s="1"/>
      <c r="B194" s="59"/>
      <c r="C194" s="59"/>
      <c r="D194" s="59"/>
      <c r="E194" s="60"/>
      <c r="F194" s="60"/>
      <c r="G194" s="60"/>
      <c r="H194" s="60"/>
      <c r="I194" s="35"/>
      <c r="J194" s="35"/>
      <c r="K194" s="35"/>
      <c r="L194" s="62"/>
    </row>
    <row r="195" spans="1:16" s="5" customFormat="1" ht="15.75" x14ac:dyDescent="0.25">
      <c r="A195" s="1"/>
      <c r="B195" s="50" t="s">
        <v>117</v>
      </c>
      <c r="C195" s="1"/>
      <c r="D195" s="1"/>
      <c r="E195" s="1"/>
      <c r="F195" s="1"/>
      <c r="G195" s="1"/>
      <c r="H195" s="1"/>
      <c r="I195" s="1"/>
      <c r="J195" s="1"/>
      <c r="K195" s="1"/>
      <c r="L195" s="115"/>
    </row>
    <row r="196" spans="1:16" s="5" customFormat="1" ht="20.25" x14ac:dyDescent="0.2">
      <c r="B196" s="326" t="s">
        <v>129</v>
      </c>
      <c r="C196" s="326"/>
      <c r="D196" s="326"/>
      <c r="E196" s="326"/>
      <c r="F196" s="326"/>
      <c r="G196" s="326"/>
      <c r="H196" s="326"/>
      <c r="I196" s="326"/>
      <c r="J196" s="326"/>
      <c r="K196" s="326"/>
      <c r="L196" s="327"/>
    </row>
    <row r="197" spans="1:16" s="5" customFormat="1" x14ac:dyDescent="0.2">
      <c r="A197" s="1"/>
      <c r="B197" s="328" t="s">
        <v>110</v>
      </c>
      <c r="C197" s="328"/>
      <c r="D197" s="328"/>
      <c r="E197" s="328"/>
      <c r="F197" s="329" t="s">
        <v>111</v>
      </c>
      <c r="G197" s="329"/>
      <c r="H197" s="329"/>
      <c r="I197" s="328" t="s">
        <v>112</v>
      </c>
      <c r="J197" s="328"/>
      <c r="K197" s="338" t="s">
        <v>113</v>
      </c>
      <c r="L197" s="339"/>
    </row>
    <row r="198" spans="1:16" s="5" customFormat="1" x14ac:dyDescent="0.2">
      <c r="A198" s="1"/>
      <c r="B198" s="328"/>
      <c r="C198" s="328"/>
      <c r="D198" s="328"/>
      <c r="E198" s="328"/>
      <c r="F198" s="329"/>
      <c r="G198" s="329"/>
      <c r="H198" s="329"/>
      <c r="I198" s="328"/>
      <c r="J198" s="328"/>
      <c r="K198" s="340"/>
      <c r="L198" s="341"/>
    </row>
    <row r="199" spans="1:16" s="5" customFormat="1" x14ac:dyDescent="0.2">
      <c r="A199" s="1"/>
      <c r="B199" s="330" t="str">
        <f>B129</f>
        <v>ÁREA INTERNA - PISOS FRIOS  - DIÁRIO</v>
      </c>
      <c r="C199" s="331"/>
      <c r="D199" s="331"/>
      <c r="E199" s="332"/>
      <c r="F199" s="333">
        <f>L132</f>
        <v>0</v>
      </c>
      <c r="G199" s="333"/>
      <c r="H199" s="333"/>
      <c r="I199" s="491">
        <v>141.6</v>
      </c>
      <c r="J199" s="491"/>
      <c r="K199" s="335">
        <f>F199*I199</f>
        <v>0</v>
      </c>
      <c r="L199" s="336"/>
      <c r="N199" s="130"/>
      <c r="P199" s="130"/>
    </row>
    <row r="200" spans="1:16" s="5" customFormat="1" x14ac:dyDescent="0.2">
      <c r="A200" s="1"/>
      <c r="B200" s="330" t="str">
        <f>B135</f>
        <v>ÁREA INTERNA - Laboratórios - SEMANAL</v>
      </c>
      <c r="C200" s="331"/>
      <c r="D200" s="331"/>
      <c r="E200" s="332"/>
      <c r="F200" s="333">
        <f>L138</f>
        <v>0</v>
      </c>
      <c r="G200" s="333"/>
      <c r="H200" s="333"/>
      <c r="I200" s="491">
        <v>0</v>
      </c>
      <c r="J200" s="491"/>
      <c r="K200" s="335">
        <f>F200*I200</f>
        <v>0</v>
      </c>
      <c r="L200" s="336"/>
      <c r="N200" s="130"/>
      <c r="P200" s="130"/>
    </row>
    <row r="201" spans="1:16" s="5" customFormat="1" x14ac:dyDescent="0.2">
      <c r="A201" s="1"/>
      <c r="B201" s="330" t="str">
        <f>B141</f>
        <v>ÁREA INTERNA - Almoxarifados/depósitos - QUINZENAL</v>
      </c>
      <c r="C201" s="331"/>
      <c r="D201" s="331"/>
      <c r="E201" s="332"/>
      <c r="F201" s="333">
        <f>L144</f>
        <v>0</v>
      </c>
      <c r="G201" s="333"/>
      <c r="H201" s="333"/>
      <c r="I201" s="491">
        <v>129.31</v>
      </c>
      <c r="J201" s="491"/>
      <c r="K201" s="335">
        <f t="shared" ref="K201:K209" si="2">F201*I201</f>
        <v>0</v>
      </c>
      <c r="L201" s="336"/>
      <c r="N201" s="130"/>
      <c r="P201" s="130"/>
    </row>
    <row r="202" spans="1:16" s="5" customFormat="1" ht="27" customHeight="1" x14ac:dyDescent="0.2">
      <c r="A202" s="1"/>
      <c r="B202" s="330" t="str">
        <f>B147</f>
        <v>ÁREA INTERNA -  Áreas com espaços livres(SAGUÃO/HALL) - DIÁRIO</v>
      </c>
      <c r="C202" s="331"/>
      <c r="D202" s="331"/>
      <c r="E202" s="332"/>
      <c r="F202" s="333">
        <f>L150</f>
        <v>0</v>
      </c>
      <c r="G202" s="333"/>
      <c r="H202" s="333"/>
      <c r="I202" s="491">
        <v>0</v>
      </c>
      <c r="J202" s="491"/>
      <c r="K202" s="335">
        <f t="shared" si="2"/>
        <v>0</v>
      </c>
      <c r="L202" s="336"/>
      <c r="N202" s="130"/>
      <c r="P202" s="130"/>
    </row>
    <row r="203" spans="1:16" s="5" customFormat="1" x14ac:dyDescent="0.2">
      <c r="A203" s="1"/>
      <c r="B203" s="330" t="str">
        <f>B153</f>
        <v>ÁREA INTERNA - BANHEIROS - DIÁRIOS</v>
      </c>
      <c r="C203" s="331"/>
      <c r="D203" s="331"/>
      <c r="E203" s="332"/>
      <c r="F203" s="333">
        <f>L156</f>
        <v>0</v>
      </c>
      <c r="G203" s="333"/>
      <c r="H203" s="333"/>
      <c r="I203" s="491">
        <v>12.64</v>
      </c>
      <c r="J203" s="491"/>
      <c r="K203" s="335">
        <f t="shared" si="2"/>
        <v>0</v>
      </c>
      <c r="L203" s="336"/>
      <c r="N203" s="130"/>
      <c r="P203" s="130"/>
    </row>
    <row r="204" spans="1:16" s="5" customFormat="1" ht="46.5" customHeight="1" x14ac:dyDescent="0.2">
      <c r="A204" s="1"/>
      <c r="B204" s="330" t="str">
        <f>B159</f>
        <v>ÁREA EXTERNA - PISOS PAVIMENTADOS ADJACENTES/CONTÍGUOS ÀS EDIFICAÇÕES - SEMANAL</v>
      </c>
      <c r="C204" s="331"/>
      <c r="D204" s="331"/>
      <c r="E204" s="332"/>
      <c r="F204" s="333">
        <f>L162</f>
        <v>0</v>
      </c>
      <c r="G204" s="333"/>
      <c r="H204" s="333"/>
      <c r="I204" s="491">
        <v>456.95</v>
      </c>
      <c r="J204" s="491"/>
      <c r="K204" s="335">
        <f t="shared" si="2"/>
        <v>0</v>
      </c>
      <c r="L204" s="336"/>
      <c r="N204" s="131"/>
      <c r="P204" s="130"/>
    </row>
    <row r="205" spans="1:16" s="5" customFormat="1" ht="29.25" customHeight="1" x14ac:dyDescent="0.2">
      <c r="A205" s="1"/>
      <c r="B205" s="330" t="str">
        <f>B165</f>
        <v>ÁREA EXTERNA - Varrição de passeios e arruamentos - DIÁRIO</v>
      </c>
      <c r="C205" s="331"/>
      <c r="D205" s="331"/>
      <c r="E205" s="332"/>
      <c r="F205" s="335">
        <f>L168</f>
        <v>0</v>
      </c>
      <c r="G205" s="464"/>
      <c r="H205" s="336"/>
      <c r="I205" s="492">
        <v>48.67</v>
      </c>
      <c r="J205" s="493"/>
      <c r="K205" s="335">
        <f t="shared" si="2"/>
        <v>0</v>
      </c>
      <c r="L205" s="336"/>
      <c r="N205" s="131"/>
      <c r="P205" s="130"/>
    </row>
    <row r="206" spans="1:16" s="5" customFormat="1" ht="30" customHeight="1" x14ac:dyDescent="0.2">
      <c r="A206" s="1"/>
      <c r="B206" s="330" t="str">
        <f>B171</f>
        <v>ÁREA EXTERNA - Pátios e áreas verdes com alta frequência - SEMANAL</v>
      </c>
      <c r="C206" s="331"/>
      <c r="D206" s="331"/>
      <c r="E206" s="332"/>
      <c r="F206" s="335">
        <f>L174</f>
        <v>0</v>
      </c>
      <c r="G206" s="464"/>
      <c r="H206" s="336"/>
      <c r="I206" s="492">
        <v>0</v>
      </c>
      <c r="J206" s="493"/>
      <c r="K206" s="335">
        <f t="shared" si="2"/>
        <v>0</v>
      </c>
      <c r="L206" s="336"/>
      <c r="N206" s="131"/>
      <c r="P206" s="130"/>
    </row>
    <row r="207" spans="1:16" s="5" customFormat="1" ht="30" customHeight="1" x14ac:dyDescent="0.2">
      <c r="A207" s="1"/>
      <c r="B207" s="330" t="str">
        <f>B177</f>
        <v>ÁREA EXTERNA - Pátios e áreas verdes com baixa frequência - SEMANAL</v>
      </c>
      <c r="C207" s="331"/>
      <c r="D207" s="331"/>
      <c r="E207" s="332"/>
      <c r="F207" s="335">
        <f>L180</f>
        <v>0</v>
      </c>
      <c r="G207" s="464"/>
      <c r="H207" s="336"/>
      <c r="I207" s="492">
        <v>2595.4499999999998</v>
      </c>
      <c r="J207" s="493"/>
      <c r="K207" s="335">
        <f t="shared" si="2"/>
        <v>0</v>
      </c>
      <c r="L207" s="336"/>
      <c r="N207" s="131"/>
      <c r="P207" s="130"/>
    </row>
    <row r="208" spans="1:16" s="5" customFormat="1" ht="30" customHeight="1" x14ac:dyDescent="0.2">
      <c r="A208" s="1"/>
      <c r="B208" s="330" t="str">
        <f>B183</f>
        <v>ÁREA EXTERNA - Face externa sem exposição de situação de risco - BIMESTRAL</v>
      </c>
      <c r="C208" s="331"/>
      <c r="D208" s="331"/>
      <c r="E208" s="332"/>
      <c r="F208" s="335">
        <f>L186</f>
        <v>0</v>
      </c>
      <c r="G208" s="464"/>
      <c r="H208" s="336"/>
      <c r="I208" s="492">
        <v>29.45</v>
      </c>
      <c r="J208" s="493"/>
      <c r="K208" s="335">
        <f t="shared" si="2"/>
        <v>0</v>
      </c>
      <c r="L208" s="336"/>
      <c r="N208" s="131"/>
      <c r="P208" s="130"/>
    </row>
    <row r="209" spans="1:32" s="5" customFormat="1" ht="30" customHeight="1" x14ac:dyDescent="0.2">
      <c r="A209" s="1"/>
      <c r="B209" s="337" t="str">
        <f>B189</f>
        <v>ÁREA EXTERNA - Fachadas envidraçadas - SEMESTRAL</v>
      </c>
      <c r="C209" s="337"/>
      <c r="D209" s="337"/>
      <c r="E209" s="337"/>
      <c r="F209" s="333">
        <f>L192</f>
        <v>0</v>
      </c>
      <c r="G209" s="333"/>
      <c r="H209" s="333"/>
      <c r="I209" s="491">
        <v>0</v>
      </c>
      <c r="J209" s="491"/>
      <c r="K209" s="335">
        <f t="shared" si="2"/>
        <v>0</v>
      </c>
      <c r="L209" s="336"/>
      <c r="N209" s="131"/>
      <c r="P209" s="131"/>
    </row>
    <row r="210" spans="1:32" s="5" customFormat="1" ht="16.5" thickBot="1" x14ac:dyDescent="0.25">
      <c r="A210" s="1"/>
      <c r="B210" s="1"/>
      <c r="C210" s="1"/>
      <c r="D210" s="1"/>
      <c r="E210" s="1" t="s">
        <v>367</v>
      </c>
      <c r="F210" s="494">
        <f>SUM(I199:J209)</f>
        <v>3414.0699999999997</v>
      </c>
      <c r="G210" s="495"/>
      <c r="H210" s="496"/>
      <c r="I210" s="318" t="s">
        <v>157</v>
      </c>
      <c r="J210" s="319"/>
      <c r="K210" s="320">
        <f>SUM(K199:L209)</f>
        <v>0</v>
      </c>
      <c r="L210" s="321"/>
      <c r="N210" s="132"/>
      <c r="P210" s="132"/>
    </row>
    <row r="211" spans="1:32" s="5" customFormat="1" ht="16.5" thickBot="1" x14ac:dyDescent="0.25">
      <c r="A211" s="1"/>
      <c r="B211" s="1"/>
      <c r="C211" s="1"/>
      <c r="D211" s="1"/>
      <c r="E211" s="1"/>
      <c r="F211" s="1"/>
      <c r="G211" s="1"/>
      <c r="H211" s="1"/>
      <c r="I211" s="322" t="s">
        <v>114</v>
      </c>
      <c r="J211" s="323"/>
      <c r="K211" s="324">
        <f>SUM(K210*12)</f>
        <v>0</v>
      </c>
      <c r="L211" s="325"/>
      <c r="M211" s="2"/>
      <c r="N211" s="73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</row>
    <row r="212" spans="1:32" s="5" customFormat="1" x14ac:dyDescent="0.2">
      <c r="A21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</row>
    <row r="213" spans="1:32" s="5" customFormat="1" x14ac:dyDescent="0.2">
      <c r="A213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</row>
    <row r="214" spans="1:32" s="5" customFormat="1" x14ac:dyDescent="0.2">
      <c r="A214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</row>
    <row r="215" spans="1:32" s="5" customFormat="1" x14ac:dyDescent="0.2">
      <c r="A215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</row>
    <row r="216" spans="1:32" s="5" customFormat="1" x14ac:dyDescent="0.2">
      <c r="A216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</row>
    <row r="217" spans="1:32" s="5" customFormat="1" x14ac:dyDescent="0.2">
      <c r="A217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</row>
    <row r="218" spans="1:32" s="5" customFormat="1" x14ac:dyDescent="0.2">
      <c r="A218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</row>
    <row r="219" spans="1:32" s="5" customFormat="1" x14ac:dyDescent="0.2">
      <c r="A219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</row>
    <row r="220" spans="1:32" s="5" customFormat="1" x14ac:dyDescent="0.2">
      <c r="A220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</row>
    <row r="221" spans="1:32" s="5" customFormat="1" x14ac:dyDescent="0.2">
      <c r="A221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</row>
    <row r="222" spans="1:32" s="5" customFormat="1" x14ac:dyDescent="0.2">
      <c r="A22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</row>
    <row r="223" spans="1:32" s="5" customFormat="1" x14ac:dyDescent="0.2">
      <c r="A223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</row>
    <row r="224" spans="1:32" s="5" customFormat="1" x14ac:dyDescent="0.2">
      <c r="A224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</row>
    <row r="225" spans="1:32" s="5" customFormat="1" x14ac:dyDescent="0.2">
      <c r="A225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</row>
    <row r="226" spans="1:32" s="5" customFormat="1" x14ac:dyDescent="0.2">
      <c r="A226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</row>
    <row r="227" spans="1:32" s="5" customFormat="1" x14ac:dyDescent="0.2">
      <c r="A227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</row>
    <row r="228" spans="1:32" s="5" customFormat="1" x14ac:dyDescent="0.2">
      <c r="A228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</row>
    <row r="229" spans="1:32" s="5" customFormat="1" x14ac:dyDescent="0.2">
      <c r="A229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</row>
    <row r="230" spans="1:32" s="5" customFormat="1" x14ac:dyDescent="0.2">
      <c r="A230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</row>
    <row r="231" spans="1:32" s="5" customFormat="1" x14ac:dyDescent="0.2">
      <c r="A231"/>
      <c r="L231" s="1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</row>
    <row r="232" spans="1:32" s="5" customFormat="1" x14ac:dyDescent="0.2">
      <c r="A23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</row>
    <row r="233" spans="1:32" s="5" customFormat="1" x14ac:dyDescent="0.2">
      <c r="A233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</row>
    <row r="234" spans="1:32" s="5" customFormat="1" x14ac:dyDescent="0.2">
      <c r="A234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</row>
    <row r="235" spans="1:32" s="5" customFormat="1" x14ac:dyDescent="0.2">
      <c r="A235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</row>
    <row r="236" spans="1:32" s="5" customFormat="1" x14ac:dyDescent="0.2">
      <c r="A236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</row>
    <row r="237" spans="1:32" s="5" customFormat="1" x14ac:dyDescent="0.2">
      <c r="A237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</row>
    <row r="238" spans="1:32" s="5" customFormat="1" x14ac:dyDescent="0.2">
      <c r="A238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</row>
    <row r="239" spans="1:32" s="5" customFormat="1" ht="24.95" customHeight="1" x14ac:dyDescent="0.2">
      <c r="A239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</row>
    <row r="240" spans="1:32" s="5" customFormat="1" ht="24.95" customHeight="1" x14ac:dyDescent="0.2">
      <c r="A240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</row>
    <row r="241" spans="1:32" s="5" customFormat="1" ht="24.95" customHeight="1" x14ac:dyDescent="0.2">
      <c r="A24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</row>
    <row r="242" spans="1:32" s="5" customFormat="1" ht="24.95" customHeight="1" x14ac:dyDescent="0.2">
      <c r="A24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</row>
    <row r="243" spans="1:32" s="5" customFormat="1" ht="24.95" customHeight="1" x14ac:dyDescent="0.2">
      <c r="A243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</row>
    <row r="244" spans="1:32" s="5" customFormat="1" ht="24.95" customHeight="1" x14ac:dyDescent="0.2">
      <c r="A244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</row>
    <row r="245" spans="1:32" s="5" customFormat="1" ht="24.95" customHeight="1" x14ac:dyDescent="0.2">
      <c r="A245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</row>
    <row r="246" spans="1:32" s="2" customFormat="1" ht="24.95" customHeight="1" x14ac:dyDescent="0.2">
      <c r="A246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32" s="2" customFormat="1" ht="24.95" customHeight="1" x14ac:dyDescent="0.2">
      <c r="A247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32" s="2" customFormat="1" x14ac:dyDescent="0.2">
      <c r="A248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32" s="2" customFormat="1" x14ac:dyDescent="0.2">
      <c r="A249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32" s="2" customFormat="1" x14ac:dyDescent="0.2">
      <c r="A250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32" s="2" customFormat="1" x14ac:dyDescent="0.2">
      <c r="A25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32" s="2" customFormat="1" x14ac:dyDescent="0.2">
      <c r="A25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32" s="2" customFormat="1" x14ac:dyDescent="0.2">
      <c r="A253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32" s="2" customFormat="1" x14ac:dyDescent="0.2">
      <c r="A254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32" s="2" customFormat="1" x14ac:dyDescent="0.2">
      <c r="A255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32" s="2" customFormat="1" x14ac:dyDescent="0.2">
      <c r="A256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s="2" customFormat="1" x14ac:dyDescent="0.2">
      <c r="A257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s="2" customFormat="1" x14ac:dyDescent="0.2">
      <c r="A258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s="2" customFormat="1" x14ac:dyDescent="0.2">
      <c r="A259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s="2" customFormat="1" x14ac:dyDescent="0.2">
      <c r="A260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s="2" customFormat="1" x14ac:dyDescent="0.2">
      <c r="A26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s="2" customFormat="1" x14ac:dyDescent="0.2">
      <c r="A26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s="2" customFormat="1" x14ac:dyDescent="0.2">
      <c r="A263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s="2" customFormat="1" x14ac:dyDescent="0.2">
      <c r="A264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s="2" customFormat="1" x14ac:dyDescent="0.2">
      <c r="A265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s="2" customFormat="1" x14ac:dyDescent="0.2">
      <c r="A266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</sheetData>
  <sheetProtection selectLockedCells="1" selectUnlockedCells="1"/>
  <mergeCells count="291">
    <mergeCell ref="F210:H210"/>
    <mergeCell ref="F200:H200"/>
    <mergeCell ref="I210:J210"/>
    <mergeCell ref="K210:L210"/>
    <mergeCell ref="I211:J211"/>
    <mergeCell ref="K211:L211"/>
    <mergeCell ref="B208:E208"/>
    <mergeCell ref="F208:H208"/>
    <mergeCell ref="I208:J208"/>
    <mergeCell ref="K208:L208"/>
    <mergeCell ref="B209:E209"/>
    <mergeCell ref="F209:H209"/>
    <mergeCell ref="I209:J209"/>
    <mergeCell ref="K209:L209"/>
    <mergeCell ref="B206:E206"/>
    <mergeCell ref="F206:H206"/>
    <mergeCell ref="I206:J206"/>
    <mergeCell ref="K206:L206"/>
    <mergeCell ref="B207:E207"/>
    <mergeCell ref="F207:H207"/>
    <mergeCell ref="I207:J207"/>
    <mergeCell ref="K207:L207"/>
    <mergeCell ref="B204:E204"/>
    <mergeCell ref="F204:H204"/>
    <mergeCell ref="I204:J204"/>
    <mergeCell ref="K204:L204"/>
    <mergeCell ref="B205:E205"/>
    <mergeCell ref="F205:H205"/>
    <mergeCell ref="I205:J205"/>
    <mergeCell ref="K205:L205"/>
    <mergeCell ref="B202:E202"/>
    <mergeCell ref="F202:H202"/>
    <mergeCell ref="I202:J202"/>
    <mergeCell ref="K202:L202"/>
    <mergeCell ref="B203:E203"/>
    <mergeCell ref="F203:H203"/>
    <mergeCell ref="I203:J203"/>
    <mergeCell ref="K203:L203"/>
    <mergeCell ref="B200:E200"/>
    <mergeCell ref="F199:H199"/>
    <mergeCell ref="I200:J200"/>
    <mergeCell ref="K200:L200"/>
    <mergeCell ref="B201:E201"/>
    <mergeCell ref="F201:H201"/>
    <mergeCell ref="I201:J201"/>
    <mergeCell ref="K201:L201"/>
    <mergeCell ref="B197:E198"/>
    <mergeCell ref="F197:H198"/>
    <mergeCell ref="I197:J198"/>
    <mergeCell ref="K197:L198"/>
    <mergeCell ref="B199:E199"/>
    <mergeCell ref="I199:J199"/>
    <mergeCell ref="K199:L199"/>
    <mergeCell ref="B192:D192"/>
    <mergeCell ref="E192:H192"/>
    <mergeCell ref="I192:K192"/>
    <mergeCell ref="B193:H193"/>
    <mergeCell ref="I193:L193"/>
    <mergeCell ref="B196:L196"/>
    <mergeCell ref="B187:H187"/>
    <mergeCell ref="I187:L187"/>
    <mergeCell ref="B189:L189"/>
    <mergeCell ref="B190:D191"/>
    <mergeCell ref="E190:H190"/>
    <mergeCell ref="I190:K190"/>
    <mergeCell ref="E191:H191"/>
    <mergeCell ref="I191:K191"/>
    <mergeCell ref="B184:D185"/>
    <mergeCell ref="E184:H184"/>
    <mergeCell ref="I184:K184"/>
    <mergeCell ref="E185:H185"/>
    <mergeCell ref="I185:K185"/>
    <mergeCell ref="B186:D186"/>
    <mergeCell ref="E186:H186"/>
    <mergeCell ref="I186:K186"/>
    <mergeCell ref="B180:D180"/>
    <mergeCell ref="E180:H180"/>
    <mergeCell ref="I180:K180"/>
    <mergeCell ref="B181:H181"/>
    <mergeCell ref="I181:L181"/>
    <mergeCell ref="B183:L183"/>
    <mergeCell ref="B175:H175"/>
    <mergeCell ref="I175:L175"/>
    <mergeCell ref="B177:L177"/>
    <mergeCell ref="B178:D179"/>
    <mergeCell ref="E178:H178"/>
    <mergeCell ref="I178:K178"/>
    <mergeCell ref="E179:H179"/>
    <mergeCell ref="I179:K179"/>
    <mergeCell ref="B172:D173"/>
    <mergeCell ref="E172:H172"/>
    <mergeCell ref="I172:K172"/>
    <mergeCell ref="E173:H173"/>
    <mergeCell ref="I173:K173"/>
    <mergeCell ref="B174:D174"/>
    <mergeCell ref="E174:H174"/>
    <mergeCell ref="I174:K174"/>
    <mergeCell ref="B168:D168"/>
    <mergeCell ref="E168:H168"/>
    <mergeCell ref="I168:K168"/>
    <mergeCell ref="B169:H169"/>
    <mergeCell ref="I169:L169"/>
    <mergeCell ref="B171:L171"/>
    <mergeCell ref="B163:H163"/>
    <mergeCell ref="I163:L163"/>
    <mergeCell ref="B165:L165"/>
    <mergeCell ref="B166:D167"/>
    <mergeCell ref="E166:H166"/>
    <mergeCell ref="I166:K166"/>
    <mergeCell ref="E167:H167"/>
    <mergeCell ref="I167:K167"/>
    <mergeCell ref="B160:D161"/>
    <mergeCell ref="E160:H160"/>
    <mergeCell ref="I160:K160"/>
    <mergeCell ref="E161:H161"/>
    <mergeCell ref="I161:K161"/>
    <mergeCell ref="B162:D162"/>
    <mergeCell ref="E162:H162"/>
    <mergeCell ref="I162:K162"/>
    <mergeCell ref="B156:D156"/>
    <mergeCell ref="E156:H156"/>
    <mergeCell ref="I156:K156"/>
    <mergeCell ref="B157:H157"/>
    <mergeCell ref="I157:L157"/>
    <mergeCell ref="B159:L159"/>
    <mergeCell ref="B151:H151"/>
    <mergeCell ref="I151:L151"/>
    <mergeCell ref="B153:L153"/>
    <mergeCell ref="B154:D155"/>
    <mergeCell ref="E154:H154"/>
    <mergeCell ref="I154:K154"/>
    <mergeCell ref="E155:H155"/>
    <mergeCell ref="I155:K155"/>
    <mergeCell ref="B148:D149"/>
    <mergeCell ref="E148:H148"/>
    <mergeCell ref="I148:K148"/>
    <mergeCell ref="E149:H149"/>
    <mergeCell ref="I149:K149"/>
    <mergeCell ref="B150:D150"/>
    <mergeCell ref="E150:H150"/>
    <mergeCell ref="I150:K150"/>
    <mergeCell ref="B144:D144"/>
    <mergeCell ref="E144:H144"/>
    <mergeCell ref="I144:K144"/>
    <mergeCell ref="B145:H145"/>
    <mergeCell ref="I145:L145"/>
    <mergeCell ref="B147:L147"/>
    <mergeCell ref="B139:H139"/>
    <mergeCell ref="I139:L139"/>
    <mergeCell ref="B141:L141"/>
    <mergeCell ref="B142:D143"/>
    <mergeCell ref="E142:H142"/>
    <mergeCell ref="I142:K142"/>
    <mergeCell ref="E143:H143"/>
    <mergeCell ref="I143:K143"/>
    <mergeCell ref="B136:D137"/>
    <mergeCell ref="E136:H136"/>
    <mergeCell ref="I136:K136"/>
    <mergeCell ref="E137:H137"/>
    <mergeCell ref="I137:K137"/>
    <mergeCell ref="B138:D138"/>
    <mergeCell ref="E138:H138"/>
    <mergeCell ref="I138:K138"/>
    <mergeCell ref="B132:D132"/>
    <mergeCell ref="E132:H132"/>
    <mergeCell ref="I132:K132"/>
    <mergeCell ref="B133:H133"/>
    <mergeCell ref="I133:L133"/>
    <mergeCell ref="B135:L135"/>
    <mergeCell ref="C124:J124"/>
    <mergeCell ref="B125:L125"/>
    <mergeCell ref="B127:L127"/>
    <mergeCell ref="B129:L129"/>
    <mergeCell ref="B130:D131"/>
    <mergeCell ref="E130:H130"/>
    <mergeCell ref="I130:K130"/>
    <mergeCell ref="E131:H131"/>
    <mergeCell ref="I131:K131"/>
    <mergeCell ref="C118:K118"/>
    <mergeCell ref="C119:K119"/>
    <mergeCell ref="C120:K120"/>
    <mergeCell ref="C121:K121"/>
    <mergeCell ref="C122:J122"/>
    <mergeCell ref="C123:K123"/>
    <mergeCell ref="B109:G109"/>
    <mergeCell ref="H109:K109"/>
    <mergeCell ref="C110:I110"/>
    <mergeCell ref="B114:K114"/>
    <mergeCell ref="B115:L115"/>
    <mergeCell ref="C117:K117"/>
    <mergeCell ref="C102:G102"/>
    <mergeCell ref="H102:I102"/>
    <mergeCell ref="B103:K103"/>
    <mergeCell ref="B104:L104"/>
    <mergeCell ref="C105:J105"/>
    <mergeCell ref="B106:K106"/>
    <mergeCell ref="N99:Q99"/>
    <mergeCell ref="C100:G100"/>
    <mergeCell ref="H100:I100"/>
    <mergeCell ref="N100:Q100"/>
    <mergeCell ref="C101:G101"/>
    <mergeCell ref="H101:I101"/>
    <mergeCell ref="N101:Q101"/>
    <mergeCell ref="B96:K96"/>
    <mergeCell ref="B97:L97"/>
    <mergeCell ref="C98:G98"/>
    <mergeCell ref="H98:I98"/>
    <mergeCell ref="C99:G99"/>
    <mergeCell ref="H99:I99"/>
    <mergeCell ref="C90:J90"/>
    <mergeCell ref="C91:J91"/>
    <mergeCell ref="B92:L92"/>
    <mergeCell ref="C93:G93"/>
    <mergeCell ref="C94:K94"/>
    <mergeCell ref="C95:K95"/>
    <mergeCell ref="C76:J76"/>
    <mergeCell ref="B78:J78"/>
    <mergeCell ref="B79:L79"/>
    <mergeCell ref="C81:J81"/>
    <mergeCell ref="C82:J82"/>
    <mergeCell ref="B88:K88"/>
    <mergeCell ref="C68:K68"/>
    <mergeCell ref="B69:K69"/>
    <mergeCell ref="B70:L70"/>
    <mergeCell ref="C72:J72"/>
    <mergeCell ref="C73:J73"/>
    <mergeCell ref="C75:J75"/>
    <mergeCell ref="C62:G62"/>
    <mergeCell ref="B63:K63"/>
    <mergeCell ref="B64:L64"/>
    <mergeCell ref="C65:K65"/>
    <mergeCell ref="C66:K66"/>
    <mergeCell ref="C67:K67"/>
    <mergeCell ref="C55:J55"/>
    <mergeCell ref="B56:J56"/>
    <mergeCell ref="C58:G58"/>
    <mergeCell ref="C59:G59"/>
    <mergeCell ref="C60:G60"/>
    <mergeCell ref="C61:G61"/>
    <mergeCell ref="C49:J49"/>
    <mergeCell ref="C50:J50"/>
    <mergeCell ref="C51:J51"/>
    <mergeCell ref="C52:J52"/>
    <mergeCell ref="C53:J53"/>
    <mergeCell ref="C54:J54"/>
    <mergeCell ref="C41:H41"/>
    <mergeCell ref="C42:J42"/>
    <mergeCell ref="C43:J43"/>
    <mergeCell ref="B44:K44"/>
    <mergeCell ref="C47:J47"/>
    <mergeCell ref="C48:J48"/>
    <mergeCell ref="C34:H34"/>
    <mergeCell ref="C35:H35"/>
    <mergeCell ref="C36:H36"/>
    <mergeCell ref="C37:H37"/>
    <mergeCell ref="B38:K38"/>
    <mergeCell ref="B39:L39"/>
    <mergeCell ref="C28:K28"/>
    <mergeCell ref="C29:K29"/>
    <mergeCell ref="B30:L30"/>
    <mergeCell ref="C31:H31"/>
    <mergeCell ref="C32:H32"/>
    <mergeCell ref="C33:H33"/>
    <mergeCell ref="B20:L20"/>
    <mergeCell ref="B21:L21"/>
    <mergeCell ref="B22:L22"/>
    <mergeCell ref="B24:L24"/>
    <mergeCell ref="C25:K25"/>
    <mergeCell ref="C26:K26"/>
    <mergeCell ref="B15:L15"/>
    <mergeCell ref="B17:L17"/>
    <mergeCell ref="C18:G18"/>
    <mergeCell ref="H18:J18"/>
    <mergeCell ref="K18:L18"/>
    <mergeCell ref="C19:G19"/>
    <mergeCell ref="H19:J19"/>
    <mergeCell ref="K19:L19"/>
    <mergeCell ref="B8:L8"/>
    <mergeCell ref="B10:L10"/>
    <mergeCell ref="C11:K11"/>
    <mergeCell ref="C12:K12"/>
    <mergeCell ref="C13:K13"/>
    <mergeCell ref="C14:K14"/>
    <mergeCell ref="B1:L1"/>
    <mergeCell ref="B2:L2"/>
    <mergeCell ref="B3:L3"/>
    <mergeCell ref="B5:D5"/>
    <mergeCell ref="E5:L5"/>
    <mergeCell ref="B6:D6"/>
    <mergeCell ref="E6:L6"/>
    <mergeCell ref="B4:L4"/>
  </mergeCells>
  <pageMargins left="0.44027777777777777" right="0.37986111111111109" top="0.15972222222222221" bottom="0.35416666666666669" header="0.51180555555555551" footer="0.51180555555555551"/>
  <pageSetup paperSize="9" scale="41" firstPageNumber="0" orientation="portrait" horizontalDpi="300" verticalDpi="300" r:id="rId1"/>
  <headerFooter alignWithMargins="0"/>
  <rowBreaks count="1" manualBreakCount="1">
    <brk id="159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F2AF23-D262-4BB2-9E40-82AAC0CED4AD}">
  <sheetPr>
    <tabColor indexed="10"/>
  </sheetPr>
  <dimension ref="A1:AF266"/>
  <sheetViews>
    <sheetView showGridLines="0" view="pageBreakPreview" topLeftCell="A115" zoomScale="75" zoomScaleNormal="75" zoomScaleSheetLayoutView="75" workbookViewId="0">
      <selection activeCell="L138" sqref="L138"/>
    </sheetView>
  </sheetViews>
  <sheetFormatPr defaultColWidth="11.42578125" defaultRowHeight="15" x14ac:dyDescent="0.2"/>
  <cols>
    <col min="1" max="1" width="18.5703125" customWidth="1"/>
    <col min="2" max="2" width="7.7109375" style="1" customWidth="1"/>
    <col min="3" max="3" width="13.42578125" style="1" customWidth="1"/>
    <col min="4" max="4" width="9.140625" style="1" customWidth="1"/>
    <col min="5" max="5" width="23.28515625" style="1" customWidth="1"/>
    <col min="6" max="6" width="14.85546875" style="1" customWidth="1"/>
    <col min="7" max="7" width="12.5703125" style="1" customWidth="1"/>
    <col min="8" max="8" width="17.140625" style="1" customWidth="1"/>
    <col min="9" max="9" width="8.28515625" style="1" customWidth="1"/>
    <col min="10" max="11" width="16.5703125" style="1" customWidth="1"/>
    <col min="12" max="12" width="24.28515625" style="1" customWidth="1"/>
    <col min="13" max="13" width="3.7109375" style="2" customWidth="1"/>
    <col min="14" max="14" width="17.140625" style="2" customWidth="1"/>
    <col min="15" max="15" width="11" style="2" bestFit="1" customWidth="1"/>
    <col min="16" max="16" width="8.5703125" style="2" bestFit="1" customWidth="1"/>
    <col min="17" max="17" width="9.42578125" style="2" customWidth="1"/>
    <col min="18" max="18" width="11.42578125" style="2"/>
    <col min="19" max="19" width="11.42578125" style="2" bestFit="1" customWidth="1"/>
    <col min="20" max="21" width="9.140625" style="2" customWidth="1"/>
    <col min="22" max="32" width="11.42578125" style="2"/>
  </cols>
  <sheetData>
    <row r="1" spans="2:12" s="76" customFormat="1" ht="96" customHeight="1" x14ac:dyDescent="0.2">
      <c r="B1" s="442" t="s">
        <v>189</v>
      </c>
      <c r="C1" s="442"/>
      <c r="D1" s="442"/>
      <c r="E1" s="442"/>
      <c r="F1" s="442"/>
      <c r="G1" s="442"/>
      <c r="H1" s="442"/>
      <c r="I1" s="442"/>
      <c r="J1" s="442"/>
      <c r="K1" s="442"/>
      <c r="L1" s="442"/>
    </row>
    <row r="2" spans="2:12" ht="37.5" customHeight="1" x14ac:dyDescent="0.2">
      <c r="B2" s="443" t="s">
        <v>146</v>
      </c>
      <c r="C2" s="443"/>
      <c r="D2" s="443"/>
      <c r="E2" s="443"/>
      <c r="F2" s="443"/>
      <c r="G2" s="443"/>
      <c r="H2" s="443"/>
      <c r="I2" s="443"/>
      <c r="J2" s="443"/>
      <c r="K2" s="443"/>
      <c r="L2" s="443"/>
    </row>
    <row r="3" spans="2:12" ht="13.5" customHeight="1" thickBot="1" x14ac:dyDescent="0.3">
      <c r="B3" s="444" t="s">
        <v>66</v>
      </c>
      <c r="C3" s="444"/>
      <c r="D3" s="444"/>
      <c r="E3" s="444"/>
      <c r="F3" s="444"/>
      <c r="G3" s="444"/>
      <c r="H3" s="444"/>
      <c r="I3" s="444"/>
      <c r="J3" s="444"/>
      <c r="K3" s="444"/>
      <c r="L3" s="444"/>
    </row>
    <row r="4" spans="2:12" ht="27.75" customHeight="1" thickBot="1" x14ac:dyDescent="0.3">
      <c r="B4" s="461" t="s">
        <v>400</v>
      </c>
      <c r="C4" s="462"/>
      <c r="D4" s="462"/>
      <c r="E4" s="462"/>
      <c r="F4" s="462"/>
      <c r="G4" s="462"/>
      <c r="H4" s="462"/>
      <c r="I4" s="462"/>
      <c r="J4" s="462"/>
      <c r="K4" s="462"/>
      <c r="L4" s="463"/>
    </row>
    <row r="5" spans="2:12" ht="21" customHeight="1" thickBot="1" x14ac:dyDescent="0.25">
      <c r="B5" s="483" t="s">
        <v>0</v>
      </c>
      <c r="C5" s="483"/>
      <c r="D5" s="483"/>
      <c r="E5" s="484" t="s">
        <v>398</v>
      </c>
      <c r="F5" s="484"/>
      <c r="G5" s="484"/>
      <c r="H5" s="484"/>
      <c r="I5" s="484"/>
      <c r="J5" s="484"/>
      <c r="K5" s="484"/>
      <c r="L5" s="484"/>
    </row>
    <row r="6" spans="2:12" ht="20.25" customHeight="1" thickBot="1" x14ac:dyDescent="0.25">
      <c r="B6" s="447" t="s">
        <v>1</v>
      </c>
      <c r="C6" s="447"/>
      <c r="D6" s="447"/>
      <c r="E6" s="448" t="s">
        <v>190</v>
      </c>
      <c r="F6" s="448"/>
      <c r="G6" s="448"/>
      <c r="H6" s="448"/>
      <c r="I6" s="448"/>
      <c r="J6" s="448"/>
      <c r="K6" s="448"/>
      <c r="L6" s="449"/>
    </row>
    <row r="7" spans="2:12" ht="13.5" customHeight="1" x14ac:dyDescent="0.25">
      <c r="B7" s="3"/>
      <c r="C7" s="3"/>
      <c r="D7" s="3"/>
      <c r="E7" s="3"/>
      <c r="F7" s="3"/>
      <c r="G7" s="3"/>
      <c r="H7" s="3"/>
      <c r="I7" s="3"/>
      <c r="J7" s="3"/>
      <c r="K7" s="3"/>
      <c r="L7" s="3"/>
    </row>
    <row r="8" spans="2:12" ht="21" customHeight="1" x14ac:dyDescent="0.3">
      <c r="B8" s="467" t="s">
        <v>2</v>
      </c>
      <c r="C8" s="467"/>
      <c r="D8" s="467"/>
      <c r="E8" s="467"/>
      <c r="F8" s="467"/>
      <c r="G8" s="467"/>
      <c r="H8" s="467"/>
      <c r="I8" s="467"/>
      <c r="J8" s="467"/>
      <c r="K8" s="467"/>
      <c r="L8" s="467"/>
    </row>
    <row r="9" spans="2:12" x14ac:dyDescent="0.2">
      <c r="B9" s="5"/>
      <c r="C9" s="5"/>
      <c r="D9" s="5"/>
      <c r="E9" s="5"/>
      <c r="F9" s="5"/>
      <c r="G9" s="5"/>
      <c r="H9" s="5"/>
      <c r="I9" s="5"/>
      <c r="J9" s="5"/>
      <c r="K9" s="5"/>
      <c r="L9" s="5"/>
    </row>
    <row r="10" spans="2:12" ht="16.5" thickBot="1" x14ac:dyDescent="0.3">
      <c r="B10" s="453" t="s">
        <v>37</v>
      </c>
      <c r="C10" s="453"/>
      <c r="D10" s="453"/>
      <c r="E10" s="453"/>
      <c r="F10" s="453"/>
      <c r="G10" s="453"/>
      <c r="H10" s="453"/>
      <c r="I10" s="453"/>
      <c r="J10" s="453"/>
      <c r="K10" s="453"/>
      <c r="L10" s="453"/>
    </row>
    <row r="11" spans="2:12" ht="20.25" customHeight="1" thickBot="1" x14ac:dyDescent="0.25">
      <c r="B11" s="4" t="s">
        <v>3</v>
      </c>
      <c r="C11" s="420" t="s">
        <v>4</v>
      </c>
      <c r="D11" s="420"/>
      <c r="E11" s="420"/>
      <c r="F11" s="420"/>
      <c r="G11" s="420"/>
      <c r="H11" s="420"/>
      <c r="I11" s="420"/>
      <c r="J11" s="420"/>
      <c r="K11" s="420"/>
      <c r="L11" s="303"/>
    </row>
    <row r="12" spans="2:12" ht="33" customHeight="1" thickBot="1" x14ac:dyDescent="0.25">
      <c r="B12" s="11" t="s">
        <v>5</v>
      </c>
      <c r="C12" s="468" t="s">
        <v>6</v>
      </c>
      <c r="D12" s="468"/>
      <c r="E12" s="468"/>
      <c r="F12" s="468"/>
      <c r="G12" s="468"/>
      <c r="H12" s="468"/>
      <c r="I12" s="468"/>
      <c r="J12" s="468"/>
      <c r="K12" s="468"/>
      <c r="L12" s="124" t="s">
        <v>368</v>
      </c>
    </row>
    <row r="13" spans="2:12" ht="20.25" customHeight="1" thickBot="1" x14ac:dyDescent="0.25">
      <c r="B13" s="4" t="s">
        <v>7</v>
      </c>
      <c r="C13" s="420" t="s">
        <v>36</v>
      </c>
      <c r="D13" s="420"/>
      <c r="E13" s="420"/>
      <c r="F13" s="420"/>
      <c r="G13" s="420"/>
      <c r="H13" s="420"/>
      <c r="I13" s="420"/>
      <c r="J13" s="420"/>
      <c r="K13" s="420"/>
      <c r="L13" s="113" t="s">
        <v>193</v>
      </c>
    </row>
    <row r="14" spans="2:12" ht="20.25" customHeight="1" thickBot="1" x14ac:dyDescent="0.25">
      <c r="B14" s="4" t="s">
        <v>22</v>
      </c>
      <c r="C14" s="420" t="s">
        <v>11</v>
      </c>
      <c r="D14" s="420"/>
      <c r="E14" s="420"/>
      <c r="F14" s="420"/>
      <c r="G14" s="420"/>
      <c r="H14" s="420"/>
      <c r="I14" s="420"/>
      <c r="J14" s="420"/>
      <c r="K14" s="420"/>
      <c r="L14" s="114">
        <v>12</v>
      </c>
    </row>
    <row r="15" spans="2:12" ht="15" customHeight="1" x14ac:dyDescent="0.2">
      <c r="B15" s="451"/>
      <c r="C15" s="452"/>
      <c r="D15" s="452"/>
      <c r="E15" s="452"/>
      <c r="F15" s="452"/>
      <c r="G15" s="452"/>
      <c r="H15" s="452"/>
      <c r="I15" s="452"/>
      <c r="J15" s="452"/>
      <c r="K15" s="452"/>
      <c r="L15" s="452"/>
    </row>
    <row r="16" spans="2:12" x14ac:dyDescent="0.2"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2:13" ht="20.25" customHeight="1" thickBot="1" x14ac:dyDescent="0.3">
      <c r="B17" s="453" t="s">
        <v>38</v>
      </c>
      <c r="C17" s="453"/>
      <c r="D17" s="453"/>
      <c r="E17" s="453"/>
      <c r="F17" s="453"/>
      <c r="G17" s="453"/>
      <c r="H17" s="453"/>
      <c r="I17" s="453"/>
      <c r="J17" s="453"/>
      <c r="K17" s="454"/>
      <c r="L17" s="454"/>
    </row>
    <row r="18" spans="2:13" ht="35.25" customHeight="1" thickBot="1" x14ac:dyDescent="0.25">
      <c r="B18" s="78">
        <v>1</v>
      </c>
      <c r="C18" s="417" t="s">
        <v>86</v>
      </c>
      <c r="D18" s="455"/>
      <c r="E18" s="455"/>
      <c r="F18" s="455"/>
      <c r="G18" s="418"/>
      <c r="H18" s="417" t="s">
        <v>87</v>
      </c>
      <c r="I18" s="455"/>
      <c r="J18" s="455"/>
      <c r="K18" s="456" t="s">
        <v>124</v>
      </c>
      <c r="L18" s="457"/>
    </row>
    <row r="19" spans="2:13" ht="21" customHeight="1" thickBot="1" x14ac:dyDescent="0.25">
      <c r="B19" s="8" t="s">
        <v>3</v>
      </c>
      <c r="C19" s="311" t="s">
        <v>139</v>
      </c>
      <c r="D19" s="312"/>
      <c r="E19" s="312"/>
      <c r="F19" s="312"/>
      <c r="G19" s="458"/>
      <c r="H19" s="311" t="s">
        <v>194</v>
      </c>
      <c r="I19" s="312"/>
      <c r="J19" s="312"/>
      <c r="K19" s="485" t="s">
        <v>371</v>
      </c>
      <c r="L19" s="486"/>
    </row>
    <row r="20" spans="2:13" ht="21.75" customHeight="1" x14ac:dyDescent="0.2">
      <c r="B20" s="450" t="s">
        <v>88</v>
      </c>
      <c r="C20" s="450"/>
      <c r="D20" s="450"/>
      <c r="E20" s="450"/>
      <c r="F20" s="450"/>
      <c r="G20" s="450"/>
      <c r="H20" s="450"/>
      <c r="I20" s="450"/>
      <c r="J20" s="450"/>
      <c r="K20" s="450"/>
      <c r="L20" s="450"/>
    </row>
    <row r="21" spans="2:13" ht="15" customHeight="1" x14ac:dyDescent="0.2">
      <c r="B21" s="450" t="s">
        <v>90</v>
      </c>
      <c r="C21" s="450"/>
      <c r="D21" s="450"/>
      <c r="E21" s="450"/>
      <c r="F21" s="450"/>
      <c r="G21" s="450"/>
      <c r="H21" s="450"/>
      <c r="I21" s="450"/>
      <c r="J21" s="450"/>
      <c r="K21" s="450"/>
      <c r="L21" s="450"/>
    </row>
    <row r="22" spans="2:13" ht="15" customHeight="1" x14ac:dyDescent="0.2">
      <c r="B22" s="450" t="s">
        <v>89</v>
      </c>
      <c r="C22" s="450"/>
      <c r="D22" s="450"/>
      <c r="E22" s="450"/>
      <c r="F22" s="450"/>
      <c r="G22" s="450"/>
      <c r="H22" s="450"/>
      <c r="I22" s="450"/>
      <c r="J22" s="450"/>
      <c r="K22" s="450"/>
      <c r="L22" s="450"/>
      <c r="M22" s="51"/>
    </row>
    <row r="23" spans="2:13" ht="15" customHeight="1" thickBot="1" x14ac:dyDescent="0.25">
      <c r="B23" s="116"/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51"/>
    </row>
    <row r="24" spans="2:13" ht="15" customHeight="1" thickBot="1" x14ac:dyDescent="0.25">
      <c r="B24" s="469" t="s">
        <v>39</v>
      </c>
      <c r="C24" s="470"/>
      <c r="D24" s="470"/>
      <c r="E24" s="470"/>
      <c r="F24" s="470"/>
      <c r="G24" s="470"/>
      <c r="H24" s="470"/>
      <c r="I24" s="470"/>
      <c r="J24" s="470"/>
      <c r="K24" s="470"/>
      <c r="L24" s="471"/>
    </row>
    <row r="25" spans="2:13" ht="33" customHeight="1" thickBot="1" x14ac:dyDescent="0.25">
      <c r="B25" s="8">
        <v>1</v>
      </c>
      <c r="C25" s="473" t="s">
        <v>91</v>
      </c>
      <c r="D25" s="474"/>
      <c r="E25" s="474"/>
      <c r="F25" s="474"/>
      <c r="G25" s="474"/>
      <c r="H25" s="474"/>
      <c r="I25" s="474"/>
      <c r="J25" s="474"/>
      <c r="K25" s="475"/>
      <c r="L25" s="110" t="s">
        <v>134</v>
      </c>
    </row>
    <row r="26" spans="2:13" ht="15" customHeight="1" thickBot="1" x14ac:dyDescent="0.25">
      <c r="B26" s="4">
        <v>2</v>
      </c>
      <c r="C26" s="313" t="s">
        <v>40</v>
      </c>
      <c r="D26" s="314"/>
      <c r="E26" s="314"/>
      <c r="F26" s="314"/>
      <c r="G26" s="314"/>
      <c r="H26" s="314"/>
      <c r="I26" s="314"/>
      <c r="J26" s="314"/>
      <c r="K26" s="415"/>
      <c r="L26" s="111" t="s">
        <v>133</v>
      </c>
    </row>
    <row r="27" spans="2:13" ht="15" customHeight="1" thickBot="1" x14ac:dyDescent="0.25">
      <c r="B27" s="4">
        <v>3</v>
      </c>
      <c r="C27" s="118" t="s">
        <v>92</v>
      </c>
      <c r="D27" s="52"/>
      <c r="E27" s="52"/>
      <c r="F27" s="52"/>
      <c r="G27" s="52"/>
      <c r="H27" s="52"/>
      <c r="I27" s="52"/>
      <c r="J27" s="52"/>
      <c r="K27" s="52"/>
      <c r="L27" s="274"/>
    </row>
    <row r="28" spans="2:13" ht="15" customHeight="1" thickBot="1" x14ac:dyDescent="0.25">
      <c r="B28" s="53">
        <v>4</v>
      </c>
      <c r="C28" s="476" t="s">
        <v>13</v>
      </c>
      <c r="D28" s="476"/>
      <c r="E28" s="476"/>
      <c r="F28" s="476"/>
      <c r="G28" s="476"/>
      <c r="H28" s="476"/>
      <c r="I28" s="476"/>
      <c r="J28" s="476"/>
      <c r="K28" s="477"/>
      <c r="L28" s="112" t="s">
        <v>108</v>
      </c>
    </row>
    <row r="29" spans="2:13" ht="20.25" customHeight="1" thickBot="1" x14ac:dyDescent="0.25">
      <c r="B29" s="242">
        <v>5</v>
      </c>
      <c r="C29" s="478" t="s">
        <v>14</v>
      </c>
      <c r="D29" s="478"/>
      <c r="E29" s="478"/>
      <c r="F29" s="478"/>
      <c r="G29" s="478"/>
      <c r="H29" s="478"/>
      <c r="I29" s="478"/>
      <c r="J29" s="478"/>
      <c r="K29" s="479"/>
      <c r="L29" s="243" t="s">
        <v>135</v>
      </c>
    </row>
    <row r="30" spans="2:13" ht="34.5" customHeight="1" thickBot="1" x14ac:dyDescent="0.35">
      <c r="B30" s="472" t="s">
        <v>55</v>
      </c>
      <c r="C30" s="472"/>
      <c r="D30" s="472"/>
      <c r="E30" s="472"/>
      <c r="F30" s="472"/>
      <c r="G30" s="472"/>
      <c r="H30" s="472"/>
      <c r="I30" s="472"/>
      <c r="J30" s="472"/>
      <c r="K30" s="472"/>
      <c r="L30" s="472"/>
    </row>
    <row r="31" spans="2:13" ht="20.25" customHeight="1" thickBot="1" x14ac:dyDescent="0.25">
      <c r="B31" s="78" t="s">
        <v>15</v>
      </c>
      <c r="C31" s="416" t="s">
        <v>59</v>
      </c>
      <c r="D31" s="416"/>
      <c r="E31" s="416"/>
      <c r="F31" s="416"/>
      <c r="G31" s="416"/>
      <c r="H31" s="416"/>
      <c r="I31" s="78" t="s">
        <v>16</v>
      </c>
      <c r="J31" s="78" t="s">
        <v>17</v>
      </c>
      <c r="K31" s="79" t="s">
        <v>18</v>
      </c>
      <c r="L31" s="80" t="s">
        <v>19</v>
      </c>
    </row>
    <row r="32" spans="2:13" ht="20.25" customHeight="1" thickBot="1" x14ac:dyDescent="0.25">
      <c r="B32" s="4" t="s">
        <v>3</v>
      </c>
      <c r="C32" s="420" t="s">
        <v>41</v>
      </c>
      <c r="D32" s="420"/>
      <c r="E32" s="420"/>
      <c r="F32" s="420"/>
      <c r="G32" s="420"/>
      <c r="H32" s="420"/>
      <c r="I32" s="98">
        <v>1</v>
      </c>
      <c r="J32" s="104"/>
      <c r="K32" s="105">
        <v>1</v>
      </c>
      <c r="L32" s="14">
        <f>L27</f>
        <v>0</v>
      </c>
    </row>
    <row r="33" spans="2:17" ht="16.5" thickBot="1" x14ac:dyDescent="0.25">
      <c r="B33" s="8" t="s">
        <v>5</v>
      </c>
      <c r="C33" s="437" t="s">
        <v>42</v>
      </c>
      <c r="D33" s="437"/>
      <c r="E33" s="437"/>
      <c r="F33" s="437"/>
      <c r="G33" s="437"/>
      <c r="H33" s="437"/>
      <c r="I33" s="102">
        <v>1</v>
      </c>
      <c r="J33" s="133">
        <f>L27</f>
        <v>0</v>
      </c>
      <c r="K33" s="107">
        <v>0.3</v>
      </c>
      <c r="L33" s="14">
        <f>+J33*I33*K33</f>
        <v>0</v>
      </c>
    </row>
    <row r="34" spans="2:17" ht="20.25" customHeight="1" thickBot="1" x14ac:dyDescent="0.25">
      <c r="B34" s="7" t="s">
        <v>7</v>
      </c>
      <c r="C34" s="437" t="s">
        <v>43</v>
      </c>
      <c r="D34" s="437"/>
      <c r="E34" s="437"/>
      <c r="F34" s="437"/>
      <c r="G34" s="437"/>
      <c r="H34" s="437"/>
      <c r="I34" s="102"/>
      <c r="J34" s="108"/>
      <c r="K34" s="109"/>
      <c r="L34" s="14">
        <f>L32*K34*I34</f>
        <v>0</v>
      </c>
    </row>
    <row r="35" spans="2:17" ht="21.75" customHeight="1" thickBot="1" x14ac:dyDescent="0.25">
      <c r="B35" s="7" t="s">
        <v>22</v>
      </c>
      <c r="C35" s="437" t="s">
        <v>44</v>
      </c>
      <c r="D35" s="437"/>
      <c r="E35" s="437"/>
      <c r="F35" s="437"/>
      <c r="G35" s="437"/>
      <c r="H35" s="437"/>
      <c r="I35" s="102"/>
      <c r="J35" s="106"/>
      <c r="K35" s="107"/>
      <c r="L35" s="14">
        <f>+J35*I35*K35</f>
        <v>0</v>
      </c>
    </row>
    <row r="36" spans="2:17" ht="21" customHeight="1" thickBot="1" x14ac:dyDescent="0.25">
      <c r="B36" s="7" t="s">
        <v>8</v>
      </c>
      <c r="C36" s="437" t="s">
        <v>45</v>
      </c>
      <c r="D36" s="437"/>
      <c r="E36" s="437"/>
      <c r="F36" s="437"/>
      <c r="G36" s="437"/>
      <c r="H36" s="437"/>
      <c r="I36" s="102"/>
      <c r="J36" s="106"/>
      <c r="K36" s="107"/>
      <c r="L36" s="14">
        <f>+J36*I36*K36</f>
        <v>0</v>
      </c>
    </row>
    <row r="37" spans="2:17" ht="27.75" customHeight="1" thickBot="1" x14ac:dyDescent="0.25">
      <c r="B37" s="7" t="s">
        <v>9</v>
      </c>
      <c r="C37" s="437" t="s">
        <v>76</v>
      </c>
      <c r="D37" s="437"/>
      <c r="E37" s="437"/>
      <c r="F37" s="437"/>
      <c r="G37" s="437"/>
      <c r="H37" s="437"/>
      <c r="I37" s="102"/>
      <c r="J37" s="106"/>
      <c r="K37" s="107"/>
      <c r="L37" s="14">
        <f>+J37*I37*K37</f>
        <v>0</v>
      </c>
    </row>
    <row r="38" spans="2:17" ht="18.75" customHeight="1" thickBot="1" x14ac:dyDescent="0.3">
      <c r="B38" s="438" t="s">
        <v>29</v>
      </c>
      <c r="C38" s="439"/>
      <c r="D38" s="439"/>
      <c r="E38" s="439"/>
      <c r="F38" s="439"/>
      <c r="G38" s="439"/>
      <c r="H38" s="439"/>
      <c r="I38" s="439"/>
      <c r="J38" s="439"/>
      <c r="K38" s="440"/>
      <c r="L38" s="81">
        <f>SUM(L32:L37)</f>
        <v>0</v>
      </c>
    </row>
    <row r="39" spans="2:17" ht="20.25" customHeight="1" x14ac:dyDescent="0.3">
      <c r="B39" s="426" t="s">
        <v>54</v>
      </c>
      <c r="C39" s="426"/>
      <c r="D39" s="426"/>
      <c r="E39" s="426"/>
      <c r="F39" s="426"/>
      <c r="G39" s="426"/>
      <c r="H39" s="426"/>
      <c r="I39" s="426"/>
      <c r="J39" s="426"/>
      <c r="K39" s="426"/>
      <c r="L39" s="426"/>
    </row>
    <row r="40" spans="2:17" ht="20.25" customHeight="1" thickBot="1" x14ac:dyDescent="0.35">
      <c r="B40" s="54" t="s">
        <v>93</v>
      </c>
      <c r="C40" s="120"/>
      <c r="D40" s="120"/>
      <c r="E40" s="120"/>
      <c r="F40" s="120"/>
      <c r="G40" s="120"/>
      <c r="H40" s="120"/>
      <c r="I40" s="120"/>
      <c r="J40" s="120"/>
      <c r="K40" s="120"/>
      <c r="L40" s="120"/>
    </row>
    <row r="41" spans="2:17" ht="20.25" customHeight="1" thickBot="1" x14ac:dyDescent="0.25">
      <c r="B41" s="78" t="s">
        <v>47</v>
      </c>
      <c r="C41" s="416" t="s">
        <v>67</v>
      </c>
      <c r="D41" s="416"/>
      <c r="E41" s="416"/>
      <c r="F41" s="416"/>
      <c r="G41" s="416"/>
      <c r="H41" s="416"/>
      <c r="I41" s="78"/>
      <c r="J41" s="78"/>
      <c r="K41" s="79" t="s">
        <v>18</v>
      </c>
      <c r="L41" s="80" t="s">
        <v>19</v>
      </c>
    </row>
    <row r="42" spans="2:17" ht="20.25" customHeight="1" thickBot="1" x14ac:dyDescent="0.25">
      <c r="B42" s="8" t="s">
        <v>3</v>
      </c>
      <c r="C42" s="420" t="s">
        <v>125</v>
      </c>
      <c r="D42" s="420"/>
      <c r="E42" s="420"/>
      <c r="F42" s="420"/>
      <c r="G42" s="420"/>
      <c r="H42" s="420"/>
      <c r="I42" s="420"/>
      <c r="J42" s="313"/>
      <c r="K42" s="21">
        <v>8.3299999999999999E-2</v>
      </c>
      <c r="L42" s="12">
        <f>ROUND(L$38*K42,2)</f>
        <v>0</v>
      </c>
    </row>
    <row r="43" spans="2:17" ht="20.25" customHeight="1" thickBot="1" x14ac:dyDescent="0.25">
      <c r="B43" s="8" t="s">
        <v>5</v>
      </c>
      <c r="C43" s="420" t="s">
        <v>147</v>
      </c>
      <c r="D43" s="420"/>
      <c r="E43" s="420"/>
      <c r="F43" s="420"/>
      <c r="G43" s="420"/>
      <c r="H43" s="420"/>
      <c r="I43" s="420"/>
      <c r="J43" s="420"/>
      <c r="K43" s="21">
        <v>0.121</v>
      </c>
      <c r="L43" s="12">
        <f>ROUND(L$38*K43,2)</f>
        <v>0</v>
      </c>
    </row>
    <row r="44" spans="2:17" ht="20.25" customHeight="1" thickBot="1" x14ac:dyDescent="0.25">
      <c r="B44" s="423" t="s">
        <v>70</v>
      </c>
      <c r="C44" s="424"/>
      <c r="D44" s="424"/>
      <c r="E44" s="424"/>
      <c r="F44" s="424"/>
      <c r="G44" s="424"/>
      <c r="H44" s="424"/>
      <c r="I44" s="424"/>
      <c r="J44" s="424"/>
      <c r="K44" s="425"/>
      <c r="L44" s="39">
        <f>SUM(L42:L43)</f>
        <v>0</v>
      </c>
      <c r="Q44" s="36"/>
    </row>
    <row r="45" spans="2:17" ht="20.25" customHeight="1" x14ac:dyDescent="0.2">
      <c r="B45" s="116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Q45" s="36"/>
    </row>
    <row r="46" spans="2:17" ht="21" customHeight="1" thickBot="1" x14ac:dyDescent="0.35">
      <c r="B46" s="54" t="s">
        <v>94</v>
      </c>
      <c r="C46" s="120"/>
      <c r="D46" s="120"/>
      <c r="E46" s="120"/>
      <c r="F46" s="120"/>
      <c r="G46" s="120"/>
      <c r="H46" s="120"/>
      <c r="I46" s="120"/>
      <c r="J46" s="120"/>
      <c r="K46" s="120"/>
      <c r="L46" s="120"/>
    </row>
    <row r="47" spans="2:17" ht="21" customHeight="1" thickBot="1" x14ac:dyDescent="0.25">
      <c r="B47" s="78" t="s">
        <v>46</v>
      </c>
      <c r="C47" s="422" t="s">
        <v>48</v>
      </c>
      <c r="D47" s="422"/>
      <c r="E47" s="422"/>
      <c r="F47" s="422"/>
      <c r="G47" s="422"/>
      <c r="H47" s="422"/>
      <c r="I47" s="422"/>
      <c r="J47" s="422"/>
      <c r="K47" s="78" t="s">
        <v>18</v>
      </c>
      <c r="L47" s="117" t="s">
        <v>19</v>
      </c>
      <c r="N47" s="31"/>
    </row>
    <row r="48" spans="2:17" ht="16.5" thickBot="1" x14ac:dyDescent="0.25">
      <c r="B48" s="4" t="s">
        <v>35</v>
      </c>
      <c r="C48" s="313" t="s">
        <v>23</v>
      </c>
      <c r="D48" s="313"/>
      <c r="E48" s="313"/>
      <c r="F48" s="313"/>
      <c r="G48" s="313"/>
      <c r="H48" s="313"/>
      <c r="I48" s="313"/>
      <c r="J48" s="313"/>
      <c r="K48" s="9">
        <v>0.2</v>
      </c>
      <c r="L48" s="12">
        <f t="shared" ref="L48:L55" si="0">ROUND(($L$38+$L$44)*K48,2)</f>
        <v>0</v>
      </c>
    </row>
    <row r="49" spans="2:17" ht="16.5" thickBot="1" x14ac:dyDescent="0.25">
      <c r="B49" s="8" t="s">
        <v>5</v>
      </c>
      <c r="C49" s="313" t="s">
        <v>118</v>
      </c>
      <c r="D49" s="313"/>
      <c r="E49" s="313"/>
      <c r="F49" s="313"/>
      <c r="G49" s="313"/>
      <c r="H49" s="313"/>
      <c r="I49" s="313"/>
      <c r="J49" s="313"/>
      <c r="K49" s="285">
        <v>2.5000000000000001E-2</v>
      </c>
      <c r="L49" s="12">
        <f t="shared" si="0"/>
        <v>0</v>
      </c>
    </row>
    <row r="50" spans="2:17" ht="16.5" thickBot="1" x14ac:dyDescent="0.25">
      <c r="B50" s="265" t="s">
        <v>7</v>
      </c>
      <c r="C50" s="434" t="s">
        <v>119</v>
      </c>
      <c r="D50" s="435"/>
      <c r="E50" s="435"/>
      <c r="F50" s="435"/>
      <c r="G50" s="435"/>
      <c r="H50" s="435"/>
      <c r="I50" s="435"/>
      <c r="J50" s="436"/>
      <c r="K50" s="286">
        <v>1.4999999999999999E-2</v>
      </c>
      <c r="L50" s="266">
        <f t="shared" si="0"/>
        <v>0</v>
      </c>
      <c r="Q50" s="36"/>
    </row>
    <row r="51" spans="2:17" ht="16.5" thickBot="1" x14ac:dyDescent="0.25">
      <c r="B51" s="8" t="s">
        <v>22</v>
      </c>
      <c r="C51" s="313" t="s">
        <v>120</v>
      </c>
      <c r="D51" s="313"/>
      <c r="E51" s="313"/>
      <c r="F51" s="313"/>
      <c r="G51" s="313"/>
      <c r="H51" s="313"/>
      <c r="I51" s="313"/>
      <c r="J51" s="313"/>
      <c r="K51" s="285">
        <v>1.4999999999999999E-2</v>
      </c>
      <c r="L51" s="12">
        <f t="shared" si="0"/>
        <v>0</v>
      </c>
    </row>
    <row r="52" spans="2:17" ht="16.5" thickBot="1" x14ac:dyDescent="0.25">
      <c r="B52" s="8" t="s">
        <v>8</v>
      </c>
      <c r="C52" s="313" t="s">
        <v>121</v>
      </c>
      <c r="D52" s="313"/>
      <c r="E52" s="313"/>
      <c r="F52" s="313"/>
      <c r="G52" s="313"/>
      <c r="H52" s="313"/>
      <c r="I52" s="313"/>
      <c r="J52" s="313"/>
      <c r="K52" s="285">
        <v>0.01</v>
      </c>
      <c r="L52" s="12">
        <f t="shared" si="0"/>
        <v>0</v>
      </c>
    </row>
    <row r="53" spans="2:17" ht="16.5" thickBot="1" x14ac:dyDescent="0.25">
      <c r="B53" s="8" t="s">
        <v>9</v>
      </c>
      <c r="C53" s="313" t="s">
        <v>122</v>
      </c>
      <c r="D53" s="313"/>
      <c r="E53" s="313"/>
      <c r="F53" s="313"/>
      <c r="G53" s="313"/>
      <c r="H53" s="313"/>
      <c r="I53" s="313"/>
      <c r="J53" s="313"/>
      <c r="K53" s="285">
        <v>6.0000000000000001E-3</v>
      </c>
      <c r="L53" s="12">
        <f t="shared" si="0"/>
        <v>0</v>
      </c>
      <c r="Q53" s="36"/>
    </row>
    <row r="54" spans="2:17" ht="16.5" thickBot="1" x14ac:dyDescent="0.25">
      <c r="B54" s="8" t="s">
        <v>10</v>
      </c>
      <c r="C54" s="441" t="s">
        <v>123</v>
      </c>
      <c r="D54" s="441"/>
      <c r="E54" s="441"/>
      <c r="F54" s="441"/>
      <c r="G54" s="441"/>
      <c r="H54" s="441"/>
      <c r="I54" s="441"/>
      <c r="J54" s="441"/>
      <c r="K54" s="287">
        <v>2E-3</v>
      </c>
      <c r="L54" s="12">
        <f t="shared" si="0"/>
        <v>0</v>
      </c>
    </row>
    <row r="55" spans="2:17" ht="16.5" thickBot="1" x14ac:dyDescent="0.25">
      <c r="B55" s="8" t="s">
        <v>25</v>
      </c>
      <c r="C55" s="313" t="s">
        <v>68</v>
      </c>
      <c r="D55" s="314"/>
      <c r="E55" s="314"/>
      <c r="F55" s="314"/>
      <c r="G55" s="314"/>
      <c r="H55" s="314"/>
      <c r="I55" s="314"/>
      <c r="J55" s="314"/>
      <c r="K55" s="9">
        <v>0.08</v>
      </c>
      <c r="L55" s="12">
        <f t="shared" si="0"/>
        <v>0</v>
      </c>
    </row>
    <row r="56" spans="2:17" ht="21.75" customHeight="1" thickBot="1" x14ac:dyDescent="0.25">
      <c r="B56" s="423" t="s">
        <v>69</v>
      </c>
      <c r="C56" s="424"/>
      <c r="D56" s="424"/>
      <c r="E56" s="424"/>
      <c r="F56" s="424"/>
      <c r="G56" s="424"/>
      <c r="H56" s="424"/>
      <c r="I56" s="424"/>
      <c r="J56" s="425"/>
      <c r="K56" s="40">
        <f>SUM(K48:K55)</f>
        <v>0.35300000000000004</v>
      </c>
      <c r="L56" s="39">
        <f>SUM(L48:L55)</f>
        <v>0</v>
      </c>
      <c r="Q56" s="36"/>
    </row>
    <row r="57" spans="2:17" ht="21" customHeight="1" thickBot="1" x14ac:dyDescent="0.3">
      <c r="B57" s="54" t="s">
        <v>126</v>
      </c>
      <c r="C57" s="55"/>
      <c r="D57" s="55"/>
      <c r="E57" s="55"/>
      <c r="F57" s="55"/>
      <c r="G57" s="55"/>
      <c r="H57" s="55"/>
      <c r="I57" s="55"/>
      <c r="J57" s="55"/>
      <c r="K57" s="55"/>
      <c r="L57" s="55"/>
    </row>
    <row r="58" spans="2:17" ht="15" customHeight="1" thickBot="1" x14ac:dyDescent="0.25">
      <c r="B58" s="79" t="s">
        <v>49</v>
      </c>
      <c r="C58" s="427" t="s">
        <v>56</v>
      </c>
      <c r="D58" s="419"/>
      <c r="E58" s="419"/>
      <c r="F58" s="419"/>
      <c r="G58" s="419"/>
      <c r="H58" s="88" t="s">
        <v>20</v>
      </c>
      <c r="I58" s="82" t="s">
        <v>16</v>
      </c>
      <c r="J58" s="79" t="s">
        <v>21</v>
      </c>
      <c r="K58" s="82" t="s">
        <v>34</v>
      </c>
      <c r="L58" s="79" t="s">
        <v>19</v>
      </c>
    </row>
    <row r="59" spans="2:17" ht="20.25" customHeight="1" thickBot="1" x14ac:dyDescent="0.25">
      <c r="B59" s="4" t="s">
        <v>3</v>
      </c>
      <c r="C59" s="428" t="s">
        <v>57</v>
      </c>
      <c r="D59" s="429"/>
      <c r="E59" s="429"/>
      <c r="F59" s="429"/>
      <c r="G59" s="429"/>
      <c r="H59" s="288"/>
      <c r="I59" s="101">
        <v>44</v>
      </c>
      <c r="J59" s="98">
        <v>1</v>
      </c>
      <c r="K59" s="10">
        <v>0.06</v>
      </c>
      <c r="L59" s="24">
        <f>ROUND((H59*I59*J59)-($L$32*K59),2)</f>
        <v>0</v>
      </c>
    </row>
    <row r="60" spans="2:17" ht="20.25" customHeight="1" thickBot="1" x14ac:dyDescent="0.25">
      <c r="B60" s="4" t="s">
        <v>5</v>
      </c>
      <c r="C60" s="405" t="s">
        <v>127</v>
      </c>
      <c r="D60" s="405"/>
      <c r="E60" s="405"/>
      <c r="F60" s="405"/>
      <c r="G60" s="428"/>
      <c r="H60" s="289"/>
      <c r="I60" s="102">
        <v>1</v>
      </c>
      <c r="J60" s="99">
        <v>1</v>
      </c>
      <c r="K60" s="10">
        <v>0.01</v>
      </c>
      <c r="L60" s="24">
        <f>ROUND((H60*I60*J60)-(H60*I60*J60*K60),2)</f>
        <v>0</v>
      </c>
    </row>
    <row r="61" spans="2:17" ht="20.25" customHeight="1" thickBot="1" x14ac:dyDescent="0.25">
      <c r="B61" s="11" t="s">
        <v>22</v>
      </c>
      <c r="C61" s="405" t="s">
        <v>148</v>
      </c>
      <c r="D61" s="405"/>
      <c r="E61" s="405"/>
      <c r="F61" s="405"/>
      <c r="G61" s="428"/>
      <c r="H61" s="289"/>
      <c r="I61" s="103">
        <v>1</v>
      </c>
      <c r="J61" s="100">
        <v>1</v>
      </c>
      <c r="K61" s="32">
        <v>0</v>
      </c>
      <c r="L61" s="24">
        <f>ROUND((H61*I61*J61)-(H61*I61*J61*K61),2)</f>
        <v>0</v>
      </c>
    </row>
    <row r="62" spans="2:17" ht="20.25" customHeight="1" thickBot="1" x14ac:dyDescent="0.25">
      <c r="B62" s="4" t="s">
        <v>8</v>
      </c>
      <c r="C62" s="405" t="s">
        <v>149</v>
      </c>
      <c r="D62" s="405"/>
      <c r="E62" s="405"/>
      <c r="F62" s="405"/>
      <c r="G62" s="428"/>
      <c r="H62" s="290"/>
      <c r="I62" s="101">
        <v>1</v>
      </c>
      <c r="J62" s="98">
        <v>1</v>
      </c>
      <c r="K62" s="10">
        <v>0</v>
      </c>
      <c r="L62" s="24">
        <f>ROUND((H62*I62*J62)-(H62*I62*J62*K62),2)</f>
        <v>0</v>
      </c>
    </row>
    <row r="63" spans="2:17" ht="20.25" customHeight="1" thickBot="1" x14ac:dyDescent="0.25">
      <c r="B63" s="430" t="s">
        <v>69</v>
      </c>
      <c r="C63" s="431"/>
      <c r="D63" s="431"/>
      <c r="E63" s="431"/>
      <c r="F63" s="431"/>
      <c r="G63" s="431"/>
      <c r="H63" s="432"/>
      <c r="I63" s="431"/>
      <c r="J63" s="431"/>
      <c r="K63" s="433"/>
      <c r="L63" s="41">
        <f>SUM(L59:L62)</f>
        <v>0</v>
      </c>
    </row>
    <row r="64" spans="2:17" ht="20.25" customHeight="1" thickBot="1" x14ac:dyDescent="0.25">
      <c r="B64" s="421" t="s">
        <v>95</v>
      </c>
      <c r="C64" s="421"/>
      <c r="D64" s="421"/>
      <c r="E64" s="421"/>
      <c r="F64" s="421"/>
      <c r="G64" s="421"/>
      <c r="H64" s="421"/>
      <c r="I64" s="421"/>
      <c r="J64" s="421"/>
      <c r="K64" s="421"/>
      <c r="L64" s="421"/>
    </row>
    <row r="65" spans="1:17" ht="20.25" customHeight="1" thickBot="1" x14ac:dyDescent="0.25">
      <c r="B65" s="78">
        <v>2</v>
      </c>
      <c r="C65" s="387" t="s">
        <v>50</v>
      </c>
      <c r="D65" s="388"/>
      <c r="E65" s="388"/>
      <c r="F65" s="388"/>
      <c r="G65" s="388"/>
      <c r="H65" s="388"/>
      <c r="I65" s="388"/>
      <c r="J65" s="388"/>
      <c r="K65" s="422"/>
      <c r="L65" s="78" t="s">
        <v>19</v>
      </c>
    </row>
    <row r="66" spans="1:17" ht="20.25" customHeight="1" thickBot="1" x14ac:dyDescent="0.25">
      <c r="B66" s="4" t="s">
        <v>51</v>
      </c>
      <c r="C66" s="313" t="str">
        <f>C41</f>
        <v>13º (DÉCIMO TERCEIRO) SALÁRIO, FÉRIAS  E ADICIONAL DE FÉRIAS</v>
      </c>
      <c r="D66" s="314"/>
      <c r="E66" s="314"/>
      <c r="F66" s="314"/>
      <c r="G66" s="314"/>
      <c r="H66" s="314"/>
      <c r="I66" s="314"/>
      <c r="J66" s="314"/>
      <c r="K66" s="415"/>
      <c r="L66" s="24">
        <f>$L$44</f>
        <v>0</v>
      </c>
    </row>
    <row r="67" spans="1:17" ht="20.25" customHeight="1" thickBot="1" x14ac:dyDescent="0.25">
      <c r="B67" s="4" t="s">
        <v>46</v>
      </c>
      <c r="C67" s="313" t="s">
        <v>96</v>
      </c>
      <c r="D67" s="314"/>
      <c r="E67" s="314"/>
      <c r="F67" s="314"/>
      <c r="G67" s="314"/>
      <c r="H67" s="314"/>
      <c r="I67" s="314"/>
      <c r="J67" s="314"/>
      <c r="K67" s="415"/>
      <c r="L67" s="24">
        <f>L56</f>
        <v>0</v>
      </c>
    </row>
    <row r="68" spans="1:17" ht="20.25" customHeight="1" thickBot="1" x14ac:dyDescent="0.25">
      <c r="B68" s="11" t="s">
        <v>49</v>
      </c>
      <c r="C68" s="313" t="s">
        <v>56</v>
      </c>
      <c r="D68" s="314"/>
      <c r="E68" s="314"/>
      <c r="F68" s="314"/>
      <c r="G68" s="314"/>
      <c r="H68" s="314"/>
      <c r="I68" s="314"/>
      <c r="J68" s="314"/>
      <c r="K68" s="415"/>
      <c r="L68" s="24">
        <f>$L$63</f>
        <v>0</v>
      </c>
    </row>
    <row r="69" spans="1:17" ht="20.25" customHeight="1" thickBot="1" x14ac:dyDescent="0.25">
      <c r="B69" s="402" t="s">
        <v>12</v>
      </c>
      <c r="C69" s="403"/>
      <c r="D69" s="403"/>
      <c r="E69" s="403"/>
      <c r="F69" s="403"/>
      <c r="G69" s="403"/>
      <c r="H69" s="403"/>
      <c r="I69" s="403"/>
      <c r="J69" s="403"/>
      <c r="K69" s="404"/>
      <c r="L69" s="83">
        <f>SUM(L66:L68)</f>
        <v>0</v>
      </c>
    </row>
    <row r="70" spans="1:17" ht="20.25" customHeight="1" thickBot="1" x14ac:dyDescent="0.35">
      <c r="B70" s="426" t="s">
        <v>53</v>
      </c>
      <c r="C70" s="426"/>
      <c r="D70" s="426"/>
      <c r="E70" s="426"/>
      <c r="F70" s="426"/>
      <c r="G70" s="426"/>
      <c r="H70" s="426"/>
      <c r="I70" s="426"/>
      <c r="J70" s="426"/>
      <c r="K70" s="426"/>
      <c r="L70" s="426"/>
    </row>
    <row r="71" spans="1:17" ht="20.25" customHeight="1" thickBot="1" x14ac:dyDescent="0.25">
      <c r="B71" s="267">
        <v>3</v>
      </c>
      <c r="C71" s="268" t="s">
        <v>78</v>
      </c>
      <c r="D71" s="268"/>
      <c r="E71" s="268"/>
      <c r="F71" s="268"/>
      <c r="G71" s="268"/>
      <c r="H71" s="268"/>
      <c r="I71" s="268"/>
      <c r="J71" s="269"/>
      <c r="K71" s="264" t="s">
        <v>18</v>
      </c>
      <c r="L71" s="270" t="s">
        <v>24</v>
      </c>
    </row>
    <row r="72" spans="1:17" ht="20.25" customHeight="1" thickBot="1" x14ac:dyDescent="0.25">
      <c r="B72" s="8" t="s">
        <v>3</v>
      </c>
      <c r="C72" s="473" t="s">
        <v>30</v>
      </c>
      <c r="D72" s="474"/>
      <c r="E72" s="474"/>
      <c r="F72" s="474"/>
      <c r="G72" s="474"/>
      <c r="H72" s="474"/>
      <c r="I72" s="474"/>
      <c r="J72" s="475"/>
      <c r="K72" s="295">
        <f>(1/12)*5%</f>
        <v>4.1666666666666666E-3</v>
      </c>
      <c r="L72" s="272">
        <f>((L38+L44)*K72)</f>
        <v>0</v>
      </c>
      <c r="N72" s="36"/>
      <c r="P72" s="37"/>
    </row>
    <row r="73" spans="1:17" ht="20.25" customHeight="1" thickBot="1" x14ac:dyDescent="0.25">
      <c r="B73" s="8" t="s">
        <v>5</v>
      </c>
      <c r="C73" s="313" t="s">
        <v>77</v>
      </c>
      <c r="D73" s="314"/>
      <c r="E73" s="314"/>
      <c r="F73" s="314"/>
      <c r="G73" s="314"/>
      <c r="H73" s="314"/>
      <c r="I73" s="314"/>
      <c r="J73" s="415"/>
      <c r="K73" s="295">
        <v>0.08</v>
      </c>
      <c r="L73" s="272">
        <f>L72*K73</f>
        <v>0</v>
      </c>
      <c r="N73" s="43"/>
    </row>
    <row r="74" spans="1:17" ht="20.25" customHeight="1" thickBot="1" x14ac:dyDescent="0.25">
      <c r="B74" s="8" t="s">
        <v>7</v>
      </c>
      <c r="C74" s="121" t="s">
        <v>195</v>
      </c>
      <c r="D74" s="122"/>
      <c r="E74" s="122"/>
      <c r="F74" s="122"/>
      <c r="G74" s="122"/>
      <c r="H74" s="122"/>
      <c r="I74" s="122"/>
      <c r="J74" s="47"/>
      <c r="K74" s="295">
        <v>0.02</v>
      </c>
      <c r="L74" s="272">
        <f>SUM(L44+L38)*K74</f>
        <v>0</v>
      </c>
      <c r="N74" s="36"/>
    </row>
    <row r="75" spans="1:17" ht="20.25" customHeight="1" thickBot="1" x14ac:dyDescent="0.25">
      <c r="B75" s="8" t="s">
        <v>22</v>
      </c>
      <c r="C75" s="313" t="s">
        <v>79</v>
      </c>
      <c r="D75" s="314"/>
      <c r="E75" s="314"/>
      <c r="F75" s="314"/>
      <c r="G75" s="314"/>
      <c r="H75" s="314"/>
      <c r="I75" s="314"/>
      <c r="J75" s="415"/>
      <c r="K75" s="295">
        <v>1.9400000000000001E-2</v>
      </c>
      <c r="L75" s="272">
        <f>(L38+L44)*K75</f>
        <v>0</v>
      </c>
    </row>
    <row r="76" spans="1:17" ht="19.5" customHeight="1" thickBot="1" x14ac:dyDescent="0.25">
      <c r="B76" s="8" t="s">
        <v>8</v>
      </c>
      <c r="C76" s="313" t="s">
        <v>97</v>
      </c>
      <c r="D76" s="314"/>
      <c r="E76" s="314"/>
      <c r="F76" s="314"/>
      <c r="G76" s="314"/>
      <c r="H76" s="314"/>
      <c r="I76" s="314"/>
      <c r="J76" s="415"/>
      <c r="K76" s="271">
        <f>K56</f>
        <v>0.35300000000000004</v>
      </c>
      <c r="L76" s="272">
        <f>K76*L75</f>
        <v>0</v>
      </c>
    </row>
    <row r="77" spans="1:17" ht="20.25" customHeight="1" thickBot="1" x14ac:dyDescent="0.25">
      <c r="B77" s="8" t="s">
        <v>9</v>
      </c>
      <c r="C77" s="119" t="s">
        <v>387</v>
      </c>
      <c r="D77" s="119"/>
      <c r="E77" s="119"/>
      <c r="F77" s="119"/>
      <c r="G77" s="119"/>
      <c r="H77" s="119"/>
      <c r="I77" s="119"/>
      <c r="J77" s="48"/>
      <c r="K77" s="295">
        <v>0.02</v>
      </c>
      <c r="L77" s="272">
        <f>SUM(L44+L38)*K77</f>
        <v>0</v>
      </c>
    </row>
    <row r="78" spans="1:17" ht="20.25" customHeight="1" thickBot="1" x14ac:dyDescent="0.25">
      <c r="B78" s="423" t="s">
        <v>69</v>
      </c>
      <c r="C78" s="424"/>
      <c r="D78" s="424"/>
      <c r="E78" s="424"/>
      <c r="F78" s="424"/>
      <c r="G78" s="424"/>
      <c r="H78" s="424"/>
      <c r="I78" s="424"/>
      <c r="J78" s="425"/>
      <c r="K78" s="38">
        <f>SUM(K72:K77)</f>
        <v>0.49656666666666671</v>
      </c>
      <c r="L78" s="42">
        <f>SUM(L72:L77)</f>
        <v>0</v>
      </c>
    </row>
    <row r="79" spans="1:17" ht="18.75" customHeight="1" x14ac:dyDescent="0.2">
      <c r="B79" s="389" t="s">
        <v>98</v>
      </c>
      <c r="C79" s="389"/>
      <c r="D79" s="389"/>
      <c r="E79" s="389"/>
      <c r="F79" s="389"/>
      <c r="G79" s="389"/>
      <c r="H79" s="389"/>
      <c r="I79" s="389"/>
      <c r="J79" s="389"/>
      <c r="K79" s="389"/>
      <c r="L79" s="389"/>
      <c r="Q79" s="36"/>
    </row>
    <row r="80" spans="1:17" s="2" customFormat="1" ht="20.25" customHeight="1" x14ac:dyDescent="0.25">
      <c r="A80"/>
      <c r="B80" s="54" t="s">
        <v>128</v>
      </c>
      <c r="C80" s="44"/>
      <c r="D80" s="49"/>
      <c r="E80" s="49"/>
      <c r="F80" s="49"/>
      <c r="G80" s="49"/>
      <c r="H80" s="49"/>
      <c r="I80" s="49"/>
      <c r="J80" s="49"/>
      <c r="K80" s="49"/>
      <c r="L80" s="25"/>
      <c r="Q80" s="36"/>
    </row>
    <row r="81" spans="1:17" s="2" customFormat="1" ht="20.25" customHeight="1" thickBot="1" x14ac:dyDescent="0.25">
      <c r="A81"/>
      <c r="B81" s="79" t="s">
        <v>28</v>
      </c>
      <c r="C81" s="419" t="s">
        <v>72</v>
      </c>
      <c r="D81" s="419"/>
      <c r="E81" s="419"/>
      <c r="F81" s="419"/>
      <c r="G81" s="419"/>
      <c r="H81" s="419"/>
      <c r="I81" s="419"/>
      <c r="J81" s="419"/>
      <c r="K81" s="79" t="s">
        <v>18</v>
      </c>
      <c r="L81" s="79" t="s">
        <v>24</v>
      </c>
    </row>
    <row r="82" spans="1:17" s="2" customFormat="1" ht="16.5" thickBot="1" x14ac:dyDescent="0.25">
      <c r="A82"/>
      <c r="B82" s="8" t="s">
        <v>3</v>
      </c>
      <c r="C82" s="420" t="s">
        <v>73</v>
      </c>
      <c r="D82" s="420"/>
      <c r="E82" s="420"/>
      <c r="F82" s="420"/>
      <c r="G82" s="420"/>
      <c r="H82" s="420"/>
      <c r="I82" s="420"/>
      <c r="J82" s="313"/>
      <c r="K82" s="295">
        <v>9.2999999999999992E-3</v>
      </c>
      <c r="L82" s="12">
        <f t="shared" ref="L82:L87" si="1">($L$38+$L$69+$L$78)*K82</f>
        <v>0</v>
      </c>
      <c r="N82" s="36"/>
      <c r="Q82" s="36"/>
    </row>
    <row r="83" spans="1:17" s="2" customFormat="1" ht="16.5" thickBot="1" x14ac:dyDescent="0.25">
      <c r="A83"/>
      <c r="B83" s="8" t="s">
        <v>5</v>
      </c>
      <c r="C83" s="15" t="s">
        <v>154</v>
      </c>
      <c r="D83" s="13"/>
      <c r="E83" s="13"/>
      <c r="F83" s="13"/>
      <c r="G83" s="13"/>
      <c r="H83" s="13"/>
      <c r="I83" s="13"/>
      <c r="J83" s="13"/>
      <c r="K83" s="295">
        <f>ROUND(((2/30)/12),2)</f>
        <v>0.01</v>
      </c>
      <c r="L83" s="12">
        <f>($L$38+$L$69+$L$78)*K83</f>
        <v>0</v>
      </c>
    </row>
    <row r="84" spans="1:17" s="2" customFormat="1" ht="16.5" thickBot="1" x14ac:dyDescent="0.25">
      <c r="A84"/>
      <c r="B84" s="8" t="s">
        <v>7</v>
      </c>
      <c r="C84" s="15" t="s">
        <v>74</v>
      </c>
      <c r="D84" s="13"/>
      <c r="E84" s="13"/>
      <c r="F84" s="13"/>
      <c r="G84" s="13"/>
      <c r="H84" s="13"/>
      <c r="I84" s="13"/>
      <c r="J84" s="13"/>
      <c r="K84" s="295">
        <f>((5/30)/12)*2%</f>
        <v>2.7777777777777778E-4</v>
      </c>
      <c r="L84" s="12">
        <f t="shared" si="1"/>
        <v>0</v>
      </c>
    </row>
    <row r="85" spans="1:17" s="2" customFormat="1" ht="16.5" thickBot="1" x14ac:dyDescent="0.25">
      <c r="A85"/>
      <c r="B85" s="8" t="s">
        <v>22</v>
      </c>
      <c r="C85" s="15" t="s">
        <v>155</v>
      </c>
      <c r="D85" s="13"/>
      <c r="E85" s="13"/>
      <c r="F85" s="13"/>
      <c r="G85" s="13"/>
      <c r="H85" s="13"/>
      <c r="I85" s="13"/>
      <c r="J85" s="13"/>
      <c r="K85" s="295">
        <f>((15/30)/12)*8%</f>
        <v>3.3333333333333331E-3</v>
      </c>
      <c r="L85" s="12">
        <f t="shared" si="1"/>
        <v>0</v>
      </c>
    </row>
    <row r="86" spans="1:17" s="2" customFormat="1" ht="16.5" thickBot="1" x14ac:dyDescent="0.25">
      <c r="A86"/>
      <c r="B86" s="8" t="s">
        <v>8</v>
      </c>
      <c r="C86" s="15" t="s">
        <v>397</v>
      </c>
      <c r="D86" s="13"/>
      <c r="E86" s="13"/>
      <c r="F86" s="13"/>
      <c r="G86" s="13"/>
      <c r="H86" s="13"/>
      <c r="I86" s="13"/>
      <c r="J86" s="13"/>
      <c r="K86" s="295">
        <f>((4/12)/12*10%)</f>
        <v>2.7777777777777779E-3</v>
      </c>
      <c r="L86" s="12">
        <f>($L$38+$L$69+$L$78)*K86</f>
        <v>0</v>
      </c>
    </row>
    <row r="87" spans="1:17" s="2" customFormat="1" ht="16.5" thickBot="1" x14ac:dyDescent="0.25">
      <c r="A87"/>
      <c r="B87" s="8" t="s">
        <v>9</v>
      </c>
      <c r="C87" s="15" t="s">
        <v>75</v>
      </c>
      <c r="D87" s="13"/>
      <c r="E87" s="13"/>
      <c r="F87" s="13"/>
      <c r="G87" s="13"/>
      <c r="H87" s="13"/>
      <c r="I87" s="13"/>
      <c r="J87" s="13"/>
      <c r="K87" s="46"/>
      <c r="L87" s="12">
        <f t="shared" si="1"/>
        <v>0</v>
      </c>
    </row>
    <row r="88" spans="1:17" s="2" customFormat="1" ht="20.25" customHeight="1" thickBot="1" x14ac:dyDescent="0.25">
      <c r="A88"/>
      <c r="B88" s="402" t="s">
        <v>12</v>
      </c>
      <c r="C88" s="403"/>
      <c r="D88" s="403"/>
      <c r="E88" s="403"/>
      <c r="F88" s="403"/>
      <c r="G88" s="403"/>
      <c r="H88" s="403"/>
      <c r="I88" s="403"/>
      <c r="J88" s="403"/>
      <c r="K88" s="404"/>
      <c r="L88" s="86">
        <f>SUM(L82:L87)</f>
        <v>0</v>
      </c>
    </row>
    <row r="89" spans="1:17" s="2" customFormat="1" ht="20.25" customHeight="1" x14ac:dyDescent="0.25">
      <c r="A89"/>
      <c r="B89" s="54" t="s">
        <v>99</v>
      </c>
      <c r="C89" s="49"/>
      <c r="D89" s="49"/>
      <c r="E89" s="49"/>
      <c r="F89" s="49"/>
      <c r="G89" s="49"/>
      <c r="H89" s="49"/>
      <c r="I89" s="49"/>
      <c r="J89" s="49"/>
      <c r="K89" s="26"/>
      <c r="L89" s="25"/>
    </row>
    <row r="90" spans="1:17" s="2" customFormat="1" ht="21" customHeight="1" thickBot="1" x14ac:dyDescent="0.25">
      <c r="A90"/>
      <c r="B90" s="79" t="s">
        <v>80</v>
      </c>
      <c r="C90" s="419" t="s">
        <v>81</v>
      </c>
      <c r="D90" s="419"/>
      <c r="E90" s="419"/>
      <c r="F90" s="419"/>
      <c r="G90" s="419"/>
      <c r="H90" s="419"/>
      <c r="I90" s="419"/>
      <c r="J90" s="419"/>
      <c r="K90" s="79" t="s">
        <v>18</v>
      </c>
      <c r="L90" s="79" t="s">
        <v>24</v>
      </c>
    </row>
    <row r="91" spans="1:17" s="2" customFormat="1" ht="27" customHeight="1" thickBot="1" x14ac:dyDescent="0.25">
      <c r="A91"/>
      <c r="B91" s="8" t="s">
        <v>3</v>
      </c>
      <c r="C91" s="420" t="s">
        <v>82</v>
      </c>
      <c r="D91" s="420"/>
      <c r="E91" s="420"/>
      <c r="F91" s="420"/>
      <c r="G91" s="420"/>
      <c r="H91" s="420"/>
      <c r="I91" s="420"/>
      <c r="J91" s="313"/>
      <c r="K91" s="18">
        <v>0</v>
      </c>
      <c r="L91" s="12">
        <f>+SUM($L$38+$L$69+$L$78)*K91</f>
        <v>0</v>
      </c>
      <c r="N91" s="36"/>
      <c r="Q91" s="36"/>
    </row>
    <row r="92" spans="1:17" s="2" customFormat="1" ht="18.75" customHeight="1" thickBot="1" x14ac:dyDescent="0.25">
      <c r="A92"/>
      <c r="B92" s="421" t="s">
        <v>83</v>
      </c>
      <c r="C92" s="421"/>
      <c r="D92" s="421"/>
      <c r="E92" s="421"/>
      <c r="F92" s="421"/>
      <c r="G92" s="421"/>
      <c r="H92" s="421"/>
      <c r="I92" s="421"/>
      <c r="J92" s="421"/>
      <c r="K92" s="421"/>
      <c r="L92" s="421"/>
    </row>
    <row r="93" spans="1:17" s="2" customFormat="1" ht="20.25" customHeight="1" thickBot="1" x14ac:dyDescent="0.25">
      <c r="A93"/>
      <c r="B93" s="78">
        <v>4</v>
      </c>
      <c r="C93" s="387" t="s">
        <v>84</v>
      </c>
      <c r="D93" s="388"/>
      <c r="E93" s="388"/>
      <c r="F93" s="388"/>
      <c r="G93" s="422"/>
      <c r="H93" s="78"/>
      <c r="I93" s="78"/>
      <c r="J93" s="78"/>
      <c r="K93" s="117"/>
      <c r="L93" s="78" t="s">
        <v>19</v>
      </c>
    </row>
    <row r="94" spans="1:17" s="2" customFormat="1" ht="20.25" customHeight="1" thickBot="1" x14ac:dyDescent="0.25">
      <c r="A94"/>
      <c r="B94" s="4" t="s">
        <v>28</v>
      </c>
      <c r="C94" s="313" t="s">
        <v>72</v>
      </c>
      <c r="D94" s="314"/>
      <c r="E94" s="314"/>
      <c r="F94" s="314"/>
      <c r="G94" s="314"/>
      <c r="H94" s="314"/>
      <c r="I94" s="314"/>
      <c r="J94" s="314"/>
      <c r="K94" s="415"/>
      <c r="L94" s="24">
        <f>$L$88</f>
        <v>0</v>
      </c>
    </row>
    <row r="95" spans="1:17" s="2" customFormat="1" ht="20.25" customHeight="1" thickBot="1" x14ac:dyDescent="0.25">
      <c r="A95"/>
      <c r="B95" s="4" t="s">
        <v>80</v>
      </c>
      <c r="C95" s="313" t="s">
        <v>81</v>
      </c>
      <c r="D95" s="314"/>
      <c r="E95" s="314"/>
      <c r="F95" s="314"/>
      <c r="G95" s="314"/>
      <c r="H95" s="314"/>
      <c r="I95" s="314"/>
      <c r="J95" s="314"/>
      <c r="K95" s="415"/>
      <c r="L95" s="24">
        <f>$L$91</f>
        <v>0</v>
      </c>
    </row>
    <row r="96" spans="1:17" s="2" customFormat="1" ht="20.25" customHeight="1" thickBot="1" x14ac:dyDescent="0.25">
      <c r="A96"/>
      <c r="B96" s="402" t="s">
        <v>12</v>
      </c>
      <c r="C96" s="403"/>
      <c r="D96" s="403"/>
      <c r="E96" s="403"/>
      <c r="F96" s="403"/>
      <c r="G96" s="403"/>
      <c r="H96" s="403"/>
      <c r="I96" s="403"/>
      <c r="J96" s="403"/>
      <c r="K96" s="404"/>
      <c r="L96" s="83">
        <f>SUM(L94:L95)</f>
        <v>0</v>
      </c>
    </row>
    <row r="97" spans="1:21" s="2" customFormat="1" ht="20.25" customHeight="1" thickBot="1" x14ac:dyDescent="0.25">
      <c r="A97"/>
      <c r="B97" s="408" t="s">
        <v>52</v>
      </c>
      <c r="C97" s="408"/>
      <c r="D97" s="408"/>
      <c r="E97" s="408"/>
      <c r="F97" s="408"/>
      <c r="G97" s="408"/>
      <c r="H97" s="408"/>
      <c r="I97" s="408"/>
      <c r="J97" s="408"/>
      <c r="K97" s="408"/>
      <c r="L97" s="408"/>
    </row>
    <row r="98" spans="1:21" s="2" customFormat="1" ht="20.25" customHeight="1" thickBot="1" x14ac:dyDescent="0.25">
      <c r="A98"/>
      <c r="B98" s="78">
        <v>5</v>
      </c>
      <c r="C98" s="416" t="s">
        <v>33</v>
      </c>
      <c r="D98" s="416"/>
      <c r="E98" s="416"/>
      <c r="F98" s="416"/>
      <c r="G98" s="416"/>
      <c r="H98" s="417" t="s">
        <v>132</v>
      </c>
      <c r="I98" s="418"/>
      <c r="J98" s="78" t="s">
        <v>21</v>
      </c>
      <c r="K98" s="117" t="s">
        <v>18</v>
      </c>
      <c r="L98" s="78" t="s">
        <v>19</v>
      </c>
    </row>
    <row r="99" spans="1:21" s="2" customFormat="1" ht="20.25" customHeight="1" thickBot="1" x14ac:dyDescent="0.25">
      <c r="A99"/>
      <c r="B99" s="4" t="s">
        <v>3</v>
      </c>
      <c r="C99" s="313" t="s">
        <v>402</v>
      </c>
      <c r="D99" s="314"/>
      <c r="E99" s="314"/>
      <c r="F99" s="314"/>
      <c r="G99" s="415"/>
      <c r="H99" s="487">
        <f>UNIFORMES!G12</f>
        <v>0</v>
      </c>
      <c r="I99" s="488"/>
      <c r="J99" s="98"/>
      <c r="K99" s="10"/>
      <c r="L99" s="24">
        <f>H99</f>
        <v>0</v>
      </c>
      <c r="N99" s="410"/>
      <c r="O99" s="410"/>
      <c r="P99" s="410"/>
      <c r="Q99" s="410"/>
    </row>
    <row r="100" spans="1:21" s="2" customFormat="1" ht="20.25" customHeight="1" thickBot="1" x14ac:dyDescent="0.25">
      <c r="A100"/>
      <c r="B100" s="4" t="s">
        <v>5</v>
      </c>
      <c r="C100" s="405" t="s">
        <v>26</v>
      </c>
      <c r="D100" s="405"/>
      <c r="E100" s="405"/>
      <c r="F100" s="405"/>
      <c r="G100" s="405"/>
      <c r="H100" s="487">
        <f>'MATERIAIS E EPIS'!F23</f>
        <v>0</v>
      </c>
      <c r="I100" s="488"/>
      <c r="J100" s="99"/>
      <c r="K100" s="10"/>
      <c r="L100" s="24">
        <f>H100-K100</f>
        <v>0</v>
      </c>
      <c r="N100" s="413"/>
      <c r="O100" s="413"/>
      <c r="P100" s="413"/>
      <c r="Q100" s="413"/>
    </row>
    <row r="101" spans="1:21" s="2" customFormat="1" ht="20.25" customHeight="1" thickBot="1" x14ac:dyDescent="0.25">
      <c r="A101"/>
      <c r="B101" s="11" t="s">
        <v>7</v>
      </c>
      <c r="C101" s="405" t="s">
        <v>27</v>
      </c>
      <c r="D101" s="405"/>
      <c r="E101" s="405"/>
      <c r="F101" s="405"/>
      <c r="G101" s="405"/>
      <c r="H101" s="487">
        <f>EQUIPAMENTOS!H17</f>
        <v>0</v>
      </c>
      <c r="I101" s="488"/>
      <c r="J101" s="100"/>
      <c r="K101" s="10"/>
      <c r="L101" s="24">
        <f>H101</f>
        <v>0</v>
      </c>
      <c r="N101" s="414"/>
      <c r="O101" s="414"/>
      <c r="P101" s="414"/>
      <c r="Q101" s="414"/>
    </row>
    <row r="102" spans="1:21" s="2" customFormat="1" ht="27" customHeight="1" thickBot="1" x14ac:dyDescent="0.25">
      <c r="A102"/>
      <c r="B102" s="4" t="s">
        <v>22</v>
      </c>
      <c r="C102" s="405" t="s">
        <v>355</v>
      </c>
      <c r="D102" s="405"/>
      <c r="E102" s="405"/>
      <c r="F102" s="405"/>
      <c r="G102" s="405"/>
      <c r="H102" s="489">
        <f>INSUMOS!H25</f>
        <v>0</v>
      </c>
      <c r="I102" s="490"/>
      <c r="J102" s="98"/>
      <c r="K102" s="10"/>
      <c r="L102" s="24">
        <f>H102</f>
        <v>0</v>
      </c>
    </row>
    <row r="103" spans="1:21" s="2" customFormat="1" ht="27" customHeight="1" thickBot="1" x14ac:dyDescent="0.25">
      <c r="A103"/>
      <c r="B103" s="402" t="s">
        <v>12</v>
      </c>
      <c r="C103" s="403"/>
      <c r="D103" s="403"/>
      <c r="E103" s="403"/>
      <c r="F103" s="403"/>
      <c r="G103" s="403"/>
      <c r="H103" s="403"/>
      <c r="I103" s="403"/>
      <c r="J103" s="403"/>
      <c r="K103" s="404"/>
      <c r="L103" s="86">
        <f>SUM(L99:L102)</f>
        <v>0</v>
      </c>
    </row>
    <row r="104" spans="1:21" s="2" customFormat="1" ht="27" customHeight="1" thickBot="1" x14ac:dyDescent="0.25">
      <c r="A104"/>
      <c r="B104" s="408" t="s">
        <v>58</v>
      </c>
      <c r="C104" s="408"/>
      <c r="D104" s="408"/>
      <c r="E104" s="408"/>
      <c r="F104" s="408"/>
      <c r="G104" s="408"/>
      <c r="H104" s="408"/>
      <c r="I104" s="408"/>
      <c r="J104" s="408"/>
      <c r="K104" s="408"/>
      <c r="L104" s="408"/>
    </row>
    <row r="105" spans="1:21" s="2" customFormat="1" ht="18.75" customHeight="1" thickBot="1" x14ac:dyDescent="0.3">
      <c r="A105"/>
      <c r="B105" s="87">
        <v>6</v>
      </c>
      <c r="C105" s="409" t="s">
        <v>356</v>
      </c>
      <c r="D105" s="409"/>
      <c r="E105" s="409"/>
      <c r="F105" s="409"/>
      <c r="G105" s="409"/>
      <c r="H105" s="409"/>
      <c r="I105" s="409"/>
      <c r="J105" s="409"/>
      <c r="K105" s="88" t="s">
        <v>18</v>
      </c>
      <c r="L105" s="88" t="s">
        <v>130</v>
      </c>
      <c r="O105" s="27"/>
      <c r="P105" s="27"/>
      <c r="Q105" s="63"/>
      <c r="R105" s="64"/>
      <c r="S105" s="64"/>
      <c r="T105" s="64"/>
      <c r="U105" s="28"/>
    </row>
    <row r="106" spans="1:21" s="2" customFormat="1" ht="20.25" customHeight="1" thickBot="1" x14ac:dyDescent="0.3">
      <c r="A106"/>
      <c r="B106" s="315" t="s">
        <v>131</v>
      </c>
      <c r="C106" s="316"/>
      <c r="D106" s="316"/>
      <c r="E106" s="316"/>
      <c r="F106" s="316"/>
      <c r="G106" s="316"/>
      <c r="H106" s="316"/>
      <c r="I106" s="316"/>
      <c r="J106" s="316"/>
      <c r="K106" s="317"/>
      <c r="L106" s="246">
        <f>L122</f>
        <v>0</v>
      </c>
      <c r="O106" s="27"/>
      <c r="P106" s="27"/>
      <c r="Q106" s="71"/>
      <c r="R106" s="64"/>
      <c r="S106" s="64"/>
      <c r="T106" s="64"/>
      <c r="U106" s="28"/>
    </row>
    <row r="107" spans="1:21" s="2" customFormat="1" ht="20.25" customHeight="1" thickBot="1" x14ac:dyDescent="0.3">
      <c r="A107"/>
      <c r="B107" s="8" t="s">
        <v>3</v>
      </c>
      <c r="C107" s="244" t="s">
        <v>31</v>
      </c>
      <c r="D107" s="245"/>
      <c r="E107" s="245"/>
      <c r="F107" s="245"/>
      <c r="G107" s="245"/>
      <c r="H107" s="245"/>
      <c r="I107" s="245"/>
      <c r="J107" s="245"/>
      <c r="K107" s="304">
        <v>0.05</v>
      </c>
      <c r="L107" s="96">
        <f>L106*K107</f>
        <v>0</v>
      </c>
      <c r="O107" s="27"/>
      <c r="P107" s="27"/>
      <c r="Q107" s="72"/>
      <c r="R107" s="65"/>
      <c r="S107" s="66"/>
      <c r="T107" s="66"/>
      <c r="U107" s="29"/>
    </row>
    <row r="108" spans="1:21" s="2" customFormat="1" ht="20.25" customHeight="1" thickBot="1" x14ac:dyDescent="0.3">
      <c r="A108"/>
      <c r="B108" s="8" t="s">
        <v>5</v>
      </c>
      <c r="C108" s="33" t="s">
        <v>100</v>
      </c>
      <c r="D108" s="34"/>
      <c r="E108" s="34"/>
      <c r="F108" s="34"/>
      <c r="G108" s="34"/>
      <c r="H108" s="34"/>
      <c r="I108" s="34"/>
      <c r="J108" s="34"/>
      <c r="K108" s="305">
        <v>0.1</v>
      </c>
      <c r="L108" s="97">
        <f>ROUND((L106*K108),2)</f>
        <v>0</v>
      </c>
      <c r="O108" s="27"/>
      <c r="P108" s="27"/>
      <c r="Q108" s="67"/>
      <c r="R108" s="68"/>
      <c r="S108" s="69"/>
      <c r="T108" s="69"/>
      <c r="U108" s="30"/>
    </row>
    <row r="109" spans="1:21" s="2" customFormat="1" ht="20.25" customHeight="1" thickBot="1" x14ac:dyDescent="0.3">
      <c r="A109"/>
      <c r="B109" s="311" t="s">
        <v>196</v>
      </c>
      <c r="C109" s="312"/>
      <c r="D109" s="312"/>
      <c r="E109" s="312"/>
      <c r="F109" s="312"/>
      <c r="G109" s="312"/>
      <c r="H109" s="312" t="s">
        <v>197</v>
      </c>
      <c r="I109" s="312"/>
      <c r="J109" s="312"/>
      <c r="K109" s="312"/>
      <c r="L109" s="139">
        <f>SUM(L106:L108)</f>
        <v>0</v>
      </c>
      <c r="O109" s="27"/>
      <c r="P109" s="27"/>
      <c r="Q109" s="67"/>
      <c r="R109" s="68"/>
      <c r="S109" s="69"/>
      <c r="T109" s="69"/>
      <c r="U109" s="30"/>
    </row>
    <row r="110" spans="1:21" s="2" customFormat="1" ht="20.25" customHeight="1" thickBot="1" x14ac:dyDescent="0.3">
      <c r="A110"/>
      <c r="B110" s="4" t="s">
        <v>7</v>
      </c>
      <c r="C110" s="313" t="s">
        <v>198</v>
      </c>
      <c r="D110" s="314"/>
      <c r="E110" s="314"/>
      <c r="F110" s="314"/>
      <c r="G110" s="314"/>
      <c r="H110" s="314"/>
      <c r="I110" s="314"/>
      <c r="J110" s="137">
        <f>SUM(K111:K113)*100</f>
        <v>14.250000000000002</v>
      </c>
      <c r="K110" s="138">
        <f>ROUND((100-J110)/100,2)</f>
        <v>0.86</v>
      </c>
      <c r="L110" s="247">
        <f>SUM(L109/K110)</f>
        <v>0</v>
      </c>
      <c r="O110" s="27"/>
      <c r="P110" s="27"/>
      <c r="Q110" s="67"/>
      <c r="R110" s="68"/>
      <c r="S110" s="69"/>
      <c r="T110" s="69"/>
      <c r="U110" s="30"/>
    </row>
    <row r="111" spans="1:21" s="2" customFormat="1" ht="20.25" customHeight="1" thickBot="1" x14ac:dyDescent="0.3">
      <c r="A111"/>
      <c r="B111" s="45"/>
      <c r="C111" s="121" t="s">
        <v>137</v>
      </c>
      <c r="D111" s="122"/>
      <c r="E111" s="122"/>
      <c r="F111" s="122"/>
      <c r="G111" s="122"/>
      <c r="H111" s="122"/>
      <c r="I111" s="122"/>
      <c r="J111" s="122"/>
      <c r="K111" s="306">
        <v>1.6500000000000001E-2</v>
      </c>
      <c r="L111" s="248">
        <f>ROUND((K111*L110),2)</f>
        <v>0</v>
      </c>
      <c r="O111" s="27"/>
      <c r="P111" s="27"/>
      <c r="Q111" s="67"/>
      <c r="R111" s="68"/>
      <c r="S111" s="69"/>
      <c r="T111" s="69"/>
      <c r="U111" s="30"/>
    </row>
    <row r="112" spans="1:21" s="2" customFormat="1" ht="20.25" customHeight="1" thickBot="1" x14ac:dyDescent="0.3">
      <c r="A112"/>
      <c r="B112" s="45"/>
      <c r="C112" s="121" t="s">
        <v>138</v>
      </c>
      <c r="D112" s="122"/>
      <c r="E112" s="122"/>
      <c r="F112" s="122"/>
      <c r="G112" s="122"/>
      <c r="H112" s="122"/>
      <c r="I112" s="122"/>
      <c r="J112" s="122"/>
      <c r="K112" s="306">
        <v>7.5999999999999998E-2</v>
      </c>
      <c r="L112" s="249">
        <f>ROUND((K112*L110),2)</f>
        <v>0</v>
      </c>
      <c r="O112" s="27"/>
      <c r="P112" s="27"/>
      <c r="Q112" s="67"/>
      <c r="R112" s="68"/>
      <c r="S112" s="69"/>
      <c r="T112" s="69"/>
      <c r="U112" s="30"/>
    </row>
    <row r="113" spans="1:32" s="2" customFormat="1" ht="20.25" customHeight="1" thickBot="1" x14ac:dyDescent="0.3">
      <c r="A113"/>
      <c r="B113" s="45"/>
      <c r="C113" s="121" t="s">
        <v>136</v>
      </c>
      <c r="D113" s="122"/>
      <c r="E113" s="122"/>
      <c r="F113" s="122"/>
      <c r="G113" s="122"/>
      <c r="H113" s="122"/>
      <c r="I113" s="122"/>
      <c r="J113" s="122"/>
      <c r="K113" s="306">
        <v>0.05</v>
      </c>
      <c r="L113" s="250">
        <f>ROUND((K113*L110),2)</f>
        <v>0</v>
      </c>
      <c r="O113" s="27"/>
      <c r="P113" s="27"/>
      <c r="Q113" s="67"/>
      <c r="R113" s="68"/>
      <c r="S113" s="69"/>
      <c r="T113" s="69"/>
      <c r="U113" s="30"/>
    </row>
    <row r="114" spans="1:32" s="2" customFormat="1" ht="20.25" customHeight="1" thickBot="1" x14ac:dyDescent="0.3">
      <c r="A114"/>
      <c r="B114" s="402" t="s">
        <v>12</v>
      </c>
      <c r="C114" s="403"/>
      <c r="D114" s="403"/>
      <c r="E114" s="403"/>
      <c r="F114" s="403"/>
      <c r="G114" s="403"/>
      <c r="H114" s="403"/>
      <c r="I114" s="403"/>
      <c r="J114" s="403"/>
      <c r="K114" s="404"/>
      <c r="L114" s="89">
        <f>SUM(L111:L113,L107:L108)</f>
        <v>0</v>
      </c>
      <c r="O114" s="27"/>
      <c r="P114" s="27"/>
      <c r="Q114" s="67"/>
      <c r="R114" s="68"/>
      <c r="S114" s="69"/>
      <c r="T114" s="69"/>
      <c r="U114" s="30"/>
    </row>
    <row r="115" spans="1:32" s="2" customFormat="1" ht="21" customHeight="1" thickBot="1" x14ac:dyDescent="0.3">
      <c r="A115"/>
      <c r="B115" s="389" t="s">
        <v>115</v>
      </c>
      <c r="C115" s="389"/>
      <c r="D115" s="389"/>
      <c r="E115" s="389"/>
      <c r="F115" s="389"/>
      <c r="G115" s="389"/>
      <c r="H115" s="389"/>
      <c r="I115" s="389"/>
      <c r="J115" s="389"/>
      <c r="K115" s="389"/>
      <c r="L115" s="389"/>
      <c r="O115" s="27"/>
      <c r="P115" s="27"/>
      <c r="Q115" s="67"/>
      <c r="R115" s="70"/>
      <c r="S115" s="69"/>
      <c r="T115" s="69"/>
      <c r="U115" s="30"/>
    </row>
    <row r="116" spans="1:32" s="2" customFormat="1" ht="21" customHeight="1" thickBot="1" x14ac:dyDescent="0.3">
      <c r="A116"/>
      <c r="B116" s="90"/>
      <c r="C116" s="123" t="s">
        <v>65</v>
      </c>
      <c r="D116" s="91"/>
      <c r="E116" s="92"/>
      <c r="F116" s="92"/>
      <c r="G116" s="92"/>
      <c r="H116" s="92"/>
      <c r="I116" s="92"/>
      <c r="J116" s="92"/>
      <c r="K116" s="92"/>
      <c r="L116" s="93" t="s">
        <v>32</v>
      </c>
      <c r="O116" s="27"/>
      <c r="P116" s="27"/>
      <c r="Q116" s="67"/>
      <c r="R116" s="70"/>
      <c r="S116" s="69"/>
      <c r="T116" s="69"/>
      <c r="U116" s="30"/>
    </row>
    <row r="117" spans="1:32" s="2" customFormat="1" ht="20.25" customHeight="1" thickBot="1" x14ac:dyDescent="0.3">
      <c r="A117"/>
      <c r="B117" s="17" t="s">
        <v>3</v>
      </c>
      <c r="C117" s="399" t="s">
        <v>60</v>
      </c>
      <c r="D117" s="400"/>
      <c r="E117" s="400"/>
      <c r="F117" s="400"/>
      <c r="G117" s="400"/>
      <c r="H117" s="400"/>
      <c r="I117" s="400"/>
      <c r="J117" s="400"/>
      <c r="K117" s="401"/>
      <c r="L117" s="23">
        <f>L38</f>
        <v>0</v>
      </c>
      <c r="O117" s="27"/>
      <c r="P117" s="27"/>
      <c r="Q117" s="67"/>
      <c r="R117" s="70"/>
      <c r="S117" s="69"/>
      <c r="T117" s="69"/>
      <c r="U117" s="30"/>
    </row>
    <row r="118" spans="1:32" s="2" customFormat="1" ht="20.25" customHeight="1" thickBot="1" x14ac:dyDescent="0.3">
      <c r="A118"/>
      <c r="B118" s="16" t="s">
        <v>5</v>
      </c>
      <c r="C118" s="399" t="s">
        <v>61</v>
      </c>
      <c r="D118" s="400"/>
      <c r="E118" s="400"/>
      <c r="F118" s="400"/>
      <c r="G118" s="400"/>
      <c r="H118" s="400"/>
      <c r="I118" s="400"/>
      <c r="J118" s="400"/>
      <c r="K118" s="400"/>
      <c r="L118" s="19">
        <f>L69</f>
        <v>0</v>
      </c>
      <c r="O118" s="27"/>
      <c r="P118" s="27"/>
      <c r="Q118" s="67"/>
      <c r="R118" s="70"/>
      <c r="S118" s="69"/>
      <c r="T118" s="69"/>
      <c r="U118" s="30"/>
    </row>
    <row r="119" spans="1:32" s="2" customFormat="1" ht="20.25" customHeight="1" thickBot="1" x14ac:dyDescent="0.3">
      <c r="A119"/>
      <c r="B119" s="16" t="s">
        <v>7</v>
      </c>
      <c r="C119" s="399" t="s">
        <v>53</v>
      </c>
      <c r="D119" s="400"/>
      <c r="E119" s="400"/>
      <c r="F119" s="400"/>
      <c r="G119" s="400"/>
      <c r="H119" s="400"/>
      <c r="I119" s="400"/>
      <c r="J119" s="400"/>
      <c r="K119" s="401"/>
      <c r="L119" s="20">
        <f>L78</f>
        <v>0</v>
      </c>
      <c r="O119" s="27"/>
      <c r="P119" s="27"/>
      <c r="Q119" s="67"/>
      <c r="R119" s="70"/>
      <c r="S119" s="69"/>
      <c r="T119" s="69"/>
      <c r="U119" s="30"/>
    </row>
    <row r="120" spans="1:32" s="2" customFormat="1" ht="20.25" customHeight="1" thickBot="1" x14ac:dyDescent="0.3">
      <c r="A120"/>
      <c r="B120" s="16" t="s">
        <v>22</v>
      </c>
      <c r="C120" s="399" t="s">
        <v>62</v>
      </c>
      <c r="D120" s="400"/>
      <c r="E120" s="400"/>
      <c r="F120" s="400"/>
      <c r="G120" s="400"/>
      <c r="H120" s="400"/>
      <c r="I120" s="400"/>
      <c r="J120" s="400"/>
      <c r="K120" s="401"/>
      <c r="L120" s="20">
        <f>L96</f>
        <v>0</v>
      </c>
      <c r="O120" s="27"/>
      <c r="P120" s="27"/>
      <c r="Q120" s="67"/>
      <c r="R120" s="70"/>
      <c r="S120" s="69"/>
      <c r="T120" s="69"/>
      <c r="U120" s="30"/>
    </row>
    <row r="121" spans="1:32" s="2" customFormat="1" ht="20.25" customHeight="1" thickBot="1" x14ac:dyDescent="0.3">
      <c r="A121"/>
      <c r="B121" s="16" t="s">
        <v>8</v>
      </c>
      <c r="C121" s="399" t="s">
        <v>52</v>
      </c>
      <c r="D121" s="400"/>
      <c r="E121" s="400"/>
      <c r="F121" s="400"/>
      <c r="G121" s="400"/>
      <c r="H121" s="400"/>
      <c r="I121" s="400"/>
      <c r="J121" s="400"/>
      <c r="K121" s="401"/>
      <c r="L121" s="20">
        <f>L103</f>
        <v>0</v>
      </c>
      <c r="O121" s="27"/>
      <c r="P121" s="27"/>
      <c r="Q121" s="67"/>
      <c r="R121" s="70"/>
      <c r="S121" s="69"/>
      <c r="T121" s="69"/>
      <c r="U121" s="30"/>
    </row>
    <row r="122" spans="1:32" s="2" customFormat="1" ht="20.25" customHeight="1" thickBot="1" x14ac:dyDescent="0.3">
      <c r="A122"/>
      <c r="B122" s="79"/>
      <c r="C122" s="387" t="s">
        <v>63</v>
      </c>
      <c r="D122" s="388"/>
      <c r="E122" s="388"/>
      <c r="F122" s="388"/>
      <c r="G122" s="388"/>
      <c r="H122" s="388"/>
      <c r="I122" s="388"/>
      <c r="J122" s="388"/>
      <c r="K122" s="94"/>
      <c r="L122" s="95">
        <f>SUM(L117:L121)</f>
        <v>0</v>
      </c>
      <c r="N122" s="73"/>
      <c r="O122" s="27"/>
      <c r="P122" s="27"/>
      <c r="Q122" s="67"/>
      <c r="R122" s="70"/>
      <c r="S122" s="69"/>
      <c r="T122" s="69"/>
      <c r="U122" s="30"/>
    </row>
    <row r="123" spans="1:32" s="2" customFormat="1" ht="20.25" customHeight="1" thickBot="1" x14ac:dyDescent="0.3">
      <c r="A123"/>
      <c r="B123" s="16" t="s">
        <v>9</v>
      </c>
      <c r="C123" s="399" t="s">
        <v>58</v>
      </c>
      <c r="D123" s="400"/>
      <c r="E123" s="400"/>
      <c r="F123" s="400"/>
      <c r="G123" s="400"/>
      <c r="H123" s="400"/>
      <c r="I123" s="400"/>
      <c r="J123" s="400"/>
      <c r="K123" s="401"/>
      <c r="L123" s="20">
        <f>$L$114</f>
        <v>0</v>
      </c>
      <c r="N123" s="73"/>
      <c r="O123" s="27"/>
      <c r="P123" s="27"/>
      <c r="Q123" s="67"/>
      <c r="R123" s="70"/>
      <c r="S123" s="69"/>
      <c r="T123" s="69"/>
      <c r="U123" s="30"/>
    </row>
    <row r="124" spans="1:32" s="2" customFormat="1" ht="20.25" customHeight="1" thickBot="1" x14ac:dyDescent="0.3">
      <c r="A124"/>
      <c r="B124" s="79"/>
      <c r="C124" s="387" t="s">
        <v>64</v>
      </c>
      <c r="D124" s="388"/>
      <c r="E124" s="388"/>
      <c r="F124" s="388"/>
      <c r="G124" s="388"/>
      <c r="H124" s="388"/>
      <c r="I124" s="388"/>
      <c r="J124" s="388"/>
      <c r="K124" s="94"/>
      <c r="L124" s="95">
        <f>L123+L122</f>
        <v>0</v>
      </c>
      <c r="N124" s="73"/>
      <c r="O124" s="27"/>
      <c r="P124" s="27"/>
      <c r="Q124" s="67"/>
      <c r="R124" s="70"/>
      <c r="S124" s="69"/>
      <c r="T124" s="69"/>
      <c r="U124" s="30"/>
    </row>
    <row r="125" spans="1:32" s="2" customFormat="1" ht="20.25" customHeight="1" x14ac:dyDescent="0.2">
      <c r="A125"/>
      <c r="B125" s="389" t="s">
        <v>145</v>
      </c>
      <c r="C125" s="389"/>
      <c r="D125" s="389"/>
      <c r="E125" s="389"/>
      <c r="F125" s="389"/>
      <c r="G125" s="389"/>
      <c r="H125" s="389"/>
      <c r="I125" s="389"/>
      <c r="J125" s="389"/>
      <c r="K125" s="389"/>
      <c r="L125" s="389"/>
    </row>
    <row r="126" spans="1:32" s="2" customFormat="1" ht="9" customHeight="1" thickBot="1" x14ac:dyDescent="0.25">
      <c r="A126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</row>
    <row r="127" spans="1:32" s="2" customFormat="1" ht="18.75" customHeight="1" thickBot="1" x14ac:dyDescent="0.25">
      <c r="A127" s="1"/>
      <c r="B127" s="390" t="s">
        <v>116</v>
      </c>
      <c r="C127" s="391"/>
      <c r="D127" s="391"/>
      <c r="E127" s="391"/>
      <c r="F127" s="391"/>
      <c r="G127" s="391"/>
      <c r="H127" s="391"/>
      <c r="I127" s="391"/>
      <c r="J127" s="391"/>
      <c r="K127" s="391"/>
      <c r="L127" s="392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</row>
    <row r="128" spans="1:32" s="2" customForma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</row>
    <row r="129" spans="1:32" s="2" customFormat="1" ht="15.75" x14ac:dyDescent="0.25">
      <c r="A129" s="1"/>
      <c r="B129" s="393" t="s">
        <v>358</v>
      </c>
      <c r="C129" s="394"/>
      <c r="D129" s="394"/>
      <c r="E129" s="394"/>
      <c r="F129" s="394"/>
      <c r="G129" s="394"/>
      <c r="H129" s="394"/>
      <c r="I129" s="394"/>
      <c r="J129" s="394"/>
      <c r="K129" s="394"/>
      <c r="L129" s="39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</row>
    <row r="130" spans="1:32" s="2" customFormat="1" ht="15.75" x14ac:dyDescent="0.25">
      <c r="A130" s="1"/>
      <c r="B130" s="356" t="s">
        <v>101</v>
      </c>
      <c r="C130" s="357"/>
      <c r="D130" s="358"/>
      <c r="E130" s="362" t="s">
        <v>102</v>
      </c>
      <c r="F130" s="363"/>
      <c r="G130" s="363"/>
      <c r="H130" s="364"/>
      <c r="I130" s="365" t="s">
        <v>103</v>
      </c>
      <c r="J130" s="366"/>
      <c r="K130" s="367"/>
      <c r="L130" s="56" t="s">
        <v>104</v>
      </c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</row>
    <row r="131" spans="1:32" s="2" customFormat="1" ht="15.75" x14ac:dyDescent="0.25">
      <c r="A131" s="1"/>
      <c r="B131" s="380"/>
      <c r="C131" s="381"/>
      <c r="D131" s="382"/>
      <c r="E131" s="380" t="s">
        <v>105</v>
      </c>
      <c r="F131" s="381"/>
      <c r="G131" s="381"/>
      <c r="H131" s="382"/>
      <c r="I131" s="396" t="s">
        <v>106</v>
      </c>
      <c r="J131" s="397"/>
      <c r="K131" s="398"/>
      <c r="L131" s="57" t="s">
        <v>107</v>
      </c>
      <c r="M131" s="5"/>
      <c r="N131" s="129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</row>
    <row r="132" spans="1:32" s="2" customFormat="1" x14ac:dyDescent="0.2">
      <c r="A132" s="1"/>
      <c r="B132" s="345" t="s">
        <v>108</v>
      </c>
      <c r="C132" s="346"/>
      <c r="D132" s="347"/>
      <c r="E132" s="345">
        <f>1/800</f>
        <v>1.25E-3</v>
      </c>
      <c r="F132" s="346"/>
      <c r="G132" s="346"/>
      <c r="H132" s="347"/>
      <c r="I132" s="386">
        <f>L124</f>
        <v>0</v>
      </c>
      <c r="J132" s="372"/>
      <c r="K132" s="373"/>
      <c r="L132" s="125">
        <f>ROUND((E132*I132),2)</f>
        <v>0</v>
      </c>
      <c r="M132" s="5"/>
      <c r="N132" s="128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</row>
    <row r="133" spans="1:32" s="2" customFormat="1" ht="15.75" x14ac:dyDescent="0.25">
      <c r="A133" s="1"/>
      <c r="B133" s="351" t="s">
        <v>150</v>
      </c>
      <c r="C133" s="351"/>
      <c r="D133" s="351"/>
      <c r="E133" s="351"/>
      <c r="F133" s="351"/>
      <c r="G133" s="351"/>
      <c r="H133" s="351"/>
      <c r="I133" s="370" t="s">
        <v>199</v>
      </c>
      <c r="J133" s="370"/>
      <c r="K133" s="370"/>
      <c r="L133" s="370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</row>
    <row r="134" spans="1:32" s="2" customFormat="1" ht="15.75" x14ac:dyDescent="0.25">
      <c r="A134" s="1"/>
      <c r="B134" s="50"/>
      <c r="C134" s="59"/>
      <c r="D134" s="59"/>
      <c r="E134" s="59"/>
      <c r="F134" s="59"/>
      <c r="G134" s="59"/>
      <c r="H134" s="59"/>
      <c r="I134" s="35"/>
      <c r="J134" s="35"/>
      <c r="K134" s="35"/>
      <c r="L134" s="61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</row>
    <row r="135" spans="1:32" s="2" customFormat="1" ht="15.75" x14ac:dyDescent="0.2">
      <c r="A135" s="1"/>
      <c r="B135" s="353" t="s">
        <v>392</v>
      </c>
      <c r="C135" s="354"/>
      <c r="D135" s="354"/>
      <c r="E135" s="354"/>
      <c r="F135" s="354"/>
      <c r="G135" s="354"/>
      <c r="H135" s="354"/>
      <c r="I135" s="354"/>
      <c r="J135" s="354"/>
      <c r="K135" s="354"/>
      <c r="L135" s="355"/>
      <c r="M135" s="5"/>
      <c r="N135" s="128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</row>
    <row r="136" spans="1:32" s="2" customFormat="1" ht="15.75" x14ac:dyDescent="0.25">
      <c r="A136" s="1"/>
      <c r="B136" s="356" t="s">
        <v>101</v>
      </c>
      <c r="C136" s="357"/>
      <c r="D136" s="358"/>
      <c r="E136" s="362" t="s">
        <v>102</v>
      </c>
      <c r="F136" s="363"/>
      <c r="G136" s="363"/>
      <c r="H136" s="364"/>
      <c r="I136" s="365" t="s">
        <v>103</v>
      </c>
      <c r="J136" s="366"/>
      <c r="K136" s="367"/>
      <c r="L136" s="56" t="s">
        <v>104</v>
      </c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</row>
    <row r="137" spans="1:32" s="2" customFormat="1" ht="15.75" x14ac:dyDescent="0.25">
      <c r="A137" s="1"/>
      <c r="B137" s="380"/>
      <c r="C137" s="381"/>
      <c r="D137" s="382"/>
      <c r="E137" s="380" t="s">
        <v>105</v>
      </c>
      <c r="F137" s="381"/>
      <c r="G137" s="381"/>
      <c r="H137" s="382"/>
      <c r="I137" s="383" t="s">
        <v>106</v>
      </c>
      <c r="J137" s="384"/>
      <c r="K137" s="385"/>
      <c r="L137" s="57" t="s">
        <v>107</v>
      </c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</row>
    <row r="138" spans="1:32" s="2" customFormat="1" x14ac:dyDescent="0.2">
      <c r="A138" s="1"/>
      <c r="B138" s="342" t="s">
        <v>108</v>
      </c>
      <c r="C138" s="343"/>
      <c r="D138" s="344"/>
      <c r="E138" s="345">
        <f>1/360</f>
        <v>2.7777777777777779E-3</v>
      </c>
      <c r="F138" s="346"/>
      <c r="G138" s="346"/>
      <c r="H138" s="347"/>
      <c r="I138" s="386">
        <f>L124</f>
        <v>0</v>
      </c>
      <c r="J138" s="372"/>
      <c r="K138" s="373"/>
      <c r="L138" s="58">
        <f>ROUND((E138*32*(1/188.76)*I138),2)</f>
        <v>0</v>
      </c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</row>
    <row r="139" spans="1:32" s="2" customFormat="1" ht="15.75" x14ac:dyDescent="0.25">
      <c r="A139" s="1"/>
      <c r="B139" s="377" t="s">
        <v>150</v>
      </c>
      <c r="C139" s="378"/>
      <c r="D139" s="378"/>
      <c r="E139" s="378"/>
      <c r="F139" s="378"/>
      <c r="G139" s="378"/>
      <c r="H139" s="379"/>
      <c r="I139" s="374" t="s">
        <v>348</v>
      </c>
      <c r="J139" s="375"/>
      <c r="K139" s="375"/>
      <c r="L139" s="376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</row>
    <row r="140" spans="1:32" s="2" customFormat="1" ht="15.75" x14ac:dyDescent="0.25">
      <c r="A140" s="1"/>
      <c r="B140" s="50"/>
      <c r="C140" s="59"/>
      <c r="D140" s="59"/>
      <c r="E140" s="59"/>
      <c r="F140" s="59"/>
      <c r="G140" s="59"/>
      <c r="H140" s="59"/>
      <c r="I140" s="35"/>
      <c r="J140" s="35"/>
      <c r="K140" s="35"/>
      <c r="L140" s="61"/>
      <c r="M140" s="5"/>
      <c r="N140" s="128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</row>
    <row r="141" spans="1:32" s="2" customFormat="1" ht="15.75" x14ac:dyDescent="0.2">
      <c r="A141" s="1"/>
      <c r="B141" s="353" t="s">
        <v>395</v>
      </c>
      <c r="C141" s="354"/>
      <c r="D141" s="354"/>
      <c r="E141" s="354"/>
      <c r="F141" s="354"/>
      <c r="G141" s="354"/>
      <c r="H141" s="354"/>
      <c r="I141" s="354"/>
      <c r="J141" s="354"/>
      <c r="K141" s="354"/>
      <c r="L141" s="35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</row>
    <row r="142" spans="1:32" s="2" customFormat="1" ht="15.75" x14ac:dyDescent="0.25">
      <c r="A142" s="1"/>
      <c r="B142" s="356" t="s">
        <v>101</v>
      </c>
      <c r="C142" s="357"/>
      <c r="D142" s="358"/>
      <c r="E142" s="362" t="s">
        <v>102</v>
      </c>
      <c r="F142" s="363"/>
      <c r="G142" s="363"/>
      <c r="H142" s="364"/>
      <c r="I142" s="365" t="s">
        <v>103</v>
      </c>
      <c r="J142" s="366"/>
      <c r="K142" s="367"/>
      <c r="L142" s="56" t="s">
        <v>104</v>
      </c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</row>
    <row r="143" spans="1:32" s="2" customFormat="1" ht="15.75" x14ac:dyDescent="0.25">
      <c r="A143" s="1"/>
      <c r="B143" s="359"/>
      <c r="C143" s="360"/>
      <c r="D143" s="361"/>
      <c r="E143" s="368" t="s">
        <v>105</v>
      </c>
      <c r="F143" s="368"/>
      <c r="G143" s="368"/>
      <c r="H143" s="368"/>
      <c r="I143" s="369" t="s">
        <v>106</v>
      </c>
      <c r="J143" s="369"/>
      <c r="K143" s="369"/>
      <c r="L143" s="57" t="s">
        <v>107</v>
      </c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</row>
    <row r="144" spans="1:32" s="2" customFormat="1" x14ac:dyDescent="0.2">
      <c r="A144" s="1"/>
      <c r="B144" s="342" t="s">
        <v>108</v>
      </c>
      <c r="C144" s="343"/>
      <c r="D144" s="343"/>
      <c r="E144" s="371">
        <f>1/1500</f>
        <v>6.6666666666666664E-4</v>
      </c>
      <c r="F144" s="371"/>
      <c r="G144" s="371"/>
      <c r="H144" s="371"/>
      <c r="I144" s="372">
        <f>L124</f>
        <v>0</v>
      </c>
      <c r="J144" s="372"/>
      <c r="K144" s="373"/>
      <c r="L144" s="58">
        <f>ROUND((E144*16*(1/188.76)*I144),2)</f>
        <v>0</v>
      </c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</row>
    <row r="145" spans="1:32" s="2" customFormat="1" ht="15.75" x14ac:dyDescent="0.25">
      <c r="A145" s="1"/>
      <c r="B145" s="351" t="s">
        <v>150</v>
      </c>
      <c r="C145" s="351"/>
      <c r="D145" s="351"/>
      <c r="E145" s="351"/>
      <c r="F145" s="351"/>
      <c r="G145" s="351"/>
      <c r="H145" s="351"/>
      <c r="I145" s="374" t="s">
        <v>364</v>
      </c>
      <c r="J145" s="375"/>
      <c r="K145" s="375"/>
      <c r="L145" s="376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</row>
    <row r="146" spans="1:32" s="2" customFormat="1" ht="15.75" x14ac:dyDescent="0.25">
      <c r="A146" s="1"/>
      <c r="B146" s="50"/>
      <c r="C146" s="59"/>
      <c r="D146" s="59"/>
      <c r="E146" s="59"/>
      <c r="F146" s="59"/>
      <c r="G146" s="59"/>
      <c r="H146" s="59"/>
      <c r="I146" s="35"/>
      <c r="J146" s="35"/>
      <c r="K146" s="35"/>
      <c r="L146" s="61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</row>
    <row r="147" spans="1:32" s="2" customFormat="1" ht="15.75" x14ac:dyDescent="0.2">
      <c r="A147" s="1"/>
      <c r="B147" s="353" t="s">
        <v>393</v>
      </c>
      <c r="C147" s="354"/>
      <c r="D147" s="354"/>
      <c r="E147" s="354"/>
      <c r="F147" s="354"/>
      <c r="G147" s="354"/>
      <c r="H147" s="354"/>
      <c r="I147" s="354"/>
      <c r="J147" s="354"/>
      <c r="K147" s="354"/>
      <c r="L147" s="35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</row>
    <row r="148" spans="1:32" s="2" customFormat="1" ht="15.75" x14ac:dyDescent="0.25">
      <c r="A148" s="1"/>
      <c r="B148" s="356" t="s">
        <v>101</v>
      </c>
      <c r="C148" s="357"/>
      <c r="D148" s="358"/>
      <c r="E148" s="362" t="s">
        <v>102</v>
      </c>
      <c r="F148" s="363"/>
      <c r="G148" s="363"/>
      <c r="H148" s="364"/>
      <c r="I148" s="365" t="s">
        <v>103</v>
      </c>
      <c r="J148" s="366"/>
      <c r="K148" s="367"/>
      <c r="L148" s="56" t="s">
        <v>104</v>
      </c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</row>
    <row r="149" spans="1:32" s="2" customFormat="1" ht="15.75" x14ac:dyDescent="0.25">
      <c r="A149" s="1"/>
      <c r="B149" s="359"/>
      <c r="C149" s="360"/>
      <c r="D149" s="361"/>
      <c r="E149" s="368" t="s">
        <v>105</v>
      </c>
      <c r="F149" s="368"/>
      <c r="G149" s="368"/>
      <c r="H149" s="368"/>
      <c r="I149" s="369" t="s">
        <v>106</v>
      </c>
      <c r="J149" s="369"/>
      <c r="K149" s="369"/>
      <c r="L149" s="57" t="s">
        <v>107</v>
      </c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</row>
    <row r="150" spans="1:32" s="2" customFormat="1" x14ac:dyDescent="0.2">
      <c r="A150" s="1"/>
      <c r="B150" s="342" t="s">
        <v>108</v>
      </c>
      <c r="C150" s="343"/>
      <c r="D150" s="344"/>
      <c r="E150" s="345">
        <f>1/1000</f>
        <v>1E-3</v>
      </c>
      <c r="F150" s="346"/>
      <c r="G150" s="346"/>
      <c r="H150" s="347"/>
      <c r="I150" s="348">
        <f>L124</f>
        <v>0</v>
      </c>
      <c r="J150" s="349"/>
      <c r="K150" s="350"/>
      <c r="L150" s="58">
        <f>ROUND((E150*I150),2)</f>
        <v>0</v>
      </c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</row>
    <row r="151" spans="1:32" s="2" customFormat="1" ht="15.75" x14ac:dyDescent="0.25">
      <c r="A151" s="1"/>
      <c r="B151" s="351" t="s">
        <v>150</v>
      </c>
      <c r="C151" s="351"/>
      <c r="D151" s="351"/>
      <c r="E151" s="351"/>
      <c r="F151" s="351"/>
      <c r="G151" s="351"/>
      <c r="H151" s="351"/>
      <c r="I151" s="370" t="s">
        <v>364</v>
      </c>
      <c r="J151" s="370"/>
      <c r="K151" s="370"/>
      <c r="L151" s="370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</row>
    <row r="152" spans="1:32" s="2" customFormat="1" ht="15.75" x14ac:dyDescent="0.25">
      <c r="A152" s="1"/>
      <c r="B152" s="50"/>
      <c r="C152" s="59"/>
      <c r="D152" s="59"/>
      <c r="E152" s="59"/>
      <c r="F152" s="59"/>
      <c r="G152" s="59"/>
      <c r="H152" s="59"/>
      <c r="I152" s="35"/>
      <c r="J152" s="35"/>
      <c r="K152" s="35"/>
      <c r="L152" s="61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</row>
    <row r="153" spans="1:32" s="2" customFormat="1" ht="15.75" x14ac:dyDescent="0.2">
      <c r="A153" s="1"/>
      <c r="B153" s="353" t="s">
        <v>359</v>
      </c>
      <c r="C153" s="354"/>
      <c r="D153" s="354"/>
      <c r="E153" s="354"/>
      <c r="F153" s="354"/>
      <c r="G153" s="354"/>
      <c r="H153" s="354"/>
      <c r="I153" s="354"/>
      <c r="J153" s="354"/>
      <c r="K153" s="354"/>
      <c r="L153" s="35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</row>
    <row r="154" spans="1:32" s="2" customFormat="1" ht="15.75" x14ac:dyDescent="0.25">
      <c r="A154" s="1"/>
      <c r="B154" s="356" t="s">
        <v>101</v>
      </c>
      <c r="C154" s="357"/>
      <c r="D154" s="358"/>
      <c r="E154" s="362" t="s">
        <v>102</v>
      </c>
      <c r="F154" s="363"/>
      <c r="G154" s="363"/>
      <c r="H154" s="364"/>
      <c r="I154" s="365" t="s">
        <v>103</v>
      </c>
      <c r="J154" s="366"/>
      <c r="K154" s="367"/>
      <c r="L154" s="56" t="s">
        <v>104</v>
      </c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</row>
    <row r="155" spans="1:32" s="2" customFormat="1" ht="15.75" x14ac:dyDescent="0.25">
      <c r="A155" s="1"/>
      <c r="B155" s="359"/>
      <c r="C155" s="360"/>
      <c r="D155" s="361"/>
      <c r="E155" s="368" t="s">
        <v>105</v>
      </c>
      <c r="F155" s="368"/>
      <c r="G155" s="368"/>
      <c r="H155" s="368"/>
      <c r="I155" s="369" t="s">
        <v>106</v>
      </c>
      <c r="J155" s="369"/>
      <c r="K155" s="369"/>
      <c r="L155" s="57" t="s">
        <v>107</v>
      </c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</row>
    <row r="156" spans="1:32" s="2" customFormat="1" x14ac:dyDescent="0.2">
      <c r="A156" s="1"/>
      <c r="B156" s="342" t="s">
        <v>108</v>
      </c>
      <c r="C156" s="343"/>
      <c r="D156" s="344"/>
      <c r="E156" s="345">
        <f>1/200</f>
        <v>5.0000000000000001E-3</v>
      </c>
      <c r="F156" s="346"/>
      <c r="G156" s="346"/>
      <c r="H156" s="347"/>
      <c r="I156" s="348">
        <f>L124</f>
        <v>0</v>
      </c>
      <c r="J156" s="349"/>
      <c r="K156" s="350"/>
      <c r="L156" s="58">
        <f>ROUND((E156*I156),2)</f>
        <v>0</v>
      </c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</row>
    <row r="157" spans="1:32" s="2" customFormat="1" ht="15.75" x14ac:dyDescent="0.25">
      <c r="A157" s="1"/>
      <c r="B157" s="351" t="s">
        <v>150</v>
      </c>
      <c r="C157" s="351"/>
      <c r="D157" s="351"/>
      <c r="E157" s="351"/>
      <c r="F157" s="351"/>
      <c r="G157" s="351"/>
      <c r="H157" s="351"/>
      <c r="I157" s="370" t="s">
        <v>349</v>
      </c>
      <c r="J157" s="370"/>
      <c r="K157" s="370"/>
      <c r="L157" s="370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</row>
    <row r="158" spans="1:32" s="2" customFormat="1" ht="15.75" x14ac:dyDescent="0.25">
      <c r="A158" s="1"/>
      <c r="B158" s="50"/>
      <c r="C158" s="59"/>
      <c r="D158" s="59"/>
      <c r="E158" s="59"/>
      <c r="F158" s="59"/>
      <c r="G158" s="59"/>
      <c r="H158" s="59"/>
      <c r="I158" s="35"/>
      <c r="J158" s="35"/>
      <c r="K158" s="35"/>
      <c r="L158" s="61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</row>
    <row r="159" spans="1:32" s="2" customFormat="1" ht="15.75" x14ac:dyDescent="0.2">
      <c r="A159" s="1"/>
      <c r="B159" s="353" t="s">
        <v>391</v>
      </c>
      <c r="C159" s="354"/>
      <c r="D159" s="354"/>
      <c r="E159" s="354"/>
      <c r="F159" s="354"/>
      <c r="G159" s="354"/>
      <c r="H159" s="354"/>
      <c r="I159" s="354"/>
      <c r="J159" s="354"/>
      <c r="K159" s="354"/>
      <c r="L159" s="35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</row>
    <row r="160" spans="1:32" s="2" customFormat="1" ht="15.75" x14ac:dyDescent="0.25">
      <c r="A160" s="1"/>
      <c r="B160" s="356" t="s">
        <v>101</v>
      </c>
      <c r="C160" s="357"/>
      <c r="D160" s="358"/>
      <c r="E160" s="362" t="s">
        <v>102</v>
      </c>
      <c r="F160" s="363"/>
      <c r="G160" s="363"/>
      <c r="H160" s="364"/>
      <c r="I160" s="365" t="s">
        <v>103</v>
      </c>
      <c r="J160" s="366"/>
      <c r="K160" s="367"/>
      <c r="L160" s="56" t="s">
        <v>104</v>
      </c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</row>
    <row r="161" spans="1:32" s="2" customFormat="1" ht="15.75" x14ac:dyDescent="0.25">
      <c r="A161" s="1"/>
      <c r="B161" s="359"/>
      <c r="C161" s="360"/>
      <c r="D161" s="361"/>
      <c r="E161" s="368" t="s">
        <v>105</v>
      </c>
      <c r="F161" s="368"/>
      <c r="G161" s="368"/>
      <c r="H161" s="368"/>
      <c r="I161" s="369" t="s">
        <v>106</v>
      </c>
      <c r="J161" s="369"/>
      <c r="K161" s="369"/>
      <c r="L161" s="57" t="s">
        <v>107</v>
      </c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</row>
    <row r="162" spans="1:32" s="5" customFormat="1" x14ac:dyDescent="0.2">
      <c r="A162" s="1"/>
      <c r="B162" s="342" t="s">
        <v>108</v>
      </c>
      <c r="C162" s="343"/>
      <c r="D162" s="344"/>
      <c r="E162" s="345">
        <f>1/1800</f>
        <v>5.5555555555555556E-4</v>
      </c>
      <c r="F162" s="346"/>
      <c r="G162" s="346"/>
      <c r="H162" s="347"/>
      <c r="I162" s="348">
        <f>L124</f>
        <v>0</v>
      </c>
      <c r="J162" s="349"/>
      <c r="K162" s="350"/>
      <c r="L162" s="58">
        <f>ROUND((E162*32*(1/188.76)*I162),2)</f>
        <v>0</v>
      </c>
    </row>
    <row r="163" spans="1:32" s="5" customFormat="1" ht="15.75" x14ac:dyDescent="0.25">
      <c r="A163" s="1"/>
      <c r="B163" s="351" t="s">
        <v>150</v>
      </c>
      <c r="C163" s="351"/>
      <c r="D163" s="351"/>
      <c r="E163" s="351"/>
      <c r="F163" s="351"/>
      <c r="G163" s="351"/>
      <c r="H163" s="351"/>
      <c r="I163" s="352" t="s">
        <v>350</v>
      </c>
      <c r="J163" s="352"/>
      <c r="K163" s="352"/>
      <c r="L163" s="352"/>
    </row>
    <row r="164" spans="1:32" s="5" customFormat="1" ht="15.75" x14ac:dyDescent="0.25">
      <c r="A164" s="1"/>
      <c r="B164" s="59"/>
      <c r="C164" s="59"/>
      <c r="D164" s="59"/>
      <c r="E164" s="60"/>
      <c r="F164" s="60"/>
      <c r="G164" s="60"/>
      <c r="H164" s="60"/>
      <c r="I164" s="35"/>
      <c r="J164" s="35"/>
      <c r="K164" s="35"/>
      <c r="L164" s="62"/>
    </row>
    <row r="165" spans="1:32" s="5" customFormat="1" ht="15.75" x14ac:dyDescent="0.2">
      <c r="A165" s="1"/>
      <c r="B165" s="353" t="s">
        <v>360</v>
      </c>
      <c r="C165" s="354"/>
      <c r="D165" s="354"/>
      <c r="E165" s="354"/>
      <c r="F165" s="354"/>
      <c r="G165" s="354"/>
      <c r="H165" s="354"/>
      <c r="I165" s="354"/>
      <c r="J165" s="354"/>
      <c r="K165" s="354"/>
      <c r="L165" s="355"/>
    </row>
    <row r="166" spans="1:32" s="5" customFormat="1" ht="15.75" x14ac:dyDescent="0.25">
      <c r="A166" s="1"/>
      <c r="B166" s="356" t="s">
        <v>101</v>
      </c>
      <c r="C166" s="357"/>
      <c r="D166" s="358"/>
      <c r="E166" s="362" t="s">
        <v>102</v>
      </c>
      <c r="F166" s="363"/>
      <c r="G166" s="363"/>
      <c r="H166" s="364"/>
      <c r="I166" s="365" t="s">
        <v>103</v>
      </c>
      <c r="J166" s="366"/>
      <c r="K166" s="367"/>
      <c r="L166" s="56" t="s">
        <v>104</v>
      </c>
    </row>
    <row r="167" spans="1:32" s="5" customFormat="1" ht="15.75" x14ac:dyDescent="0.25">
      <c r="A167" s="1"/>
      <c r="B167" s="359"/>
      <c r="C167" s="360"/>
      <c r="D167" s="361"/>
      <c r="E167" s="368" t="s">
        <v>105</v>
      </c>
      <c r="F167" s="368"/>
      <c r="G167" s="368"/>
      <c r="H167" s="368"/>
      <c r="I167" s="369" t="s">
        <v>106</v>
      </c>
      <c r="J167" s="369"/>
      <c r="K167" s="369"/>
      <c r="L167" s="57" t="s">
        <v>107</v>
      </c>
    </row>
    <row r="168" spans="1:32" s="5" customFormat="1" x14ac:dyDescent="0.2">
      <c r="A168" s="1"/>
      <c r="B168" s="342" t="s">
        <v>108</v>
      </c>
      <c r="C168" s="343"/>
      <c r="D168" s="344"/>
      <c r="E168" s="345">
        <f>1/6000</f>
        <v>1.6666666666666666E-4</v>
      </c>
      <c r="F168" s="346"/>
      <c r="G168" s="346"/>
      <c r="H168" s="347"/>
      <c r="I168" s="348">
        <f>L124</f>
        <v>0</v>
      </c>
      <c r="J168" s="349"/>
      <c r="K168" s="350"/>
      <c r="L168" s="58">
        <f>ROUND((E168*I168),2)</f>
        <v>0</v>
      </c>
    </row>
    <row r="169" spans="1:32" s="5" customFormat="1" ht="15.75" x14ac:dyDescent="0.25">
      <c r="A169" s="1"/>
      <c r="B169" s="351" t="s">
        <v>150</v>
      </c>
      <c r="C169" s="351"/>
      <c r="D169" s="351"/>
      <c r="E169" s="351"/>
      <c r="F169" s="351"/>
      <c r="G169" s="351"/>
      <c r="H169" s="351"/>
      <c r="I169" s="352" t="s">
        <v>351</v>
      </c>
      <c r="J169" s="352"/>
      <c r="K169" s="352"/>
      <c r="L169" s="352"/>
    </row>
    <row r="170" spans="1:32" s="5" customFormat="1" ht="15.75" x14ac:dyDescent="0.25">
      <c r="A170" s="1"/>
      <c r="B170" s="59"/>
      <c r="C170" s="59"/>
      <c r="D170" s="59"/>
      <c r="E170" s="60"/>
      <c r="F170" s="60"/>
      <c r="G170" s="60"/>
      <c r="H170" s="60"/>
      <c r="I170" s="35"/>
      <c r="J170" s="35"/>
      <c r="K170" s="35"/>
      <c r="L170" s="62"/>
    </row>
    <row r="171" spans="1:32" s="5" customFormat="1" ht="15.75" x14ac:dyDescent="0.2">
      <c r="A171" s="1"/>
      <c r="B171" s="353" t="s">
        <v>366</v>
      </c>
      <c r="C171" s="354"/>
      <c r="D171" s="354"/>
      <c r="E171" s="354"/>
      <c r="F171" s="354"/>
      <c r="G171" s="354"/>
      <c r="H171" s="354"/>
      <c r="I171" s="354"/>
      <c r="J171" s="354"/>
      <c r="K171" s="354"/>
      <c r="L171" s="355"/>
    </row>
    <row r="172" spans="1:32" s="5" customFormat="1" ht="15.75" x14ac:dyDescent="0.25">
      <c r="A172" s="1"/>
      <c r="B172" s="356" t="s">
        <v>101</v>
      </c>
      <c r="C172" s="357"/>
      <c r="D172" s="358"/>
      <c r="E172" s="362" t="s">
        <v>102</v>
      </c>
      <c r="F172" s="363"/>
      <c r="G172" s="363"/>
      <c r="H172" s="364"/>
      <c r="I172" s="365" t="s">
        <v>103</v>
      </c>
      <c r="J172" s="366"/>
      <c r="K172" s="367"/>
      <c r="L172" s="56" t="s">
        <v>104</v>
      </c>
    </row>
    <row r="173" spans="1:32" s="5" customFormat="1" ht="15.75" x14ac:dyDescent="0.25">
      <c r="A173" s="1"/>
      <c r="B173" s="359"/>
      <c r="C173" s="360"/>
      <c r="D173" s="361"/>
      <c r="E173" s="368" t="s">
        <v>105</v>
      </c>
      <c r="F173" s="368"/>
      <c r="G173" s="368"/>
      <c r="H173" s="368"/>
      <c r="I173" s="369" t="s">
        <v>106</v>
      </c>
      <c r="J173" s="369"/>
      <c r="K173" s="369"/>
      <c r="L173" s="57" t="s">
        <v>107</v>
      </c>
    </row>
    <row r="174" spans="1:32" s="5" customFormat="1" x14ac:dyDescent="0.2">
      <c r="A174" s="1"/>
      <c r="B174" s="342" t="s">
        <v>108</v>
      </c>
      <c r="C174" s="343"/>
      <c r="D174" s="344"/>
      <c r="E174" s="345">
        <f>1/1800</f>
        <v>5.5555555555555556E-4</v>
      </c>
      <c r="F174" s="346"/>
      <c r="G174" s="346"/>
      <c r="H174" s="347"/>
      <c r="I174" s="348">
        <f>L124</f>
        <v>0</v>
      </c>
      <c r="J174" s="349"/>
      <c r="K174" s="350"/>
      <c r="L174" s="58">
        <f>ROUND((E174*32*(1/188.76)*I174),2)</f>
        <v>0</v>
      </c>
    </row>
    <row r="175" spans="1:32" s="5" customFormat="1" ht="15.75" x14ac:dyDescent="0.25">
      <c r="A175" s="1"/>
      <c r="B175" s="351" t="s">
        <v>150</v>
      </c>
      <c r="C175" s="351"/>
      <c r="D175" s="351"/>
      <c r="E175" s="351"/>
      <c r="F175" s="351"/>
      <c r="G175" s="351"/>
      <c r="H175" s="351"/>
      <c r="I175" s="352" t="s">
        <v>350</v>
      </c>
      <c r="J175" s="352"/>
      <c r="K175" s="352"/>
      <c r="L175" s="352"/>
    </row>
    <row r="176" spans="1:32" s="5" customFormat="1" ht="15.75" x14ac:dyDescent="0.25">
      <c r="A176" s="1"/>
      <c r="B176" s="251"/>
      <c r="C176" s="251"/>
      <c r="D176" s="251"/>
      <c r="E176" s="251"/>
      <c r="F176" s="251"/>
      <c r="G176" s="251"/>
      <c r="H176" s="251"/>
      <c r="I176" s="252"/>
      <c r="J176" s="252"/>
      <c r="K176" s="252"/>
      <c r="L176" s="252"/>
    </row>
    <row r="177" spans="1:12" s="5" customFormat="1" ht="15.75" x14ac:dyDescent="0.2">
      <c r="A177" s="1"/>
      <c r="B177" s="353" t="s">
        <v>365</v>
      </c>
      <c r="C177" s="354"/>
      <c r="D177" s="354"/>
      <c r="E177" s="354"/>
      <c r="F177" s="354"/>
      <c r="G177" s="354"/>
      <c r="H177" s="354"/>
      <c r="I177" s="354"/>
      <c r="J177" s="354"/>
      <c r="K177" s="354"/>
      <c r="L177" s="355"/>
    </row>
    <row r="178" spans="1:12" s="5" customFormat="1" ht="15.75" x14ac:dyDescent="0.25">
      <c r="A178" s="1"/>
      <c r="B178" s="356" t="s">
        <v>101</v>
      </c>
      <c r="C178" s="357"/>
      <c r="D178" s="358"/>
      <c r="E178" s="362" t="s">
        <v>102</v>
      </c>
      <c r="F178" s="363"/>
      <c r="G178" s="363"/>
      <c r="H178" s="364"/>
      <c r="I178" s="365" t="s">
        <v>103</v>
      </c>
      <c r="J178" s="366"/>
      <c r="K178" s="367"/>
      <c r="L178" s="56" t="s">
        <v>104</v>
      </c>
    </row>
    <row r="179" spans="1:12" s="5" customFormat="1" ht="15.75" x14ac:dyDescent="0.25">
      <c r="A179" s="1"/>
      <c r="B179" s="359"/>
      <c r="C179" s="360"/>
      <c r="D179" s="361"/>
      <c r="E179" s="368" t="s">
        <v>105</v>
      </c>
      <c r="F179" s="368"/>
      <c r="G179" s="368"/>
      <c r="H179" s="368"/>
      <c r="I179" s="369" t="s">
        <v>106</v>
      </c>
      <c r="J179" s="369"/>
      <c r="K179" s="369"/>
      <c r="L179" s="57" t="s">
        <v>107</v>
      </c>
    </row>
    <row r="180" spans="1:12" s="5" customFormat="1" x14ac:dyDescent="0.2">
      <c r="A180" s="1"/>
      <c r="B180" s="342" t="s">
        <v>108</v>
      </c>
      <c r="C180" s="343"/>
      <c r="D180" s="344"/>
      <c r="E180" s="345">
        <f>1/1800</f>
        <v>5.5555555555555556E-4</v>
      </c>
      <c r="F180" s="346"/>
      <c r="G180" s="346"/>
      <c r="H180" s="347"/>
      <c r="I180" s="348">
        <f>L124</f>
        <v>0</v>
      </c>
      <c r="J180" s="349"/>
      <c r="K180" s="350"/>
      <c r="L180" s="58">
        <f>ROUND((E180*32*(1/188.76)*I180),2)</f>
        <v>0</v>
      </c>
    </row>
    <row r="181" spans="1:12" s="5" customFormat="1" ht="15.75" x14ac:dyDescent="0.25">
      <c r="A181" s="1"/>
      <c r="B181" s="351" t="s">
        <v>150</v>
      </c>
      <c r="C181" s="351"/>
      <c r="D181" s="351"/>
      <c r="E181" s="351"/>
      <c r="F181" s="351"/>
      <c r="G181" s="351"/>
      <c r="H181" s="351"/>
      <c r="I181" s="352" t="s">
        <v>350</v>
      </c>
      <c r="J181" s="352"/>
      <c r="K181" s="352"/>
      <c r="L181" s="352"/>
    </row>
    <row r="182" spans="1:12" s="5" customFormat="1" ht="15.75" x14ac:dyDescent="0.25">
      <c r="A182" s="1"/>
      <c r="B182" s="251"/>
      <c r="C182" s="251"/>
      <c r="D182" s="251"/>
      <c r="E182" s="251"/>
      <c r="F182" s="251"/>
      <c r="G182" s="251"/>
      <c r="H182" s="251"/>
      <c r="I182" s="252"/>
      <c r="J182" s="252"/>
      <c r="K182" s="252"/>
      <c r="L182" s="252"/>
    </row>
    <row r="183" spans="1:12" s="5" customFormat="1" ht="15.75" x14ac:dyDescent="0.2">
      <c r="A183" s="1"/>
      <c r="B183" s="353" t="s">
        <v>362</v>
      </c>
      <c r="C183" s="354"/>
      <c r="D183" s="354"/>
      <c r="E183" s="354"/>
      <c r="F183" s="354"/>
      <c r="G183" s="354"/>
      <c r="H183" s="354"/>
      <c r="I183" s="354"/>
      <c r="J183" s="354"/>
      <c r="K183" s="354"/>
      <c r="L183" s="355"/>
    </row>
    <row r="184" spans="1:12" s="5" customFormat="1" ht="15.75" x14ac:dyDescent="0.25">
      <c r="A184" s="1"/>
      <c r="B184" s="356" t="s">
        <v>101</v>
      </c>
      <c r="C184" s="357"/>
      <c r="D184" s="358"/>
      <c r="E184" s="362" t="s">
        <v>102</v>
      </c>
      <c r="F184" s="363"/>
      <c r="G184" s="363"/>
      <c r="H184" s="364"/>
      <c r="I184" s="365" t="s">
        <v>103</v>
      </c>
      <c r="J184" s="366"/>
      <c r="K184" s="367"/>
      <c r="L184" s="56" t="s">
        <v>104</v>
      </c>
    </row>
    <row r="185" spans="1:12" s="5" customFormat="1" ht="15.75" x14ac:dyDescent="0.25">
      <c r="A185" s="1"/>
      <c r="B185" s="359"/>
      <c r="C185" s="360"/>
      <c r="D185" s="361"/>
      <c r="E185" s="368" t="s">
        <v>105</v>
      </c>
      <c r="F185" s="368"/>
      <c r="G185" s="368"/>
      <c r="H185" s="368"/>
      <c r="I185" s="369" t="s">
        <v>106</v>
      </c>
      <c r="J185" s="369"/>
      <c r="K185" s="369"/>
      <c r="L185" s="57" t="s">
        <v>107</v>
      </c>
    </row>
    <row r="186" spans="1:12" s="5" customFormat="1" x14ac:dyDescent="0.2">
      <c r="A186" s="1"/>
      <c r="B186" s="342" t="s">
        <v>108</v>
      </c>
      <c r="C186" s="343"/>
      <c r="D186" s="344"/>
      <c r="E186" s="345">
        <f>1/300</f>
        <v>3.3333333333333335E-3</v>
      </c>
      <c r="F186" s="346"/>
      <c r="G186" s="346"/>
      <c r="H186" s="347"/>
      <c r="I186" s="348">
        <f>L124</f>
        <v>0</v>
      </c>
      <c r="J186" s="349"/>
      <c r="K186" s="350"/>
      <c r="L186" s="58">
        <f>ROUND((E186*4*(1/188.76)*I186),2)</f>
        <v>0</v>
      </c>
    </row>
    <row r="187" spans="1:12" s="5" customFormat="1" ht="15.75" x14ac:dyDescent="0.25">
      <c r="A187" s="1"/>
      <c r="B187" s="351" t="s">
        <v>150</v>
      </c>
      <c r="C187" s="351"/>
      <c r="D187" s="351"/>
      <c r="E187" s="351"/>
      <c r="F187" s="351"/>
      <c r="G187" s="351"/>
      <c r="H187" s="351"/>
      <c r="I187" s="352" t="s">
        <v>361</v>
      </c>
      <c r="J187" s="352"/>
      <c r="K187" s="352"/>
      <c r="L187" s="352"/>
    </row>
    <row r="188" spans="1:12" s="5" customFormat="1" ht="15.75" x14ac:dyDescent="0.25">
      <c r="A188" s="1"/>
      <c r="B188" s="59"/>
      <c r="C188" s="59"/>
      <c r="D188" s="59"/>
      <c r="E188" s="60"/>
      <c r="F188" s="60"/>
      <c r="G188" s="60"/>
      <c r="H188" s="60"/>
      <c r="I188" s="35"/>
      <c r="J188" s="35"/>
      <c r="K188" s="35"/>
      <c r="L188" s="62"/>
    </row>
    <row r="189" spans="1:12" s="5" customFormat="1" ht="15.75" x14ac:dyDescent="0.2">
      <c r="A189" s="1"/>
      <c r="B189" s="353" t="s">
        <v>363</v>
      </c>
      <c r="C189" s="354"/>
      <c r="D189" s="354"/>
      <c r="E189" s="354"/>
      <c r="F189" s="354"/>
      <c r="G189" s="354"/>
      <c r="H189" s="354"/>
      <c r="I189" s="354"/>
      <c r="J189" s="354"/>
      <c r="K189" s="354"/>
      <c r="L189" s="355"/>
    </row>
    <row r="190" spans="1:12" s="5" customFormat="1" ht="15.75" x14ac:dyDescent="0.25">
      <c r="A190" s="1"/>
      <c r="B190" s="356" t="s">
        <v>101</v>
      </c>
      <c r="C190" s="357"/>
      <c r="D190" s="358"/>
      <c r="E190" s="362" t="s">
        <v>102</v>
      </c>
      <c r="F190" s="363"/>
      <c r="G190" s="363"/>
      <c r="H190" s="364"/>
      <c r="I190" s="365" t="s">
        <v>103</v>
      </c>
      <c r="J190" s="366"/>
      <c r="K190" s="367"/>
      <c r="L190" s="56" t="s">
        <v>104</v>
      </c>
    </row>
    <row r="191" spans="1:12" s="5" customFormat="1" ht="15.75" x14ac:dyDescent="0.25">
      <c r="A191" s="1"/>
      <c r="B191" s="359"/>
      <c r="C191" s="360"/>
      <c r="D191" s="361"/>
      <c r="E191" s="368" t="s">
        <v>105</v>
      </c>
      <c r="F191" s="368"/>
      <c r="G191" s="368"/>
      <c r="H191" s="368"/>
      <c r="I191" s="369" t="s">
        <v>106</v>
      </c>
      <c r="J191" s="369"/>
      <c r="K191" s="369"/>
      <c r="L191" s="57" t="s">
        <v>107</v>
      </c>
    </row>
    <row r="192" spans="1:12" s="5" customFormat="1" x14ac:dyDescent="0.2">
      <c r="A192" s="1"/>
      <c r="B192" s="342" t="s">
        <v>108</v>
      </c>
      <c r="C192" s="343"/>
      <c r="D192" s="344"/>
      <c r="E192" s="345">
        <f>1/130</f>
        <v>7.6923076923076927E-3</v>
      </c>
      <c r="F192" s="346"/>
      <c r="G192" s="346"/>
      <c r="H192" s="347"/>
      <c r="I192" s="348">
        <f>$L$124</f>
        <v>0</v>
      </c>
      <c r="J192" s="349"/>
      <c r="K192" s="350"/>
      <c r="L192" s="58">
        <f>ROUND((E192*(1.33/188.76)*I192),2)</f>
        <v>0</v>
      </c>
    </row>
    <row r="193" spans="1:16" s="5" customFormat="1" ht="15.75" x14ac:dyDescent="0.25">
      <c r="A193" s="1"/>
      <c r="B193" s="351" t="s">
        <v>150</v>
      </c>
      <c r="C193" s="351"/>
      <c r="D193" s="351"/>
      <c r="E193" s="351"/>
      <c r="F193" s="351"/>
      <c r="G193" s="351"/>
      <c r="H193" s="351"/>
      <c r="I193" s="352" t="s">
        <v>357</v>
      </c>
      <c r="J193" s="352"/>
      <c r="K193" s="352"/>
      <c r="L193" s="352"/>
    </row>
    <row r="194" spans="1:16" s="5" customFormat="1" ht="15.75" x14ac:dyDescent="0.25">
      <c r="A194" s="1"/>
      <c r="B194" s="59"/>
      <c r="C194" s="59"/>
      <c r="D194" s="59"/>
      <c r="E194" s="60"/>
      <c r="F194" s="60"/>
      <c r="G194" s="60"/>
      <c r="H194" s="60"/>
      <c r="I194" s="35"/>
      <c r="J194" s="35"/>
      <c r="K194" s="35"/>
      <c r="L194" s="62"/>
    </row>
    <row r="195" spans="1:16" s="5" customFormat="1" ht="15.75" x14ac:dyDescent="0.25">
      <c r="A195" s="1"/>
      <c r="B195" s="50" t="s">
        <v>117</v>
      </c>
      <c r="C195" s="1"/>
      <c r="D195" s="1"/>
      <c r="E195" s="1"/>
      <c r="F195" s="1"/>
      <c r="G195" s="1"/>
      <c r="H195" s="1"/>
      <c r="I195" s="1"/>
      <c r="J195" s="1"/>
      <c r="K195" s="1"/>
      <c r="L195" s="115"/>
    </row>
    <row r="196" spans="1:16" s="5" customFormat="1" ht="20.25" x14ac:dyDescent="0.2">
      <c r="B196" s="326" t="s">
        <v>129</v>
      </c>
      <c r="C196" s="326"/>
      <c r="D196" s="326"/>
      <c r="E196" s="326"/>
      <c r="F196" s="326"/>
      <c r="G196" s="326"/>
      <c r="H196" s="326"/>
      <c r="I196" s="326"/>
      <c r="J196" s="326"/>
      <c r="K196" s="326"/>
      <c r="L196" s="327"/>
    </row>
    <row r="197" spans="1:16" s="5" customFormat="1" x14ac:dyDescent="0.2">
      <c r="A197" s="1"/>
      <c r="B197" s="328" t="s">
        <v>110</v>
      </c>
      <c r="C197" s="328"/>
      <c r="D197" s="328"/>
      <c r="E197" s="328"/>
      <c r="F197" s="329" t="s">
        <v>111</v>
      </c>
      <c r="G197" s="329"/>
      <c r="H197" s="329"/>
      <c r="I197" s="328" t="s">
        <v>112</v>
      </c>
      <c r="J197" s="328"/>
      <c r="K197" s="338" t="s">
        <v>113</v>
      </c>
      <c r="L197" s="339"/>
    </row>
    <row r="198" spans="1:16" s="5" customFormat="1" x14ac:dyDescent="0.2">
      <c r="A198" s="1"/>
      <c r="B198" s="328"/>
      <c r="C198" s="328"/>
      <c r="D198" s="328"/>
      <c r="E198" s="328"/>
      <c r="F198" s="329"/>
      <c r="G198" s="329"/>
      <c r="H198" s="329"/>
      <c r="I198" s="328"/>
      <c r="J198" s="328"/>
      <c r="K198" s="340"/>
      <c r="L198" s="341"/>
    </row>
    <row r="199" spans="1:16" s="5" customFormat="1" x14ac:dyDescent="0.2">
      <c r="A199" s="1"/>
      <c r="B199" s="330" t="str">
        <f>B129</f>
        <v>ÁREA INTERNA - PISOS FRIOS  - DIÁRIO</v>
      </c>
      <c r="C199" s="331"/>
      <c r="D199" s="331"/>
      <c r="E199" s="332"/>
      <c r="F199" s="333">
        <f>L132</f>
        <v>0</v>
      </c>
      <c r="G199" s="333"/>
      <c r="H199" s="333"/>
      <c r="I199" s="491">
        <v>637.72</v>
      </c>
      <c r="J199" s="491"/>
      <c r="K199" s="335">
        <f t="shared" ref="K199:K209" si="2">F199*I199</f>
        <v>0</v>
      </c>
      <c r="L199" s="336"/>
      <c r="N199" s="130"/>
      <c r="P199" s="130"/>
    </row>
    <row r="200" spans="1:16" s="5" customFormat="1" x14ac:dyDescent="0.2">
      <c r="A200" s="1"/>
      <c r="B200" s="330" t="str">
        <f>B135</f>
        <v>ÁREA INTERNA - Laboratórios - SEMANAL</v>
      </c>
      <c r="C200" s="331"/>
      <c r="D200" s="331"/>
      <c r="E200" s="332"/>
      <c r="F200" s="333">
        <f>L138</f>
        <v>0</v>
      </c>
      <c r="G200" s="333"/>
      <c r="H200" s="333"/>
      <c r="I200" s="491">
        <v>0</v>
      </c>
      <c r="J200" s="491"/>
      <c r="K200" s="335">
        <f t="shared" si="2"/>
        <v>0</v>
      </c>
      <c r="L200" s="336"/>
      <c r="N200" s="130"/>
      <c r="P200" s="130"/>
    </row>
    <row r="201" spans="1:16" s="5" customFormat="1" x14ac:dyDescent="0.2">
      <c r="A201" s="1"/>
      <c r="B201" s="330" t="str">
        <f>B141</f>
        <v>ÁREA INTERNA - Almoxarifados/depósitos - QUINZENAL</v>
      </c>
      <c r="C201" s="331"/>
      <c r="D201" s="331"/>
      <c r="E201" s="332"/>
      <c r="F201" s="333">
        <f>L144</f>
        <v>0</v>
      </c>
      <c r="G201" s="333"/>
      <c r="H201" s="333"/>
      <c r="I201" s="491">
        <v>0</v>
      </c>
      <c r="J201" s="491"/>
      <c r="K201" s="335">
        <f t="shared" si="2"/>
        <v>0</v>
      </c>
      <c r="L201" s="336"/>
      <c r="N201" s="130"/>
      <c r="P201" s="130"/>
    </row>
    <row r="202" spans="1:16" s="5" customFormat="1" ht="27" customHeight="1" x14ac:dyDescent="0.2">
      <c r="A202" s="1"/>
      <c r="B202" s="330" t="str">
        <f>B147</f>
        <v>ÁREA INTERNA -  Áreas com espaços livres(SAGUÃO/HALL) - DIÁRIO</v>
      </c>
      <c r="C202" s="331"/>
      <c r="D202" s="331"/>
      <c r="E202" s="332"/>
      <c r="F202" s="333">
        <f>L150</f>
        <v>0</v>
      </c>
      <c r="G202" s="333"/>
      <c r="H202" s="333"/>
      <c r="I202" s="491">
        <v>636.67999999999995</v>
      </c>
      <c r="J202" s="491"/>
      <c r="K202" s="335">
        <f t="shared" si="2"/>
        <v>0</v>
      </c>
      <c r="L202" s="336"/>
      <c r="N202" s="130"/>
      <c r="P202" s="130"/>
    </row>
    <row r="203" spans="1:16" s="5" customFormat="1" x14ac:dyDescent="0.2">
      <c r="A203" s="1"/>
      <c r="B203" s="330" t="str">
        <f>B153</f>
        <v>ÁREA INTERNA - BANHEIROS - DIÁRIOS</v>
      </c>
      <c r="C203" s="331"/>
      <c r="D203" s="331"/>
      <c r="E203" s="332"/>
      <c r="F203" s="333">
        <f>L156</f>
        <v>0</v>
      </c>
      <c r="G203" s="333"/>
      <c r="H203" s="333"/>
      <c r="I203" s="491">
        <v>58</v>
      </c>
      <c r="J203" s="491"/>
      <c r="K203" s="335">
        <f t="shared" si="2"/>
        <v>0</v>
      </c>
      <c r="L203" s="336"/>
      <c r="N203" s="130"/>
      <c r="P203" s="130"/>
    </row>
    <row r="204" spans="1:16" s="5" customFormat="1" ht="46.5" customHeight="1" x14ac:dyDescent="0.2">
      <c r="A204" s="1"/>
      <c r="B204" s="330" t="str">
        <f>B159</f>
        <v>ÁREA EXTERNA - PISOS PAVIMENTADOS ADJACENTES/CONTÍGUOS ÀS EDIFICAÇÕES - SEMANAL</v>
      </c>
      <c r="C204" s="331"/>
      <c r="D204" s="331"/>
      <c r="E204" s="332"/>
      <c r="F204" s="333">
        <f>L162</f>
        <v>0</v>
      </c>
      <c r="G204" s="333"/>
      <c r="H204" s="333"/>
      <c r="I204" s="491">
        <v>141.47</v>
      </c>
      <c r="J204" s="491"/>
      <c r="K204" s="335">
        <f t="shared" si="2"/>
        <v>0</v>
      </c>
      <c r="L204" s="336"/>
      <c r="N204" s="131"/>
      <c r="P204" s="130"/>
    </row>
    <row r="205" spans="1:16" s="5" customFormat="1" ht="29.25" customHeight="1" x14ac:dyDescent="0.2">
      <c r="A205" s="1"/>
      <c r="B205" s="330" t="str">
        <f>B165</f>
        <v>ÁREA EXTERNA - Varrição de passeios e arruamentos - DIÁRIO</v>
      </c>
      <c r="C205" s="331"/>
      <c r="D205" s="331"/>
      <c r="E205" s="332"/>
      <c r="F205" s="335">
        <f>L168</f>
        <v>0</v>
      </c>
      <c r="G205" s="464"/>
      <c r="H205" s="336"/>
      <c r="I205" s="492">
        <v>300</v>
      </c>
      <c r="J205" s="493"/>
      <c r="K205" s="335">
        <f t="shared" si="2"/>
        <v>0</v>
      </c>
      <c r="L205" s="336"/>
      <c r="N205" s="131"/>
      <c r="P205" s="130"/>
    </row>
    <row r="206" spans="1:16" s="5" customFormat="1" ht="30" customHeight="1" x14ac:dyDescent="0.2">
      <c r="A206" s="1"/>
      <c r="B206" s="330" t="str">
        <f>B171</f>
        <v>ÁREA EXTERNA - Pátios e áreas verdes com alta frequência - SEMANAL</v>
      </c>
      <c r="C206" s="331"/>
      <c r="D206" s="331"/>
      <c r="E206" s="332"/>
      <c r="F206" s="335">
        <f>L174</f>
        <v>0</v>
      </c>
      <c r="G206" s="464"/>
      <c r="H206" s="336"/>
      <c r="I206" s="492">
        <v>0</v>
      </c>
      <c r="J206" s="493"/>
      <c r="K206" s="335">
        <f t="shared" si="2"/>
        <v>0</v>
      </c>
      <c r="L206" s="336"/>
      <c r="N206" s="131"/>
      <c r="P206" s="130"/>
    </row>
    <row r="207" spans="1:16" s="5" customFormat="1" ht="30" customHeight="1" x14ac:dyDescent="0.2">
      <c r="A207" s="1"/>
      <c r="B207" s="330" t="str">
        <f>B177</f>
        <v>ÁREA EXTERNA - Pátios e áreas verdes com baixa frequência - SEMANAL</v>
      </c>
      <c r="C207" s="331"/>
      <c r="D207" s="331"/>
      <c r="E207" s="332"/>
      <c r="F207" s="335">
        <f>L180</f>
        <v>0</v>
      </c>
      <c r="G207" s="464"/>
      <c r="H207" s="336"/>
      <c r="I207" s="492">
        <v>0</v>
      </c>
      <c r="J207" s="493"/>
      <c r="K207" s="335">
        <f t="shared" si="2"/>
        <v>0</v>
      </c>
      <c r="L207" s="336"/>
      <c r="N207" s="131"/>
      <c r="P207" s="130"/>
    </row>
    <row r="208" spans="1:16" s="5" customFormat="1" ht="30" customHeight="1" x14ac:dyDescent="0.2">
      <c r="A208" s="1"/>
      <c r="B208" s="330" t="str">
        <f>B183</f>
        <v>ÁREA EXTERNA - Face externa sem exposição de situação de risco - BIMESTRAL</v>
      </c>
      <c r="C208" s="331"/>
      <c r="D208" s="331"/>
      <c r="E208" s="332"/>
      <c r="F208" s="335">
        <f>L186</f>
        <v>0</v>
      </c>
      <c r="G208" s="464"/>
      <c r="H208" s="336"/>
      <c r="I208" s="492">
        <v>0</v>
      </c>
      <c r="J208" s="493"/>
      <c r="K208" s="335">
        <f t="shared" si="2"/>
        <v>0</v>
      </c>
      <c r="L208" s="336"/>
      <c r="N208" s="131"/>
      <c r="P208" s="130"/>
    </row>
    <row r="209" spans="1:32" s="5" customFormat="1" ht="30" customHeight="1" x14ac:dyDescent="0.2">
      <c r="A209" s="1"/>
      <c r="B209" s="337" t="str">
        <f>B189</f>
        <v>ÁREA EXTERNA - Fachadas envidraçadas - SEMESTRAL</v>
      </c>
      <c r="C209" s="337"/>
      <c r="D209" s="337"/>
      <c r="E209" s="337"/>
      <c r="F209" s="333">
        <f>L192</f>
        <v>0</v>
      </c>
      <c r="G209" s="333"/>
      <c r="H209" s="333"/>
      <c r="I209" s="491">
        <v>82.72</v>
      </c>
      <c r="J209" s="491"/>
      <c r="K209" s="335">
        <f t="shared" si="2"/>
        <v>0</v>
      </c>
      <c r="L209" s="336"/>
      <c r="N209" s="131"/>
      <c r="P209" s="131"/>
    </row>
    <row r="210" spans="1:32" s="5" customFormat="1" ht="16.5" thickBot="1" x14ac:dyDescent="0.25">
      <c r="A210" s="1"/>
      <c r="B210" s="1"/>
      <c r="C210" s="1"/>
      <c r="D210" s="1"/>
      <c r="E210" s="1" t="s">
        <v>367</v>
      </c>
      <c r="F210" s="494">
        <f>SUM(I199:J209)</f>
        <v>1856.5900000000001</v>
      </c>
      <c r="G210" s="495"/>
      <c r="H210" s="496"/>
      <c r="I210" s="318" t="s">
        <v>157</v>
      </c>
      <c r="J210" s="319"/>
      <c r="K210" s="320">
        <f>SUM(K199:L209)</f>
        <v>0</v>
      </c>
      <c r="L210" s="321"/>
      <c r="N210" s="132"/>
      <c r="P210" s="132"/>
    </row>
    <row r="211" spans="1:32" s="5" customFormat="1" ht="16.5" thickBot="1" x14ac:dyDescent="0.25">
      <c r="A211" s="1"/>
      <c r="B211" s="1"/>
      <c r="C211" s="1"/>
      <c r="D211" s="1"/>
      <c r="E211" s="1"/>
      <c r="F211" s="1"/>
      <c r="G211" s="1"/>
      <c r="H211" s="1"/>
      <c r="I211" s="322" t="s">
        <v>114</v>
      </c>
      <c r="J211" s="323"/>
      <c r="K211" s="324">
        <f>SUM(K210*12)</f>
        <v>0</v>
      </c>
      <c r="L211" s="325"/>
      <c r="M211" s="2"/>
      <c r="N211" s="73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</row>
    <row r="212" spans="1:32" s="5" customFormat="1" x14ac:dyDescent="0.2">
      <c r="A21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</row>
    <row r="213" spans="1:32" s="5" customFormat="1" x14ac:dyDescent="0.2">
      <c r="A213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</row>
    <row r="214" spans="1:32" s="5" customFormat="1" x14ac:dyDescent="0.2">
      <c r="A214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</row>
    <row r="215" spans="1:32" s="5" customFormat="1" x14ac:dyDescent="0.2">
      <c r="A215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</row>
    <row r="216" spans="1:32" s="5" customFormat="1" x14ac:dyDescent="0.2">
      <c r="A216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</row>
    <row r="217" spans="1:32" s="5" customFormat="1" x14ac:dyDescent="0.2">
      <c r="A217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</row>
    <row r="218" spans="1:32" s="5" customFormat="1" x14ac:dyDescent="0.2">
      <c r="A218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</row>
    <row r="219" spans="1:32" s="5" customFormat="1" x14ac:dyDescent="0.2">
      <c r="A219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</row>
    <row r="220" spans="1:32" s="5" customFormat="1" x14ac:dyDescent="0.2">
      <c r="A220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</row>
    <row r="221" spans="1:32" s="5" customFormat="1" x14ac:dyDescent="0.2">
      <c r="A221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</row>
    <row r="222" spans="1:32" s="5" customFormat="1" x14ac:dyDescent="0.2">
      <c r="A22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</row>
    <row r="223" spans="1:32" s="5" customFormat="1" x14ac:dyDescent="0.2">
      <c r="A223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</row>
    <row r="224" spans="1:32" s="5" customFormat="1" x14ac:dyDescent="0.2">
      <c r="A224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</row>
    <row r="225" spans="1:32" s="5" customFormat="1" x14ac:dyDescent="0.2">
      <c r="A225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</row>
    <row r="226" spans="1:32" s="5" customFormat="1" x14ac:dyDescent="0.2">
      <c r="A226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</row>
    <row r="227" spans="1:32" s="5" customFormat="1" x14ac:dyDescent="0.2">
      <c r="A227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</row>
    <row r="228" spans="1:32" s="5" customFormat="1" x14ac:dyDescent="0.2">
      <c r="A228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</row>
    <row r="229" spans="1:32" s="5" customFormat="1" x14ac:dyDescent="0.2">
      <c r="A229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</row>
    <row r="230" spans="1:32" s="5" customFormat="1" x14ac:dyDescent="0.2">
      <c r="A230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</row>
    <row r="231" spans="1:32" s="5" customFormat="1" x14ac:dyDescent="0.2">
      <c r="A231"/>
      <c r="L231" s="1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</row>
    <row r="232" spans="1:32" s="5" customFormat="1" x14ac:dyDescent="0.2">
      <c r="A232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</row>
    <row r="233" spans="1:32" s="5" customFormat="1" x14ac:dyDescent="0.2">
      <c r="A233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</row>
    <row r="234" spans="1:32" s="5" customFormat="1" x14ac:dyDescent="0.2">
      <c r="A234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</row>
    <row r="235" spans="1:32" s="5" customFormat="1" x14ac:dyDescent="0.2">
      <c r="A235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</row>
    <row r="236" spans="1:32" s="5" customFormat="1" x14ac:dyDescent="0.2">
      <c r="A236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</row>
    <row r="237" spans="1:32" s="5" customFormat="1" x14ac:dyDescent="0.2">
      <c r="A237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</row>
    <row r="238" spans="1:32" s="5" customFormat="1" x14ac:dyDescent="0.2">
      <c r="A238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</row>
    <row r="239" spans="1:32" s="5" customFormat="1" ht="24.95" customHeight="1" x14ac:dyDescent="0.2">
      <c r="A239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</row>
    <row r="240" spans="1:32" s="5" customFormat="1" ht="24.95" customHeight="1" x14ac:dyDescent="0.2">
      <c r="A240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</row>
    <row r="241" spans="1:32" s="5" customFormat="1" ht="24.95" customHeight="1" x14ac:dyDescent="0.2">
      <c r="A24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</row>
    <row r="242" spans="1:32" s="5" customFormat="1" ht="24.95" customHeight="1" x14ac:dyDescent="0.2">
      <c r="A242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</row>
    <row r="243" spans="1:32" s="5" customFormat="1" ht="24.95" customHeight="1" x14ac:dyDescent="0.2">
      <c r="A243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</row>
    <row r="244" spans="1:32" s="5" customFormat="1" ht="24.95" customHeight="1" x14ac:dyDescent="0.2">
      <c r="A244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</row>
    <row r="245" spans="1:32" s="5" customFormat="1" ht="24.95" customHeight="1" x14ac:dyDescent="0.2">
      <c r="A245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</row>
    <row r="246" spans="1:32" s="2" customFormat="1" ht="24.95" customHeight="1" x14ac:dyDescent="0.2">
      <c r="A246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</row>
    <row r="247" spans="1:32" s="2" customFormat="1" ht="24.95" customHeight="1" x14ac:dyDescent="0.2">
      <c r="A247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</row>
    <row r="248" spans="1:32" s="2" customFormat="1" x14ac:dyDescent="0.2">
      <c r="A248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</row>
    <row r="249" spans="1:32" s="2" customFormat="1" x14ac:dyDescent="0.2">
      <c r="A249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</row>
    <row r="250" spans="1:32" s="2" customFormat="1" x14ac:dyDescent="0.2">
      <c r="A250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</row>
    <row r="251" spans="1:32" s="2" customFormat="1" x14ac:dyDescent="0.2">
      <c r="A25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</row>
    <row r="252" spans="1:32" s="2" customFormat="1" x14ac:dyDescent="0.2">
      <c r="A252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</row>
    <row r="253" spans="1:32" s="2" customFormat="1" x14ac:dyDescent="0.2">
      <c r="A253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</row>
    <row r="254" spans="1:32" s="2" customFormat="1" x14ac:dyDescent="0.2">
      <c r="A254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</row>
    <row r="255" spans="1:32" s="2" customFormat="1" x14ac:dyDescent="0.2">
      <c r="A255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</row>
    <row r="256" spans="1:32" s="2" customFormat="1" x14ac:dyDescent="0.2">
      <c r="A256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</row>
    <row r="257" spans="1:12" s="2" customFormat="1" x14ac:dyDescent="0.2">
      <c r="A257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</row>
    <row r="258" spans="1:12" s="2" customFormat="1" x14ac:dyDescent="0.2">
      <c r="A258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</row>
    <row r="259" spans="1:12" s="2" customFormat="1" x14ac:dyDescent="0.2">
      <c r="A259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</row>
    <row r="260" spans="1:12" s="2" customFormat="1" x14ac:dyDescent="0.2">
      <c r="A260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</row>
    <row r="261" spans="1:12" s="2" customFormat="1" x14ac:dyDescent="0.2">
      <c r="A26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</row>
    <row r="262" spans="1:12" s="2" customFormat="1" x14ac:dyDescent="0.2">
      <c r="A262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</row>
    <row r="263" spans="1:12" s="2" customFormat="1" x14ac:dyDescent="0.2">
      <c r="A263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</row>
    <row r="264" spans="1:12" s="2" customFormat="1" x14ac:dyDescent="0.2">
      <c r="A264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</row>
    <row r="265" spans="1:12" s="2" customFormat="1" x14ac:dyDescent="0.2">
      <c r="A265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</row>
    <row r="266" spans="1:12" s="2" customFormat="1" x14ac:dyDescent="0.2">
      <c r="A266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</row>
  </sheetData>
  <sheetProtection selectLockedCells="1" selectUnlockedCells="1"/>
  <mergeCells count="291">
    <mergeCell ref="F210:H210"/>
    <mergeCell ref="I210:J210"/>
    <mergeCell ref="K210:L210"/>
    <mergeCell ref="I211:J211"/>
    <mergeCell ref="K211:L211"/>
    <mergeCell ref="B208:E208"/>
    <mergeCell ref="F208:H208"/>
    <mergeCell ref="I208:J208"/>
    <mergeCell ref="K208:L208"/>
    <mergeCell ref="B209:E209"/>
    <mergeCell ref="F209:H209"/>
    <mergeCell ref="I209:J209"/>
    <mergeCell ref="K209:L209"/>
    <mergeCell ref="B206:E206"/>
    <mergeCell ref="F206:H206"/>
    <mergeCell ref="I206:J206"/>
    <mergeCell ref="K206:L206"/>
    <mergeCell ref="B207:E207"/>
    <mergeCell ref="F207:H207"/>
    <mergeCell ref="I207:J207"/>
    <mergeCell ref="K207:L207"/>
    <mergeCell ref="B204:E204"/>
    <mergeCell ref="F204:H204"/>
    <mergeCell ref="I204:J204"/>
    <mergeCell ref="K204:L204"/>
    <mergeCell ref="B205:E205"/>
    <mergeCell ref="F205:H205"/>
    <mergeCell ref="I205:J205"/>
    <mergeCell ref="K205:L205"/>
    <mergeCell ref="B202:E202"/>
    <mergeCell ref="F202:H202"/>
    <mergeCell ref="I202:J202"/>
    <mergeCell ref="K202:L202"/>
    <mergeCell ref="B203:E203"/>
    <mergeCell ref="F203:H203"/>
    <mergeCell ref="I203:J203"/>
    <mergeCell ref="K203:L203"/>
    <mergeCell ref="B200:E200"/>
    <mergeCell ref="F200:H200"/>
    <mergeCell ref="I200:J200"/>
    <mergeCell ref="K200:L200"/>
    <mergeCell ref="B201:E201"/>
    <mergeCell ref="F201:H201"/>
    <mergeCell ref="I201:J201"/>
    <mergeCell ref="K201:L201"/>
    <mergeCell ref="B197:E198"/>
    <mergeCell ref="F197:H198"/>
    <mergeCell ref="I197:J198"/>
    <mergeCell ref="K197:L198"/>
    <mergeCell ref="B199:E199"/>
    <mergeCell ref="F199:H199"/>
    <mergeCell ref="I199:J199"/>
    <mergeCell ref="K199:L199"/>
    <mergeCell ref="B192:D192"/>
    <mergeCell ref="E192:H192"/>
    <mergeCell ref="I192:K192"/>
    <mergeCell ref="B193:H193"/>
    <mergeCell ref="I193:L193"/>
    <mergeCell ref="B196:L196"/>
    <mergeCell ref="B187:H187"/>
    <mergeCell ref="I187:L187"/>
    <mergeCell ref="B189:L189"/>
    <mergeCell ref="B190:D191"/>
    <mergeCell ref="E190:H190"/>
    <mergeCell ref="I190:K190"/>
    <mergeCell ref="E191:H191"/>
    <mergeCell ref="I191:K191"/>
    <mergeCell ref="B184:D185"/>
    <mergeCell ref="E184:H184"/>
    <mergeCell ref="I184:K184"/>
    <mergeCell ref="E185:H185"/>
    <mergeCell ref="I185:K185"/>
    <mergeCell ref="B186:D186"/>
    <mergeCell ref="E186:H186"/>
    <mergeCell ref="I186:K186"/>
    <mergeCell ref="B180:D180"/>
    <mergeCell ref="E180:H180"/>
    <mergeCell ref="I180:K180"/>
    <mergeCell ref="B181:H181"/>
    <mergeCell ref="I181:L181"/>
    <mergeCell ref="B183:L183"/>
    <mergeCell ref="B175:H175"/>
    <mergeCell ref="I175:L175"/>
    <mergeCell ref="B177:L177"/>
    <mergeCell ref="B178:D179"/>
    <mergeCell ref="E178:H178"/>
    <mergeCell ref="I178:K178"/>
    <mergeCell ref="E179:H179"/>
    <mergeCell ref="I179:K179"/>
    <mergeCell ref="B172:D173"/>
    <mergeCell ref="E172:H172"/>
    <mergeCell ref="I172:K172"/>
    <mergeCell ref="E173:H173"/>
    <mergeCell ref="I173:K173"/>
    <mergeCell ref="B174:D174"/>
    <mergeCell ref="E174:H174"/>
    <mergeCell ref="I174:K174"/>
    <mergeCell ref="B168:D168"/>
    <mergeCell ref="E168:H168"/>
    <mergeCell ref="I168:K168"/>
    <mergeCell ref="B169:H169"/>
    <mergeCell ref="I169:L169"/>
    <mergeCell ref="B171:L171"/>
    <mergeCell ref="B163:H163"/>
    <mergeCell ref="I163:L163"/>
    <mergeCell ref="B165:L165"/>
    <mergeCell ref="B166:D167"/>
    <mergeCell ref="E166:H166"/>
    <mergeCell ref="I166:K166"/>
    <mergeCell ref="E167:H167"/>
    <mergeCell ref="I167:K167"/>
    <mergeCell ref="B160:D161"/>
    <mergeCell ref="E160:H160"/>
    <mergeCell ref="I160:K160"/>
    <mergeCell ref="E161:H161"/>
    <mergeCell ref="I161:K161"/>
    <mergeCell ref="B162:D162"/>
    <mergeCell ref="E162:H162"/>
    <mergeCell ref="I162:K162"/>
    <mergeCell ref="B156:D156"/>
    <mergeCell ref="E156:H156"/>
    <mergeCell ref="I156:K156"/>
    <mergeCell ref="B157:H157"/>
    <mergeCell ref="I157:L157"/>
    <mergeCell ref="B159:L159"/>
    <mergeCell ref="B151:H151"/>
    <mergeCell ref="I151:L151"/>
    <mergeCell ref="B153:L153"/>
    <mergeCell ref="B154:D155"/>
    <mergeCell ref="E154:H154"/>
    <mergeCell ref="I154:K154"/>
    <mergeCell ref="E155:H155"/>
    <mergeCell ref="I155:K155"/>
    <mergeCell ref="B148:D149"/>
    <mergeCell ref="E148:H148"/>
    <mergeCell ref="I148:K148"/>
    <mergeCell ref="E149:H149"/>
    <mergeCell ref="I149:K149"/>
    <mergeCell ref="B150:D150"/>
    <mergeCell ref="E150:H150"/>
    <mergeCell ref="I150:K150"/>
    <mergeCell ref="B144:D144"/>
    <mergeCell ref="E144:H144"/>
    <mergeCell ref="I144:K144"/>
    <mergeCell ref="B145:H145"/>
    <mergeCell ref="I145:L145"/>
    <mergeCell ref="B147:L147"/>
    <mergeCell ref="B139:H139"/>
    <mergeCell ref="I139:L139"/>
    <mergeCell ref="B141:L141"/>
    <mergeCell ref="B142:D143"/>
    <mergeCell ref="E142:H142"/>
    <mergeCell ref="I142:K142"/>
    <mergeCell ref="E143:H143"/>
    <mergeCell ref="I143:K143"/>
    <mergeCell ref="B136:D137"/>
    <mergeCell ref="E136:H136"/>
    <mergeCell ref="I136:K136"/>
    <mergeCell ref="E137:H137"/>
    <mergeCell ref="I137:K137"/>
    <mergeCell ref="B138:D138"/>
    <mergeCell ref="E138:H138"/>
    <mergeCell ref="I138:K138"/>
    <mergeCell ref="B132:D132"/>
    <mergeCell ref="E132:H132"/>
    <mergeCell ref="I132:K132"/>
    <mergeCell ref="B133:H133"/>
    <mergeCell ref="I133:L133"/>
    <mergeCell ref="B135:L135"/>
    <mergeCell ref="C124:J124"/>
    <mergeCell ref="B125:L125"/>
    <mergeCell ref="B127:L127"/>
    <mergeCell ref="B129:L129"/>
    <mergeCell ref="B130:D131"/>
    <mergeCell ref="E130:H130"/>
    <mergeCell ref="I130:K130"/>
    <mergeCell ref="E131:H131"/>
    <mergeCell ref="I131:K131"/>
    <mergeCell ref="C118:K118"/>
    <mergeCell ref="C119:K119"/>
    <mergeCell ref="C120:K120"/>
    <mergeCell ref="C121:K121"/>
    <mergeCell ref="C122:J122"/>
    <mergeCell ref="C123:K123"/>
    <mergeCell ref="B109:G109"/>
    <mergeCell ref="H109:K109"/>
    <mergeCell ref="C110:I110"/>
    <mergeCell ref="B114:K114"/>
    <mergeCell ref="B115:L115"/>
    <mergeCell ref="C117:K117"/>
    <mergeCell ref="C102:G102"/>
    <mergeCell ref="H102:I102"/>
    <mergeCell ref="B103:K103"/>
    <mergeCell ref="B104:L104"/>
    <mergeCell ref="C105:J105"/>
    <mergeCell ref="B106:K106"/>
    <mergeCell ref="N99:Q99"/>
    <mergeCell ref="C100:G100"/>
    <mergeCell ref="H100:I100"/>
    <mergeCell ref="N100:Q100"/>
    <mergeCell ref="C101:G101"/>
    <mergeCell ref="H101:I101"/>
    <mergeCell ref="N101:Q101"/>
    <mergeCell ref="B96:K96"/>
    <mergeCell ref="B97:L97"/>
    <mergeCell ref="C98:G98"/>
    <mergeCell ref="H98:I98"/>
    <mergeCell ref="C99:G99"/>
    <mergeCell ref="H99:I99"/>
    <mergeCell ref="C90:J90"/>
    <mergeCell ref="C91:J91"/>
    <mergeCell ref="B92:L92"/>
    <mergeCell ref="C93:G93"/>
    <mergeCell ref="C94:K94"/>
    <mergeCell ref="C95:K95"/>
    <mergeCell ref="C76:J76"/>
    <mergeCell ref="B78:J78"/>
    <mergeCell ref="B79:L79"/>
    <mergeCell ref="C81:J81"/>
    <mergeCell ref="C82:J82"/>
    <mergeCell ref="B88:K88"/>
    <mergeCell ref="C68:K68"/>
    <mergeCell ref="B69:K69"/>
    <mergeCell ref="B70:L70"/>
    <mergeCell ref="C72:J72"/>
    <mergeCell ref="C73:J73"/>
    <mergeCell ref="C75:J75"/>
    <mergeCell ref="C62:G62"/>
    <mergeCell ref="B63:K63"/>
    <mergeCell ref="B64:L64"/>
    <mergeCell ref="C65:K65"/>
    <mergeCell ref="C66:K66"/>
    <mergeCell ref="C67:K67"/>
    <mergeCell ref="C55:J55"/>
    <mergeCell ref="B56:J56"/>
    <mergeCell ref="C58:G58"/>
    <mergeCell ref="C59:G59"/>
    <mergeCell ref="C60:G60"/>
    <mergeCell ref="C61:G61"/>
    <mergeCell ref="C49:J49"/>
    <mergeCell ref="C50:J50"/>
    <mergeCell ref="C51:J51"/>
    <mergeCell ref="C52:J52"/>
    <mergeCell ref="C53:J53"/>
    <mergeCell ref="C54:J54"/>
    <mergeCell ref="C41:H41"/>
    <mergeCell ref="C42:J42"/>
    <mergeCell ref="C43:J43"/>
    <mergeCell ref="B44:K44"/>
    <mergeCell ref="C47:J47"/>
    <mergeCell ref="C48:J48"/>
    <mergeCell ref="C34:H34"/>
    <mergeCell ref="C35:H35"/>
    <mergeCell ref="C36:H36"/>
    <mergeCell ref="C37:H37"/>
    <mergeCell ref="B38:K38"/>
    <mergeCell ref="B39:L39"/>
    <mergeCell ref="C28:K28"/>
    <mergeCell ref="C29:K29"/>
    <mergeCell ref="B30:L30"/>
    <mergeCell ref="C31:H31"/>
    <mergeCell ref="C32:H32"/>
    <mergeCell ref="C33:H33"/>
    <mergeCell ref="B20:L20"/>
    <mergeCell ref="B21:L21"/>
    <mergeCell ref="B22:L22"/>
    <mergeCell ref="B24:L24"/>
    <mergeCell ref="C25:K25"/>
    <mergeCell ref="C26:K26"/>
    <mergeCell ref="B15:L15"/>
    <mergeCell ref="B17:L17"/>
    <mergeCell ref="C18:G18"/>
    <mergeCell ref="H18:J18"/>
    <mergeCell ref="K18:L18"/>
    <mergeCell ref="C19:G19"/>
    <mergeCell ref="H19:J19"/>
    <mergeCell ref="K19:L19"/>
    <mergeCell ref="B8:L8"/>
    <mergeCell ref="B10:L10"/>
    <mergeCell ref="C11:K11"/>
    <mergeCell ref="C12:K12"/>
    <mergeCell ref="C13:K13"/>
    <mergeCell ref="C14:K14"/>
    <mergeCell ref="B1:L1"/>
    <mergeCell ref="B2:L2"/>
    <mergeCell ref="B3:L3"/>
    <mergeCell ref="B5:D5"/>
    <mergeCell ref="E5:L5"/>
    <mergeCell ref="B6:D6"/>
    <mergeCell ref="E6:L6"/>
    <mergeCell ref="B4:L4"/>
  </mergeCells>
  <pageMargins left="0.44027777777777777" right="0.37986111111111109" top="0.15972222222222221" bottom="0.35416666666666669" header="0.51180555555555551" footer="0.51180555555555551"/>
  <pageSetup paperSize="9" scale="41" firstPageNumber="0" orientation="portrait" horizontalDpi="300" verticalDpi="300" r:id="rId1"/>
  <headerFooter alignWithMargins="0"/>
  <rowBreaks count="1" manualBreakCount="1">
    <brk id="159" max="16383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8A05E-819B-4B4D-87AC-AEAE77202955}">
  <dimension ref="A1:K5"/>
  <sheetViews>
    <sheetView workbookViewId="0">
      <selection activeCell="K5" sqref="K5"/>
    </sheetView>
  </sheetViews>
  <sheetFormatPr defaultRowHeight="12.75" x14ac:dyDescent="0.2"/>
  <cols>
    <col min="2" max="2" width="18.5703125" customWidth="1"/>
    <col min="4" max="4" width="24.5703125" customWidth="1"/>
    <col min="5" max="5" width="15" customWidth="1"/>
    <col min="6" max="6" width="10" customWidth="1"/>
    <col min="7" max="7" width="14.5703125" customWidth="1"/>
    <col min="8" max="8" width="15.140625" customWidth="1"/>
    <col min="9" max="9" width="18.5703125" customWidth="1"/>
    <col min="10" max="10" width="16.28515625" customWidth="1"/>
    <col min="11" max="11" width="18" customWidth="1"/>
  </cols>
  <sheetData>
    <row r="1" spans="1:11" ht="45" x14ac:dyDescent="0.2">
      <c r="A1" s="253" t="s">
        <v>372</v>
      </c>
      <c r="B1" s="254" t="s">
        <v>373</v>
      </c>
      <c r="C1" s="255" t="s">
        <v>374</v>
      </c>
      <c r="D1" s="254" t="s">
        <v>86</v>
      </c>
      <c r="E1" s="254" t="s">
        <v>42</v>
      </c>
      <c r="F1" s="254" t="s">
        <v>87</v>
      </c>
      <c r="G1" s="254" t="s">
        <v>375</v>
      </c>
      <c r="H1" s="254" t="s">
        <v>376</v>
      </c>
      <c r="I1" s="254" t="s">
        <v>377</v>
      </c>
      <c r="J1" s="254" t="s">
        <v>378</v>
      </c>
      <c r="K1" s="256" t="s">
        <v>379</v>
      </c>
    </row>
    <row r="2" spans="1:11" ht="30" x14ac:dyDescent="0.2">
      <c r="A2" s="497">
        <v>1</v>
      </c>
      <c r="B2" s="262" t="s">
        <v>381</v>
      </c>
      <c r="C2" s="257">
        <v>1</v>
      </c>
      <c r="D2" s="258" t="s">
        <v>396</v>
      </c>
      <c r="E2" s="258" t="s">
        <v>384</v>
      </c>
      <c r="F2" s="258" t="s">
        <v>380</v>
      </c>
      <c r="G2" s="259">
        <f>ROUND((I2/H2),2)</f>
        <v>0</v>
      </c>
      <c r="H2" s="261">
        <f>'SERVENTE(SI) - PMW'!F210</f>
        <v>5273.83</v>
      </c>
      <c r="I2" s="260">
        <f>'SERVENTE(SI) - PMW'!K210</f>
        <v>0</v>
      </c>
      <c r="J2" s="260">
        <f>I2*12</f>
        <v>0</v>
      </c>
      <c r="K2" s="260">
        <f>J2*5</f>
        <v>0</v>
      </c>
    </row>
    <row r="3" spans="1:11" ht="30" x14ac:dyDescent="0.2">
      <c r="A3" s="497"/>
      <c r="B3" s="262" t="s">
        <v>382</v>
      </c>
      <c r="C3" s="257">
        <v>2</v>
      </c>
      <c r="D3" s="258" t="s">
        <v>396</v>
      </c>
      <c r="E3" s="258" t="s">
        <v>385</v>
      </c>
      <c r="F3" s="258" t="s">
        <v>380</v>
      </c>
      <c r="G3" s="259">
        <f>ROUND((I3/H3),2)</f>
        <v>0</v>
      </c>
      <c r="H3" s="261">
        <f>'SERVENTE(SI) - DEPÓSITO'!F210</f>
        <v>3414.0699999999997</v>
      </c>
      <c r="I3" s="260">
        <f>'SERVENTE(SI) - DEPÓSITO'!K210</f>
        <v>0</v>
      </c>
      <c r="J3" s="260">
        <f>I3*12</f>
        <v>0</v>
      </c>
      <c r="K3" s="260">
        <f>J3*5</f>
        <v>0</v>
      </c>
    </row>
    <row r="4" spans="1:11" ht="30" x14ac:dyDescent="0.2">
      <c r="A4" s="497"/>
      <c r="B4" s="262" t="s">
        <v>343</v>
      </c>
      <c r="C4" s="257">
        <v>3</v>
      </c>
      <c r="D4" s="258" t="s">
        <v>383</v>
      </c>
      <c r="E4" s="258" t="s">
        <v>384</v>
      </c>
      <c r="F4" s="258" t="s">
        <v>380</v>
      </c>
      <c r="G4" s="259">
        <f>ROUND((I4/H4),2)</f>
        <v>0</v>
      </c>
      <c r="H4" s="261">
        <f>'SERVENTE(SI) - AGA'!F210</f>
        <v>1856.5900000000001</v>
      </c>
      <c r="I4" s="260">
        <f>'SERVENTE(SI) - AGA'!K210</f>
        <v>0</v>
      </c>
      <c r="J4" s="260">
        <f>ROUND((I4*12),2)</f>
        <v>0</v>
      </c>
      <c r="K4" s="260">
        <f>J4*5</f>
        <v>0</v>
      </c>
    </row>
    <row r="5" spans="1:11" x14ac:dyDescent="0.2">
      <c r="A5" s="498" t="s">
        <v>386</v>
      </c>
      <c r="B5" s="498"/>
      <c r="C5" s="498"/>
      <c r="D5" s="498"/>
      <c r="E5" s="498"/>
      <c r="F5" s="498"/>
      <c r="G5" s="498"/>
      <c r="H5" s="498"/>
      <c r="I5" s="263">
        <f>SUM(I2:I4)</f>
        <v>0</v>
      </c>
      <c r="J5" s="263">
        <f>SUM(J2:J4)</f>
        <v>0</v>
      </c>
      <c r="K5" s="263">
        <f>SUM(K2:K4)</f>
        <v>0</v>
      </c>
    </row>
  </sheetData>
  <sheetProtection algorithmName="SHA-512" hashValue="fHhDDfcWyAYCWq0Q2YzK0PnMfxcANwYEWe0SVoNd4ql3XUHdsoA08kCPNI2YMf/dsLa+yM1JmKR73m3PKGitTA==" saltValue="uBL0DelpecgxZaIvj1XExA==" spinCount="100000" sheet="1" objects="1" scenarios="1"/>
  <mergeCells count="2">
    <mergeCell ref="A2:A4"/>
    <mergeCell ref="A5:H5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2"/>
  <sheetViews>
    <sheetView workbookViewId="0">
      <selection activeCell="F6" sqref="F6:F10"/>
    </sheetView>
  </sheetViews>
  <sheetFormatPr defaultColWidth="16.85546875" defaultRowHeight="12.75" x14ac:dyDescent="0.2"/>
  <cols>
    <col min="1" max="1" width="19" customWidth="1"/>
    <col min="2" max="2" width="24.42578125" customWidth="1"/>
    <col min="3" max="3" width="61" customWidth="1"/>
    <col min="4" max="4" width="11.42578125" customWidth="1"/>
    <col min="5" max="5" width="10.28515625" customWidth="1"/>
    <col min="6" max="6" width="11.5703125" bestFit="1" customWidth="1"/>
    <col min="7" max="7" width="13.7109375" customWidth="1"/>
    <col min="8" max="8" width="9.140625" customWidth="1"/>
    <col min="9" max="9" width="17.28515625" customWidth="1"/>
    <col min="10" max="249" width="9.140625" customWidth="1"/>
    <col min="250" max="250" width="14.5703125" customWidth="1"/>
    <col min="251" max="251" width="15.85546875" customWidth="1"/>
    <col min="252" max="252" width="66.28515625" customWidth="1"/>
    <col min="253" max="253" width="16.140625" customWidth="1"/>
  </cols>
  <sheetData>
    <row r="1" spans="1:7" s="76" customFormat="1" x14ac:dyDescent="0.2">
      <c r="A1" s="499" t="s">
        <v>2</v>
      </c>
      <c r="B1" s="499"/>
      <c r="C1" s="499"/>
      <c r="D1" s="499"/>
      <c r="E1" s="499"/>
      <c r="F1" s="499"/>
      <c r="G1" s="499"/>
    </row>
    <row r="2" spans="1:7" s="76" customFormat="1" ht="42" customHeight="1" x14ac:dyDescent="0.2">
      <c r="A2" s="508" t="s">
        <v>191</v>
      </c>
      <c r="B2" s="508"/>
      <c r="C2" s="508"/>
      <c r="D2" s="508"/>
      <c r="E2" s="508"/>
      <c r="F2" s="508"/>
      <c r="G2" s="508"/>
    </row>
    <row r="3" spans="1:7" ht="15.75" x14ac:dyDescent="0.2">
      <c r="A3" s="509"/>
      <c r="B3" s="510"/>
      <c r="C3" s="511"/>
      <c r="D3" s="74"/>
      <c r="E3" s="74"/>
      <c r="F3" s="512"/>
      <c r="G3" s="512"/>
    </row>
    <row r="4" spans="1:7" ht="15" x14ac:dyDescent="0.25">
      <c r="A4" s="504" t="s">
        <v>144</v>
      </c>
      <c r="B4" s="504"/>
      <c r="C4" s="504"/>
      <c r="D4" s="504"/>
      <c r="E4" s="504"/>
      <c r="F4" s="504"/>
      <c r="G4" s="504"/>
    </row>
    <row r="5" spans="1:7" ht="25.5" x14ac:dyDescent="0.2">
      <c r="A5" s="152" t="s">
        <v>141</v>
      </c>
      <c r="B5" s="513" t="s">
        <v>85</v>
      </c>
      <c r="C5" s="514"/>
      <c r="D5" s="152" t="s">
        <v>142</v>
      </c>
      <c r="E5" s="152" t="s">
        <v>261</v>
      </c>
      <c r="F5" s="152" t="s">
        <v>140</v>
      </c>
      <c r="G5" s="153" t="s">
        <v>143</v>
      </c>
    </row>
    <row r="6" spans="1:7" s="127" customFormat="1" x14ac:dyDescent="0.2">
      <c r="A6" s="126">
        <v>1</v>
      </c>
      <c r="B6" s="500" t="s">
        <v>200</v>
      </c>
      <c r="C6" s="501"/>
      <c r="D6" s="77" t="s">
        <v>151</v>
      </c>
      <c r="E6" s="77">
        <v>4</v>
      </c>
      <c r="F6" s="307"/>
      <c r="G6" s="75">
        <f>F6*E6</f>
        <v>0</v>
      </c>
    </row>
    <row r="7" spans="1:7" s="127" customFormat="1" x14ac:dyDescent="0.2">
      <c r="A7" s="126">
        <v>2</v>
      </c>
      <c r="B7" s="502" t="s">
        <v>262</v>
      </c>
      <c r="C7" s="503"/>
      <c r="D7" s="77" t="s">
        <v>151</v>
      </c>
      <c r="E7" s="77">
        <v>4</v>
      </c>
      <c r="F7" s="307"/>
      <c r="G7" s="75">
        <f>F7*E7</f>
        <v>0</v>
      </c>
    </row>
    <row r="8" spans="1:7" s="127" customFormat="1" x14ac:dyDescent="0.2">
      <c r="A8" s="126">
        <v>3</v>
      </c>
      <c r="B8" s="502" t="s">
        <v>263</v>
      </c>
      <c r="C8" s="503"/>
      <c r="D8" s="77" t="s">
        <v>151</v>
      </c>
      <c r="E8" s="77">
        <v>2</v>
      </c>
      <c r="F8" s="307"/>
      <c r="G8" s="75">
        <f>F8*E8</f>
        <v>0</v>
      </c>
    </row>
    <row r="9" spans="1:7" s="127" customFormat="1" x14ac:dyDescent="0.2">
      <c r="A9" s="126">
        <v>4</v>
      </c>
      <c r="B9" s="500" t="s">
        <v>201</v>
      </c>
      <c r="C9" s="500"/>
      <c r="D9" s="77" t="s">
        <v>152</v>
      </c>
      <c r="E9" s="77">
        <v>2</v>
      </c>
      <c r="F9" s="307"/>
      <c r="G9" s="75">
        <f>F9*E9</f>
        <v>0</v>
      </c>
    </row>
    <row r="10" spans="1:7" s="127" customFormat="1" x14ac:dyDescent="0.2">
      <c r="A10" s="126">
        <v>5</v>
      </c>
      <c r="B10" s="502" t="s">
        <v>202</v>
      </c>
      <c r="C10" s="503"/>
      <c r="D10" s="77" t="s">
        <v>152</v>
      </c>
      <c r="E10" s="77">
        <v>4</v>
      </c>
      <c r="F10" s="307"/>
      <c r="G10" s="75">
        <f>F10*E10</f>
        <v>0</v>
      </c>
    </row>
    <row r="11" spans="1:7" s="127" customFormat="1" ht="12.75" customHeight="1" x14ac:dyDescent="0.2">
      <c r="A11" s="505" t="s">
        <v>12</v>
      </c>
      <c r="B11" s="506"/>
      <c r="C11" s="506"/>
      <c r="D11" s="506"/>
      <c r="E11" s="506"/>
      <c r="F11" s="507"/>
      <c r="G11" s="154">
        <f>SUM(G6:G10)</f>
        <v>0</v>
      </c>
    </row>
    <row r="12" spans="1:7" ht="12.75" customHeight="1" x14ac:dyDescent="0.2">
      <c r="A12" s="505" t="s">
        <v>260</v>
      </c>
      <c r="B12" s="506"/>
      <c r="C12" s="506"/>
      <c r="D12" s="506"/>
      <c r="E12" s="506"/>
      <c r="F12" s="507"/>
      <c r="G12" s="154">
        <f>G11/12</f>
        <v>0</v>
      </c>
    </row>
  </sheetData>
  <mergeCells count="13">
    <mergeCell ref="A12:F12"/>
    <mergeCell ref="A2:G2"/>
    <mergeCell ref="A3:C3"/>
    <mergeCell ref="F3:G3"/>
    <mergeCell ref="B5:C5"/>
    <mergeCell ref="A11:F11"/>
    <mergeCell ref="B10:C10"/>
    <mergeCell ref="A1:G1"/>
    <mergeCell ref="B6:C6"/>
    <mergeCell ref="B7:C7"/>
    <mergeCell ref="B8:C8"/>
    <mergeCell ref="B9:C9"/>
    <mergeCell ref="A4:G4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3610E-1D32-4C48-972E-9E6FE4FEE30A}">
  <dimension ref="A1:F25"/>
  <sheetViews>
    <sheetView workbookViewId="0">
      <selection activeCell="E3" sqref="E3:E20"/>
    </sheetView>
  </sheetViews>
  <sheetFormatPr defaultRowHeight="12.75" x14ac:dyDescent="0.2"/>
  <cols>
    <col min="1" max="1" width="66.85546875" customWidth="1"/>
    <col min="2" max="2" width="8" customWidth="1"/>
    <col min="3" max="3" width="11.7109375" customWidth="1"/>
    <col min="4" max="4" width="11" customWidth="1"/>
    <col min="5" max="5" width="11.85546875" customWidth="1"/>
    <col min="6" max="6" width="13" customWidth="1"/>
  </cols>
  <sheetData>
    <row r="1" spans="1:6" ht="15" x14ac:dyDescent="0.2">
      <c r="A1" s="517" t="s">
        <v>267</v>
      </c>
      <c r="B1" s="518"/>
      <c r="C1" s="518"/>
      <c r="D1" s="518"/>
      <c r="E1" s="518"/>
      <c r="F1" s="518"/>
    </row>
    <row r="2" spans="1:6" ht="30" x14ac:dyDescent="0.2">
      <c r="A2" s="140" t="s">
        <v>159</v>
      </c>
      <c r="B2" s="140" t="s">
        <v>164</v>
      </c>
      <c r="C2" s="140" t="s">
        <v>165</v>
      </c>
      <c r="D2" s="140" t="s">
        <v>266</v>
      </c>
      <c r="E2" s="140" t="s">
        <v>204</v>
      </c>
      <c r="F2" s="140" t="s">
        <v>258</v>
      </c>
    </row>
    <row r="3" spans="1:6" ht="25.5" x14ac:dyDescent="0.2">
      <c r="A3" s="141" t="s">
        <v>206</v>
      </c>
      <c r="B3" s="142">
        <v>6</v>
      </c>
      <c r="C3" s="134">
        <v>0</v>
      </c>
      <c r="D3" s="134">
        <f>SUM(B3:C3)</f>
        <v>6</v>
      </c>
      <c r="E3" s="308"/>
      <c r="F3" s="135">
        <f t="shared" ref="F3:F20" si="0">ROUND(E3*D3,2)</f>
        <v>0</v>
      </c>
    </row>
    <row r="4" spans="1:6" x14ac:dyDescent="0.2">
      <c r="A4" s="141" t="s">
        <v>208</v>
      </c>
      <c r="B4" s="143">
        <v>12</v>
      </c>
      <c r="C4" s="126">
        <v>4</v>
      </c>
      <c r="D4" s="134">
        <f t="shared" ref="D4:D20" si="1">SUM(B4:C4)</f>
        <v>16</v>
      </c>
      <c r="E4" s="309"/>
      <c r="F4" s="135">
        <f t="shared" si="0"/>
        <v>0</v>
      </c>
    </row>
    <row r="5" spans="1:6" x14ac:dyDescent="0.2">
      <c r="A5" s="141" t="s">
        <v>209</v>
      </c>
      <c r="B5" s="143">
        <v>4</v>
      </c>
      <c r="C5" s="126">
        <v>4</v>
      </c>
      <c r="D5" s="134">
        <f t="shared" si="1"/>
        <v>8</v>
      </c>
      <c r="E5" s="309"/>
      <c r="F5" s="135">
        <f t="shared" si="0"/>
        <v>0</v>
      </c>
    </row>
    <row r="6" spans="1:6" x14ac:dyDescent="0.2">
      <c r="A6" s="141" t="s">
        <v>211</v>
      </c>
      <c r="B6" s="143">
        <v>6</v>
      </c>
      <c r="C6" s="126">
        <v>2</v>
      </c>
      <c r="D6" s="134">
        <f t="shared" si="1"/>
        <v>8</v>
      </c>
      <c r="E6" s="309"/>
      <c r="F6" s="135">
        <f t="shared" si="0"/>
        <v>0</v>
      </c>
    </row>
    <row r="7" spans="1:6" ht="13.5" customHeight="1" x14ac:dyDescent="0.2">
      <c r="A7" s="144" t="s">
        <v>212</v>
      </c>
      <c r="B7" s="143">
        <v>2</v>
      </c>
      <c r="C7" s="126">
        <v>1</v>
      </c>
      <c r="D7" s="134">
        <f t="shared" si="1"/>
        <v>3</v>
      </c>
      <c r="E7" s="309"/>
      <c r="F7" s="135">
        <f t="shared" si="0"/>
        <v>0</v>
      </c>
    </row>
    <row r="8" spans="1:6" ht="25.5" x14ac:dyDescent="0.2">
      <c r="A8" s="144" t="s">
        <v>213</v>
      </c>
      <c r="B8" s="143">
        <v>2</v>
      </c>
      <c r="C8" s="126">
        <v>1</v>
      </c>
      <c r="D8" s="134">
        <f t="shared" si="1"/>
        <v>3</v>
      </c>
      <c r="E8" s="309"/>
      <c r="F8" s="135">
        <f t="shared" si="0"/>
        <v>0</v>
      </c>
    </row>
    <row r="9" spans="1:6" x14ac:dyDescent="0.2">
      <c r="A9" s="144" t="s">
        <v>160</v>
      </c>
      <c r="B9" s="143">
        <v>6</v>
      </c>
      <c r="C9" s="126">
        <v>2</v>
      </c>
      <c r="D9" s="134">
        <f t="shared" si="1"/>
        <v>8</v>
      </c>
      <c r="E9" s="309"/>
      <c r="F9" s="135">
        <f t="shared" si="0"/>
        <v>0</v>
      </c>
    </row>
    <row r="10" spans="1:6" x14ac:dyDescent="0.2">
      <c r="A10" s="144" t="s">
        <v>161</v>
      </c>
      <c r="B10" s="143">
        <v>6</v>
      </c>
      <c r="C10" s="126">
        <v>2</v>
      </c>
      <c r="D10" s="134">
        <f t="shared" si="1"/>
        <v>8</v>
      </c>
      <c r="E10" s="309"/>
      <c r="F10" s="135">
        <f t="shared" si="0"/>
        <v>0</v>
      </c>
    </row>
    <row r="11" spans="1:6" x14ac:dyDescent="0.2">
      <c r="A11" s="144" t="s">
        <v>162</v>
      </c>
      <c r="B11" s="143">
        <v>6</v>
      </c>
      <c r="C11" s="126">
        <v>2</v>
      </c>
      <c r="D11" s="134">
        <f t="shared" si="1"/>
        <v>8</v>
      </c>
      <c r="E11" s="309"/>
      <c r="F11" s="135">
        <f t="shared" si="0"/>
        <v>0</v>
      </c>
    </row>
    <row r="12" spans="1:6" x14ac:dyDescent="0.2">
      <c r="A12" s="144" t="s">
        <v>219</v>
      </c>
      <c r="B12" s="143">
        <v>6</v>
      </c>
      <c r="C12" s="126">
        <v>2</v>
      </c>
      <c r="D12" s="134">
        <f t="shared" si="1"/>
        <v>8</v>
      </c>
      <c r="E12" s="309"/>
      <c r="F12" s="135">
        <f t="shared" si="0"/>
        <v>0</v>
      </c>
    </row>
    <row r="13" spans="1:6" x14ac:dyDescent="0.2">
      <c r="A13" s="141" t="s">
        <v>163</v>
      </c>
      <c r="B13" s="143">
        <v>6</v>
      </c>
      <c r="C13" s="126">
        <v>2</v>
      </c>
      <c r="D13" s="134">
        <f t="shared" si="1"/>
        <v>8</v>
      </c>
      <c r="E13" s="309"/>
      <c r="F13" s="135">
        <f t="shared" si="0"/>
        <v>0</v>
      </c>
    </row>
    <row r="14" spans="1:6" x14ac:dyDescent="0.2">
      <c r="A14" s="141" t="s">
        <v>222</v>
      </c>
      <c r="B14" s="143">
        <v>6</v>
      </c>
      <c r="C14" s="126">
        <v>2</v>
      </c>
      <c r="D14" s="134">
        <f t="shared" si="1"/>
        <v>8</v>
      </c>
      <c r="E14" s="309"/>
      <c r="F14" s="135">
        <f t="shared" si="0"/>
        <v>0</v>
      </c>
    </row>
    <row r="15" spans="1:6" x14ac:dyDescent="0.2">
      <c r="A15" s="141" t="s">
        <v>224</v>
      </c>
      <c r="B15" s="143">
        <v>6</v>
      </c>
      <c r="C15" s="126">
        <v>2</v>
      </c>
      <c r="D15" s="134">
        <f t="shared" si="1"/>
        <v>8</v>
      </c>
      <c r="E15" s="309"/>
      <c r="F15" s="135">
        <f t="shared" si="0"/>
        <v>0</v>
      </c>
    </row>
    <row r="16" spans="1:6" x14ac:dyDescent="0.2">
      <c r="A16" s="141" t="s">
        <v>225</v>
      </c>
      <c r="B16" s="143">
        <v>6</v>
      </c>
      <c r="C16" s="126">
        <v>2</v>
      </c>
      <c r="D16" s="134">
        <f t="shared" si="1"/>
        <v>8</v>
      </c>
      <c r="E16" s="309"/>
      <c r="F16" s="135">
        <f t="shared" si="0"/>
        <v>0</v>
      </c>
    </row>
    <row r="17" spans="1:6" ht="25.5" x14ac:dyDescent="0.2">
      <c r="A17" s="141" t="s">
        <v>227</v>
      </c>
      <c r="B17" s="143">
        <v>6</v>
      </c>
      <c r="C17" s="126">
        <v>2</v>
      </c>
      <c r="D17" s="134">
        <f t="shared" si="1"/>
        <v>8</v>
      </c>
      <c r="E17" s="309"/>
      <c r="F17" s="135">
        <f t="shared" si="0"/>
        <v>0</v>
      </c>
    </row>
    <row r="18" spans="1:6" x14ac:dyDescent="0.2">
      <c r="A18" s="141" t="s">
        <v>228</v>
      </c>
      <c r="B18" s="143">
        <v>6</v>
      </c>
      <c r="C18" s="126">
        <v>2</v>
      </c>
      <c r="D18" s="134">
        <f t="shared" si="1"/>
        <v>8</v>
      </c>
      <c r="E18" s="309"/>
      <c r="F18" s="135">
        <f t="shared" si="0"/>
        <v>0</v>
      </c>
    </row>
    <row r="19" spans="1:6" ht="52.5" customHeight="1" x14ac:dyDescent="0.2">
      <c r="A19" s="141" t="s">
        <v>229</v>
      </c>
      <c r="B19" s="143">
        <v>6</v>
      </c>
      <c r="C19" s="126">
        <v>2</v>
      </c>
      <c r="D19" s="134">
        <f t="shared" si="1"/>
        <v>8</v>
      </c>
      <c r="E19" s="309"/>
      <c r="F19" s="135">
        <f t="shared" si="0"/>
        <v>0</v>
      </c>
    </row>
    <row r="20" spans="1:6" ht="25.5" x14ac:dyDescent="0.2">
      <c r="A20" s="144" t="s">
        <v>230</v>
      </c>
      <c r="B20" s="143">
        <v>6</v>
      </c>
      <c r="C20" s="126">
        <v>2</v>
      </c>
      <c r="D20" s="134">
        <f t="shared" si="1"/>
        <v>8</v>
      </c>
      <c r="E20" s="309"/>
      <c r="F20" s="135">
        <f t="shared" si="0"/>
        <v>0</v>
      </c>
    </row>
    <row r="21" spans="1:6" ht="15" x14ac:dyDescent="0.2">
      <c r="A21" s="515" t="s">
        <v>12</v>
      </c>
      <c r="B21" s="516"/>
      <c r="C21" s="516"/>
      <c r="D21" s="516"/>
      <c r="E21" s="516"/>
      <c r="F21" s="239">
        <f>SUM(F3:F20)</f>
        <v>0</v>
      </c>
    </row>
    <row r="22" spans="1:6" ht="15" x14ac:dyDescent="0.2">
      <c r="A22" s="515" t="s">
        <v>259</v>
      </c>
      <c r="B22" s="516"/>
      <c r="C22" s="516"/>
      <c r="D22" s="516"/>
      <c r="E22" s="516"/>
      <c r="F22" s="239">
        <f>ROUND(F21/6,2)</f>
        <v>0</v>
      </c>
    </row>
    <row r="23" spans="1:6" ht="15" x14ac:dyDescent="0.2">
      <c r="A23" s="515" t="s">
        <v>353</v>
      </c>
      <c r="B23" s="516"/>
      <c r="C23" s="516"/>
      <c r="D23" s="516"/>
      <c r="E23" s="516"/>
      <c r="F23" s="240">
        <f>ROUND(F22/7,)</f>
        <v>0</v>
      </c>
    </row>
    <row r="25" spans="1:6" x14ac:dyDescent="0.2">
      <c r="F25" s="241"/>
    </row>
  </sheetData>
  <mergeCells count="4">
    <mergeCell ref="A23:E23"/>
    <mergeCell ref="A21:E21"/>
    <mergeCell ref="A22:E22"/>
    <mergeCell ref="A1:F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9"/>
  <sheetViews>
    <sheetView workbookViewId="0">
      <selection activeCell="E3" sqref="E3:E15"/>
    </sheetView>
  </sheetViews>
  <sheetFormatPr defaultRowHeight="12.75" x14ac:dyDescent="0.2"/>
  <cols>
    <col min="1" max="1" width="99" customWidth="1"/>
    <col min="2" max="2" width="12.140625" bestFit="1" customWidth="1"/>
    <col min="3" max="3" width="14.85546875" bestFit="1" customWidth="1"/>
    <col min="4" max="4" width="10.28515625" bestFit="1" customWidth="1"/>
    <col min="5" max="5" width="14.28515625" customWidth="1"/>
    <col min="6" max="6" width="11.5703125" bestFit="1" customWidth="1"/>
    <col min="7" max="7" width="11" customWidth="1"/>
    <col min="8" max="8" width="15" customWidth="1"/>
  </cols>
  <sheetData>
    <row r="1" spans="1:8" ht="15" x14ac:dyDescent="0.2">
      <c r="A1" s="522" t="s">
        <v>158</v>
      </c>
      <c r="B1" s="523"/>
      <c r="C1" s="523"/>
      <c r="D1" s="523"/>
      <c r="E1" s="523"/>
      <c r="F1" s="523"/>
      <c r="G1" s="523"/>
      <c r="H1" s="524"/>
    </row>
    <row r="2" spans="1:8" ht="30" x14ac:dyDescent="0.2">
      <c r="A2" s="151" t="s">
        <v>159</v>
      </c>
      <c r="B2" s="151" t="s">
        <v>164</v>
      </c>
      <c r="C2" s="151" t="s">
        <v>165</v>
      </c>
      <c r="D2" s="151" t="s">
        <v>254</v>
      </c>
      <c r="E2" s="151" t="s">
        <v>204</v>
      </c>
      <c r="F2" s="151" t="s">
        <v>252</v>
      </c>
      <c r="G2" s="155" t="s">
        <v>253</v>
      </c>
      <c r="H2" s="151" t="s">
        <v>265</v>
      </c>
    </row>
    <row r="3" spans="1:8" ht="17.25" customHeight="1" x14ac:dyDescent="0.2">
      <c r="A3" s="141" t="s">
        <v>205</v>
      </c>
      <c r="B3" s="142">
        <v>1</v>
      </c>
      <c r="C3" s="134">
        <v>0</v>
      </c>
      <c r="D3" s="134">
        <f>SUM(B3:C3)</f>
        <v>1</v>
      </c>
      <c r="E3" s="309"/>
      <c r="F3" s="145">
        <f>SUM(E3*D3)</f>
        <v>0</v>
      </c>
      <c r="G3" s="156">
        <v>5</v>
      </c>
      <c r="H3" s="158">
        <f>(F3*80%)/(12*G3)</f>
        <v>0</v>
      </c>
    </row>
    <row r="4" spans="1:8" x14ac:dyDescent="0.2">
      <c r="A4" s="141" t="s">
        <v>207</v>
      </c>
      <c r="B4" s="142">
        <v>1</v>
      </c>
      <c r="C4" s="134">
        <v>0</v>
      </c>
      <c r="D4" s="134">
        <f t="shared" ref="D4:D15" si="0">SUM(B4:C4)</f>
        <v>1</v>
      </c>
      <c r="E4" s="309"/>
      <c r="F4" s="145">
        <f t="shared" ref="F4:F15" si="1">SUM(E4*D4)</f>
        <v>0</v>
      </c>
      <c r="G4" s="156">
        <v>5</v>
      </c>
      <c r="H4" s="158">
        <f t="shared" ref="H4:H15" si="2">(F4*80%)/(12*G4)</f>
        <v>0</v>
      </c>
    </row>
    <row r="5" spans="1:8" x14ac:dyDescent="0.2">
      <c r="A5" s="141" t="s">
        <v>210</v>
      </c>
      <c r="B5" s="143">
        <v>1</v>
      </c>
      <c r="C5" s="126">
        <v>1</v>
      </c>
      <c r="D5" s="134">
        <f t="shared" si="0"/>
        <v>2</v>
      </c>
      <c r="E5" s="309"/>
      <c r="F5" s="145">
        <f t="shared" si="1"/>
        <v>0</v>
      </c>
      <c r="G5" s="157">
        <v>5</v>
      </c>
      <c r="H5" s="158">
        <f t="shared" si="2"/>
        <v>0</v>
      </c>
    </row>
    <row r="6" spans="1:8" x14ac:dyDescent="0.2">
      <c r="A6" s="144" t="s">
        <v>214</v>
      </c>
      <c r="B6" s="143">
        <v>3</v>
      </c>
      <c r="C6" s="126">
        <v>1</v>
      </c>
      <c r="D6" s="134">
        <f t="shared" si="0"/>
        <v>4</v>
      </c>
      <c r="E6" s="309"/>
      <c r="F6" s="145">
        <f t="shared" si="1"/>
        <v>0</v>
      </c>
      <c r="G6" s="156">
        <v>5</v>
      </c>
      <c r="H6" s="158">
        <f t="shared" si="2"/>
        <v>0</v>
      </c>
    </row>
    <row r="7" spans="1:8" ht="25.5" x14ac:dyDescent="0.2">
      <c r="A7" s="141" t="s">
        <v>215</v>
      </c>
      <c r="B7" s="143">
        <v>1</v>
      </c>
      <c r="C7" s="126">
        <v>1</v>
      </c>
      <c r="D7" s="134">
        <f t="shared" si="0"/>
        <v>2</v>
      </c>
      <c r="E7" s="309"/>
      <c r="F7" s="145">
        <f t="shared" si="1"/>
        <v>0</v>
      </c>
      <c r="G7" s="156">
        <v>5</v>
      </c>
      <c r="H7" s="158">
        <f t="shared" si="2"/>
        <v>0</v>
      </c>
    </row>
    <row r="8" spans="1:8" x14ac:dyDescent="0.2">
      <c r="A8" s="144" t="s">
        <v>216</v>
      </c>
      <c r="B8" s="143">
        <v>1</v>
      </c>
      <c r="C8" s="126">
        <v>1</v>
      </c>
      <c r="D8" s="134">
        <f t="shared" si="0"/>
        <v>2</v>
      </c>
      <c r="E8" s="309"/>
      <c r="F8" s="145">
        <f t="shared" si="1"/>
        <v>0</v>
      </c>
      <c r="G8" s="156">
        <v>5</v>
      </c>
      <c r="H8" s="158">
        <f t="shared" si="2"/>
        <v>0</v>
      </c>
    </row>
    <row r="9" spans="1:8" x14ac:dyDescent="0.2">
      <c r="A9" s="141" t="s">
        <v>217</v>
      </c>
      <c r="B9" s="143">
        <v>1</v>
      </c>
      <c r="C9" s="126">
        <v>1</v>
      </c>
      <c r="D9" s="134">
        <f t="shared" si="0"/>
        <v>2</v>
      </c>
      <c r="E9" s="309"/>
      <c r="F9" s="145">
        <f t="shared" si="1"/>
        <v>0</v>
      </c>
      <c r="G9" s="156">
        <v>5</v>
      </c>
      <c r="H9" s="158">
        <f t="shared" si="2"/>
        <v>0</v>
      </c>
    </row>
    <row r="10" spans="1:8" ht="38.25" x14ac:dyDescent="0.2">
      <c r="A10" s="141" t="s">
        <v>218</v>
      </c>
      <c r="B10" s="143">
        <v>1</v>
      </c>
      <c r="C10" s="126">
        <v>1</v>
      </c>
      <c r="D10" s="134">
        <f t="shared" si="0"/>
        <v>2</v>
      </c>
      <c r="E10" s="309"/>
      <c r="F10" s="145">
        <f t="shared" si="1"/>
        <v>0</v>
      </c>
      <c r="G10" s="156">
        <v>5</v>
      </c>
      <c r="H10" s="158">
        <f t="shared" si="2"/>
        <v>0</v>
      </c>
    </row>
    <row r="11" spans="1:8" x14ac:dyDescent="0.2">
      <c r="A11" s="141" t="s">
        <v>220</v>
      </c>
      <c r="B11" s="143">
        <v>2</v>
      </c>
      <c r="C11" s="126">
        <v>2</v>
      </c>
      <c r="D11" s="134">
        <f t="shared" si="0"/>
        <v>4</v>
      </c>
      <c r="E11" s="309"/>
      <c r="F11" s="145">
        <f t="shared" si="1"/>
        <v>0</v>
      </c>
      <c r="G11" s="156">
        <v>2</v>
      </c>
      <c r="H11" s="158">
        <f t="shared" si="2"/>
        <v>0</v>
      </c>
    </row>
    <row r="12" spans="1:8" x14ac:dyDescent="0.2">
      <c r="A12" s="141" t="s">
        <v>221</v>
      </c>
      <c r="B12" s="143">
        <v>1</v>
      </c>
      <c r="C12" s="126">
        <v>1</v>
      </c>
      <c r="D12" s="134">
        <f t="shared" si="0"/>
        <v>2</v>
      </c>
      <c r="E12" s="309"/>
      <c r="F12" s="145">
        <f t="shared" si="1"/>
        <v>0</v>
      </c>
      <c r="G12" s="156">
        <v>5</v>
      </c>
      <c r="H12" s="158">
        <f t="shared" si="2"/>
        <v>0</v>
      </c>
    </row>
    <row r="13" spans="1:8" x14ac:dyDescent="0.2">
      <c r="A13" s="141" t="s">
        <v>223</v>
      </c>
      <c r="B13" s="143">
        <v>4</v>
      </c>
      <c r="C13" s="126">
        <v>1</v>
      </c>
      <c r="D13" s="134">
        <f t="shared" si="0"/>
        <v>5</v>
      </c>
      <c r="E13" s="309"/>
      <c r="F13" s="145">
        <f t="shared" si="1"/>
        <v>0</v>
      </c>
      <c r="G13" s="156">
        <v>2</v>
      </c>
      <c r="H13" s="158">
        <f t="shared" si="2"/>
        <v>0</v>
      </c>
    </row>
    <row r="14" spans="1:8" x14ac:dyDescent="0.2">
      <c r="A14" s="144" t="s">
        <v>226</v>
      </c>
      <c r="B14" s="143">
        <v>2</v>
      </c>
      <c r="C14" s="126">
        <v>1</v>
      </c>
      <c r="D14" s="134">
        <f t="shared" si="0"/>
        <v>3</v>
      </c>
      <c r="E14" s="309"/>
      <c r="F14" s="145">
        <f t="shared" si="1"/>
        <v>0</v>
      </c>
      <c r="G14" s="156">
        <v>5</v>
      </c>
      <c r="H14" s="158">
        <f t="shared" si="2"/>
        <v>0</v>
      </c>
    </row>
    <row r="15" spans="1:8" ht="25.5" x14ac:dyDescent="0.2">
      <c r="A15" s="141" t="s">
        <v>231</v>
      </c>
      <c r="B15" s="143">
        <v>6</v>
      </c>
      <c r="C15" s="126">
        <v>2</v>
      </c>
      <c r="D15" s="134">
        <f t="shared" si="0"/>
        <v>8</v>
      </c>
      <c r="E15" s="309"/>
      <c r="F15" s="145">
        <f t="shared" si="1"/>
        <v>0</v>
      </c>
      <c r="G15" s="156">
        <v>5</v>
      </c>
      <c r="H15" s="158">
        <f t="shared" si="2"/>
        <v>0</v>
      </c>
    </row>
    <row r="16" spans="1:8" ht="15" x14ac:dyDescent="0.2">
      <c r="A16" s="519" t="s">
        <v>12</v>
      </c>
      <c r="B16" s="520"/>
      <c r="C16" s="520"/>
      <c r="D16" s="520"/>
      <c r="E16" s="520"/>
      <c r="F16" s="520"/>
      <c r="G16" s="521"/>
      <c r="H16" s="238">
        <f>SUM(H3:H15)</f>
        <v>0</v>
      </c>
    </row>
    <row r="17" spans="1:8" ht="15" x14ac:dyDescent="0.2">
      <c r="A17" s="519" t="s">
        <v>352</v>
      </c>
      <c r="B17" s="520"/>
      <c r="C17" s="520"/>
      <c r="D17" s="520"/>
      <c r="E17" s="520"/>
      <c r="F17" s="520"/>
      <c r="G17" s="521"/>
      <c r="H17" s="238">
        <f>ROUND(H16/7,2)</f>
        <v>0</v>
      </c>
    </row>
    <row r="19" spans="1:8" ht="25.5" x14ac:dyDescent="0.2">
      <c r="A19" s="159" t="s">
        <v>264</v>
      </c>
    </row>
  </sheetData>
  <mergeCells count="3">
    <mergeCell ref="A16:G16"/>
    <mergeCell ref="A17:G17"/>
    <mergeCell ref="A1:H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5"/>
  <sheetViews>
    <sheetView workbookViewId="0">
      <selection activeCell="B32" sqref="B32"/>
    </sheetView>
  </sheetViews>
  <sheetFormatPr defaultRowHeight="12.75" x14ac:dyDescent="0.2"/>
  <cols>
    <col min="1" max="1" width="81.7109375" customWidth="1"/>
    <col min="2" max="2" width="20.140625" bestFit="1" customWidth="1"/>
    <col min="5" max="5" width="7.42578125" bestFit="1" customWidth="1"/>
    <col min="6" max="6" width="7.42578125" customWidth="1"/>
    <col min="7" max="7" width="9.5703125" bestFit="1" customWidth="1"/>
    <col min="8" max="8" width="13.85546875" customWidth="1"/>
    <col min="13" max="13" width="10.7109375" customWidth="1"/>
  </cols>
  <sheetData>
    <row r="1" spans="1:8" x14ac:dyDescent="0.2">
      <c r="A1" s="526" t="s">
        <v>192</v>
      </c>
      <c r="B1" s="526"/>
      <c r="C1" s="526"/>
      <c r="D1" s="526"/>
      <c r="E1" s="526"/>
      <c r="F1" s="526"/>
      <c r="G1" s="526"/>
      <c r="H1" s="526"/>
    </row>
    <row r="2" spans="1:8" ht="38.25" x14ac:dyDescent="0.2">
      <c r="A2" s="146" t="s">
        <v>166</v>
      </c>
      <c r="B2" s="149" t="s">
        <v>240</v>
      </c>
      <c r="C2" s="147" t="s">
        <v>167</v>
      </c>
      <c r="D2" s="146" t="s">
        <v>168</v>
      </c>
      <c r="E2" s="148" t="s">
        <v>251</v>
      </c>
      <c r="F2" s="148" t="s">
        <v>257</v>
      </c>
      <c r="G2" s="148" t="s">
        <v>140</v>
      </c>
      <c r="H2" s="148" t="s">
        <v>256</v>
      </c>
    </row>
    <row r="3" spans="1:8" ht="25.5" x14ac:dyDescent="0.2">
      <c r="A3" s="150" t="s">
        <v>233</v>
      </c>
      <c r="B3" s="160" t="s">
        <v>241</v>
      </c>
      <c r="C3" s="160" t="s">
        <v>172</v>
      </c>
      <c r="D3" s="160">
        <v>6</v>
      </c>
      <c r="E3" s="160">
        <v>2</v>
      </c>
      <c r="F3" s="160">
        <f>SUM(D3:E3)</f>
        <v>8</v>
      </c>
      <c r="G3" s="310"/>
      <c r="H3" s="136">
        <f>G3*F3</f>
        <v>0</v>
      </c>
    </row>
    <row r="4" spans="1:8" x14ac:dyDescent="0.2">
      <c r="A4" s="150" t="s">
        <v>169</v>
      </c>
      <c r="B4" s="160" t="s">
        <v>203</v>
      </c>
      <c r="C4" s="160" t="s">
        <v>255</v>
      </c>
      <c r="D4" s="160">
        <v>30</v>
      </c>
      <c r="E4" s="160">
        <v>10</v>
      </c>
      <c r="F4" s="160">
        <f t="shared" ref="F4:F23" si="0">SUM(D4:E4)</f>
        <v>40</v>
      </c>
      <c r="G4" s="310"/>
      <c r="H4" s="136">
        <f t="shared" ref="H4:H23" si="1">G4*F4</f>
        <v>0</v>
      </c>
    </row>
    <row r="5" spans="1:8" x14ac:dyDescent="0.2">
      <c r="A5" s="150" t="s">
        <v>170</v>
      </c>
      <c r="B5" s="160" t="s">
        <v>242</v>
      </c>
      <c r="C5" s="160" t="s">
        <v>172</v>
      </c>
      <c r="D5" s="160">
        <v>6</v>
      </c>
      <c r="E5" s="160">
        <v>2</v>
      </c>
      <c r="F5" s="160">
        <f t="shared" si="0"/>
        <v>8</v>
      </c>
      <c r="G5" s="310"/>
      <c r="H5" s="136">
        <f t="shared" si="1"/>
        <v>0</v>
      </c>
    </row>
    <row r="6" spans="1:8" x14ac:dyDescent="0.2">
      <c r="A6" s="150" t="s">
        <v>171</v>
      </c>
      <c r="B6" s="160" t="s">
        <v>243</v>
      </c>
      <c r="C6" s="160" t="s">
        <v>172</v>
      </c>
      <c r="D6" s="160">
        <v>6</v>
      </c>
      <c r="E6" s="161">
        <v>2</v>
      </c>
      <c r="F6" s="160">
        <f t="shared" si="0"/>
        <v>8</v>
      </c>
      <c r="G6" s="310"/>
      <c r="H6" s="136">
        <f t="shared" si="1"/>
        <v>0</v>
      </c>
    </row>
    <row r="7" spans="1:8" x14ac:dyDescent="0.2">
      <c r="A7" s="150" t="s">
        <v>234</v>
      </c>
      <c r="B7" s="160" t="s">
        <v>244</v>
      </c>
      <c r="C7" s="160" t="s">
        <v>173</v>
      </c>
      <c r="D7" s="160">
        <v>24</v>
      </c>
      <c r="E7" s="160">
        <v>8</v>
      </c>
      <c r="F7" s="160">
        <f t="shared" si="0"/>
        <v>32</v>
      </c>
      <c r="G7" s="310"/>
      <c r="H7" s="136">
        <f t="shared" si="1"/>
        <v>0</v>
      </c>
    </row>
    <row r="8" spans="1:8" x14ac:dyDescent="0.2">
      <c r="A8" s="150" t="s">
        <v>174</v>
      </c>
      <c r="B8" s="160" t="s">
        <v>203</v>
      </c>
      <c r="C8" s="160" t="s">
        <v>175</v>
      </c>
      <c r="D8" s="160">
        <v>60</v>
      </c>
      <c r="E8" s="160">
        <v>20</v>
      </c>
      <c r="F8" s="160">
        <f t="shared" si="0"/>
        <v>80</v>
      </c>
      <c r="G8" s="310"/>
      <c r="H8" s="136">
        <f t="shared" si="1"/>
        <v>0</v>
      </c>
    </row>
    <row r="9" spans="1:8" ht="25.5" x14ac:dyDescent="0.2">
      <c r="A9" s="150" t="s">
        <v>235</v>
      </c>
      <c r="B9" s="160" t="s">
        <v>245</v>
      </c>
      <c r="C9" s="160" t="s">
        <v>173</v>
      </c>
      <c r="D9" s="160">
        <v>24</v>
      </c>
      <c r="E9" s="160">
        <v>8</v>
      </c>
      <c r="F9" s="160">
        <f t="shared" si="0"/>
        <v>32</v>
      </c>
      <c r="G9" s="310"/>
      <c r="H9" s="136">
        <f t="shared" si="1"/>
        <v>0</v>
      </c>
    </row>
    <row r="10" spans="1:8" x14ac:dyDescent="0.2">
      <c r="A10" s="150" t="s">
        <v>176</v>
      </c>
      <c r="B10" s="160" t="s">
        <v>246</v>
      </c>
      <c r="C10" s="160" t="s">
        <v>175</v>
      </c>
      <c r="D10" s="160">
        <v>24</v>
      </c>
      <c r="E10" s="160">
        <v>8</v>
      </c>
      <c r="F10" s="160">
        <f t="shared" si="0"/>
        <v>32</v>
      </c>
      <c r="G10" s="310"/>
      <c r="H10" s="136">
        <f t="shared" si="1"/>
        <v>0</v>
      </c>
    </row>
    <row r="11" spans="1:8" x14ac:dyDescent="0.2">
      <c r="A11" s="150" t="s">
        <v>177</v>
      </c>
      <c r="B11" s="160" t="s">
        <v>247</v>
      </c>
      <c r="C11" s="160" t="s">
        <v>187</v>
      </c>
      <c r="D11" s="160">
        <v>6</v>
      </c>
      <c r="E11" s="160">
        <v>2</v>
      </c>
      <c r="F11" s="160">
        <f t="shared" si="0"/>
        <v>8</v>
      </c>
      <c r="G11" s="310"/>
      <c r="H11" s="136">
        <f t="shared" si="1"/>
        <v>0</v>
      </c>
    </row>
    <row r="12" spans="1:8" x14ac:dyDescent="0.2">
      <c r="A12" s="150" t="s">
        <v>178</v>
      </c>
      <c r="B12" s="160" t="s">
        <v>203</v>
      </c>
      <c r="C12" s="160" t="s">
        <v>232</v>
      </c>
      <c r="D12" s="160">
        <v>30</v>
      </c>
      <c r="E12" s="161">
        <v>8</v>
      </c>
      <c r="F12" s="160">
        <f t="shared" si="0"/>
        <v>38</v>
      </c>
      <c r="G12" s="310"/>
      <c r="H12" s="136">
        <f t="shared" si="1"/>
        <v>0</v>
      </c>
    </row>
    <row r="13" spans="1:8" x14ac:dyDescent="0.2">
      <c r="A13" s="150" t="s">
        <v>236</v>
      </c>
      <c r="B13" s="160" t="s">
        <v>243</v>
      </c>
      <c r="C13" s="160" t="s">
        <v>173</v>
      </c>
      <c r="D13" s="160">
        <v>1</v>
      </c>
      <c r="E13" s="160">
        <v>1</v>
      </c>
      <c r="F13" s="160">
        <f t="shared" si="0"/>
        <v>2</v>
      </c>
      <c r="G13" s="310"/>
      <c r="H13" s="136">
        <f t="shared" si="1"/>
        <v>0</v>
      </c>
    </row>
    <row r="14" spans="1:8" x14ac:dyDescent="0.2">
      <c r="A14" s="150" t="s">
        <v>179</v>
      </c>
      <c r="B14" s="160" t="s">
        <v>203</v>
      </c>
      <c r="C14" s="160" t="s">
        <v>173</v>
      </c>
      <c r="D14" s="160">
        <v>6</v>
      </c>
      <c r="E14" s="160">
        <v>2</v>
      </c>
      <c r="F14" s="160">
        <f t="shared" si="0"/>
        <v>8</v>
      </c>
      <c r="G14" s="310"/>
      <c r="H14" s="136">
        <f t="shared" si="1"/>
        <v>0</v>
      </c>
    </row>
    <row r="15" spans="1:8" x14ac:dyDescent="0.2">
      <c r="A15" s="150" t="s">
        <v>180</v>
      </c>
      <c r="B15" s="160" t="s">
        <v>243</v>
      </c>
      <c r="C15" s="160" t="s">
        <v>173</v>
      </c>
      <c r="D15" s="160">
        <v>12</v>
      </c>
      <c r="E15" s="160">
        <v>4</v>
      </c>
      <c r="F15" s="160">
        <f t="shared" si="0"/>
        <v>16</v>
      </c>
      <c r="G15" s="310"/>
      <c r="H15" s="136">
        <f t="shared" si="1"/>
        <v>0</v>
      </c>
    </row>
    <row r="16" spans="1:8" x14ac:dyDescent="0.2">
      <c r="A16" s="150" t="s">
        <v>237</v>
      </c>
      <c r="B16" s="160" t="s">
        <v>248</v>
      </c>
      <c r="C16" s="160" t="s">
        <v>152</v>
      </c>
      <c r="D16" s="160">
        <v>24</v>
      </c>
      <c r="E16" s="160">
        <v>8</v>
      </c>
      <c r="F16" s="160">
        <f t="shared" si="0"/>
        <v>32</v>
      </c>
      <c r="G16" s="310"/>
      <c r="H16" s="136">
        <f t="shared" si="1"/>
        <v>0</v>
      </c>
    </row>
    <row r="17" spans="1:8" x14ac:dyDescent="0.2">
      <c r="A17" s="150" t="s">
        <v>181</v>
      </c>
      <c r="B17" s="160" t="s">
        <v>249</v>
      </c>
      <c r="C17" s="160" t="s">
        <v>187</v>
      </c>
      <c r="D17" s="160">
        <v>6</v>
      </c>
      <c r="E17" s="160">
        <v>2</v>
      </c>
      <c r="F17" s="160">
        <f t="shared" si="0"/>
        <v>8</v>
      </c>
      <c r="G17" s="310"/>
      <c r="H17" s="136">
        <f t="shared" si="1"/>
        <v>0</v>
      </c>
    </row>
    <row r="18" spans="1:8" ht="25.5" x14ac:dyDescent="0.2">
      <c r="A18" s="150" t="s">
        <v>182</v>
      </c>
      <c r="B18" s="160" t="s">
        <v>203</v>
      </c>
      <c r="C18" s="160" t="s">
        <v>175</v>
      </c>
      <c r="D18" s="160">
        <v>30</v>
      </c>
      <c r="E18" s="160">
        <v>8</v>
      </c>
      <c r="F18" s="160">
        <f t="shared" si="0"/>
        <v>38</v>
      </c>
      <c r="G18" s="310"/>
      <c r="H18" s="136">
        <f t="shared" si="1"/>
        <v>0</v>
      </c>
    </row>
    <row r="19" spans="1:8" ht="25.5" x14ac:dyDescent="0.2">
      <c r="A19" s="150" t="s">
        <v>184</v>
      </c>
      <c r="B19" s="160" t="s">
        <v>203</v>
      </c>
      <c r="C19" s="160" t="s">
        <v>183</v>
      </c>
      <c r="D19" s="160">
        <v>2</v>
      </c>
      <c r="E19" s="160">
        <v>2</v>
      </c>
      <c r="F19" s="160">
        <f t="shared" si="0"/>
        <v>4</v>
      </c>
      <c r="G19" s="310"/>
      <c r="H19" s="136">
        <f t="shared" si="1"/>
        <v>0</v>
      </c>
    </row>
    <row r="20" spans="1:8" ht="25.5" x14ac:dyDescent="0.2">
      <c r="A20" s="150" t="s">
        <v>185</v>
      </c>
      <c r="B20" s="160" t="s">
        <v>203</v>
      </c>
      <c r="C20" s="160" t="s">
        <v>183</v>
      </c>
      <c r="D20" s="160">
        <v>3</v>
      </c>
      <c r="E20" s="160">
        <v>2</v>
      </c>
      <c r="F20" s="160">
        <f t="shared" si="0"/>
        <v>5</v>
      </c>
      <c r="G20" s="310"/>
      <c r="H20" s="136">
        <f t="shared" si="1"/>
        <v>0</v>
      </c>
    </row>
    <row r="21" spans="1:8" x14ac:dyDescent="0.2">
      <c r="A21" s="150" t="s">
        <v>186</v>
      </c>
      <c r="B21" s="160" t="s">
        <v>203</v>
      </c>
      <c r="C21" s="160" t="s">
        <v>183</v>
      </c>
      <c r="D21" s="160">
        <v>4</v>
      </c>
      <c r="E21" s="160">
        <v>2</v>
      </c>
      <c r="F21" s="160">
        <f t="shared" si="0"/>
        <v>6</v>
      </c>
      <c r="G21" s="310"/>
      <c r="H21" s="136">
        <f t="shared" si="1"/>
        <v>0</v>
      </c>
    </row>
    <row r="22" spans="1:8" ht="25.5" x14ac:dyDescent="0.2">
      <c r="A22" s="150" t="s">
        <v>238</v>
      </c>
      <c r="B22" s="160" t="s">
        <v>250</v>
      </c>
      <c r="C22" s="160" t="s">
        <v>187</v>
      </c>
      <c r="D22" s="160">
        <v>6</v>
      </c>
      <c r="E22" s="160">
        <v>2</v>
      </c>
      <c r="F22" s="160">
        <f t="shared" si="0"/>
        <v>8</v>
      </c>
      <c r="G22" s="310"/>
      <c r="H22" s="136">
        <f t="shared" si="1"/>
        <v>0</v>
      </c>
    </row>
    <row r="23" spans="1:8" x14ac:dyDescent="0.2">
      <c r="A23" s="150" t="s">
        <v>239</v>
      </c>
      <c r="B23" s="160" t="s">
        <v>250</v>
      </c>
      <c r="C23" s="160" t="s">
        <v>188</v>
      </c>
      <c r="D23" s="160">
        <v>6</v>
      </c>
      <c r="E23" s="161">
        <v>2</v>
      </c>
      <c r="F23" s="160">
        <f t="shared" si="0"/>
        <v>8</v>
      </c>
      <c r="G23" s="310"/>
      <c r="H23" s="136">
        <f t="shared" si="1"/>
        <v>0</v>
      </c>
    </row>
    <row r="24" spans="1:8" x14ac:dyDescent="0.2">
      <c r="A24" s="525" t="s">
        <v>29</v>
      </c>
      <c r="B24" s="525"/>
      <c r="C24" s="525"/>
      <c r="D24" s="525"/>
      <c r="E24" s="525"/>
      <c r="F24" s="525"/>
      <c r="G24" s="525"/>
      <c r="H24" s="162">
        <f>SUM(H3:H23)</f>
        <v>0</v>
      </c>
    </row>
    <row r="25" spans="1:8" x14ac:dyDescent="0.2">
      <c r="A25" s="525" t="s">
        <v>354</v>
      </c>
      <c r="B25" s="525"/>
      <c r="C25" s="525"/>
      <c r="D25" s="525"/>
      <c r="E25" s="525"/>
      <c r="F25" s="525"/>
      <c r="G25" s="525"/>
      <c r="H25" s="162">
        <f>ROUND(H24/7,2)</f>
        <v>0</v>
      </c>
    </row>
  </sheetData>
  <mergeCells count="3">
    <mergeCell ref="A24:G24"/>
    <mergeCell ref="A25:G25"/>
    <mergeCell ref="A1:H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E22E7-A54A-4D92-A6D2-761D832239F3}">
  <dimension ref="A1:Y64"/>
  <sheetViews>
    <sheetView topLeftCell="A4" workbookViewId="0">
      <selection activeCell="O6" sqref="O6"/>
    </sheetView>
  </sheetViews>
  <sheetFormatPr defaultColWidth="8.85546875" defaultRowHeight="17.25" x14ac:dyDescent="0.3"/>
  <cols>
    <col min="1" max="1" width="31.5703125" style="163" customWidth="1"/>
    <col min="2" max="6" width="17" style="163" customWidth="1"/>
    <col min="7" max="7" width="20.140625" style="163" customWidth="1"/>
    <col min="8" max="8" width="25.140625" style="163" customWidth="1"/>
    <col min="9" max="11" width="17" style="163" customWidth="1"/>
    <col min="12" max="12" width="18.5703125" style="163" customWidth="1"/>
    <col min="13" max="16" width="17.7109375" style="163" customWidth="1"/>
    <col min="17" max="17" width="15.7109375" style="163" customWidth="1"/>
    <col min="18" max="18" width="25.5703125" style="163" bestFit="1" customWidth="1"/>
    <col min="19" max="19" width="28.85546875" style="163" customWidth="1"/>
    <col min="20" max="22" width="17.28515625" style="163" customWidth="1"/>
    <col min="23" max="23" width="14" style="163" customWidth="1"/>
    <col min="24" max="25" width="11.7109375" style="163" customWidth="1"/>
    <col min="26" max="26" width="12.7109375" style="163" customWidth="1"/>
    <col min="27" max="28" width="11.7109375" style="163" customWidth="1"/>
    <col min="29" max="30" width="14.7109375" style="163" customWidth="1"/>
    <col min="31" max="31" width="7.7109375" style="163" customWidth="1"/>
    <col min="32" max="32" width="35.7109375" style="163" customWidth="1"/>
    <col min="33" max="34" width="17.140625" style="163" customWidth="1"/>
    <col min="35" max="249" width="8.85546875" style="163"/>
    <col min="250" max="250" width="30.7109375" style="163" customWidth="1"/>
    <col min="251" max="264" width="17" style="163" customWidth="1"/>
    <col min="265" max="269" width="17.7109375" style="163" customWidth="1"/>
    <col min="270" max="270" width="47.28515625" style="163" bestFit="1" customWidth="1"/>
    <col min="271" max="273" width="15.7109375" style="163" customWidth="1"/>
    <col min="274" max="274" width="25.5703125" style="163" bestFit="1" customWidth="1"/>
    <col min="275" max="275" width="28.85546875" style="163" customWidth="1"/>
    <col min="276" max="278" width="17.28515625" style="163" customWidth="1"/>
    <col min="279" max="279" width="14" style="163" customWidth="1"/>
    <col min="280" max="281" width="11.7109375" style="163" customWidth="1"/>
    <col min="282" max="282" width="12.7109375" style="163" customWidth="1"/>
    <col min="283" max="284" width="11.7109375" style="163" customWidth="1"/>
    <col min="285" max="286" width="14.7109375" style="163" customWidth="1"/>
    <col min="287" max="287" width="7.7109375" style="163" customWidth="1"/>
    <col min="288" max="288" width="35.7109375" style="163" customWidth="1"/>
    <col min="289" max="290" width="17.140625" style="163" customWidth="1"/>
    <col min="291" max="505" width="8.85546875" style="163"/>
    <col min="506" max="506" width="30.7109375" style="163" customWidth="1"/>
    <col min="507" max="520" width="17" style="163" customWidth="1"/>
    <col min="521" max="525" width="17.7109375" style="163" customWidth="1"/>
    <col min="526" max="526" width="47.28515625" style="163" bestFit="1" customWidth="1"/>
    <col min="527" max="529" width="15.7109375" style="163" customWidth="1"/>
    <col min="530" max="530" width="25.5703125" style="163" bestFit="1" customWidth="1"/>
    <col min="531" max="531" width="28.85546875" style="163" customWidth="1"/>
    <col min="532" max="534" width="17.28515625" style="163" customWidth="1"/>
    <col min="535" max="535" width="14" style="163" customWidth="1"/>
    <col min="536" max="537" width="11.7109375" style="163" customWidth="1"/>
    <col min="538" max="538" width="12.7109375" style="163" customWidth="1"/>
    <col min="539" max="540" width="11.7109375" style="163" customWidth="1"/>
    <col min="541" max="542" width="14.7109375" style="163" customWidth="1"/>
    <col min="543" max="543" width="7.7109375" style="163" customWidth="1"/>
    <col min="544" max="544" width="35.7109375" style="163" customWidth="1"/>
    <col min="545" max="546" width="17.140625" style="163" customWidth="1"/>
    <col min="547" max="761" width="8.85546875" style="163"/>
    <col min="762" max="762" width="30.7109375" style="163" customWidth="1"/>
    <col min="763" max="776" width="17" style="163" customWidth="1"/>
    <col min="777" max="781" width="17.7109375" style="163" customWidth="1"/>
    <col min="782" max="782" width="47.28515625" style="163" bestFit="1" customWidth="1"/>
    <col min="783" max="785" width="15.7109375" style="163" customWidth="1"/>
    <col min="786" max="786" width="25.5703125" style="163" bestFit="1" customWidth="1"/>
    <col min="787" max="787" width="28.85546875" style="163" customWidth="1"/>
    <col min="788" max="790" width="17.28515625" style="163" customWidth="1"/>
    <col min="791" max="791" width="14" style="163" customWidth="1"/>
    <col min="792" max="793" width="11.7109375" style="163" customWidth="1"/>
    <col min="794" max="794" width="12.7109375" style="163" customWidth="1"/>
    <col min="795" max="796" width="11.7109375" style="163" customWidth="1"/>
    <col min="797" max="798" width="14.7109375" style="163" customWidth="1"/>
    <col min="799" max="799" width="7.7109375" style="163" customWidth="1"/>
    <col min="800" max="800" width="35.7109375" style="163" customWidth="1"/>
    <col min="801" max="802" width="17.140625" style="163" customWidth="1"/>
    <col min="803" max="1017" width="8.85546875" style="163"/>
    <col min="1018" max="1018" width="30.7109375" style="163" customWidth="1"/>
    <col min="1019" max="1032" width="17" style="163" customWidth="1"/>
    <col min="1033" max="1037" width="17.7109375" style="163" customWidth="1"/>
    <col min="1038" max="1038" width="47.28515625" style="163" bestFit="1" customWidth="1"/>
    <col min="1039" max="1041" width="15.7109375" style="163" customWidth="1"/>
    <col min="1042" max="1042" width="25.5703125" style="163" bestFit="1" customWidth="1"/>
    <col min="1043" max="1043" width="28.85546875" style="163" customWidth="1"/>
    <col min="1044" max="1046" width="17.28515625" style="163" customWidth="1"/>
    <col min="1047" max="1047" width="14" style="163" customWidth="1"/>
    <col min="1048" max="1049" width="11.7109375" style="163" customWidth="1"/>
    <col min="1050" max="1050" width="12.7109375" style="163" customWidth="1"/>
    <col min="1051" max="1052" width="11.7109375" style="163" customWidth="1"/>
    <col min="1053" max="1054" width="14.7109375" style="163" customWidth="1"/>
    <col min="1055" max="1055" width="7.7109375" style="163" customWidth="1"/>
    <col min="1056" max="1056" width="35.7109375" style="163" customWidth="1"/>
    <col min="1057" max="1058" width="17.140625" style="163" customWidth="1"/>
    <col min="1059" max="1273" width="8.85546875" style="163"/>
    <col min="1274" max="1274" width="30.7109375" style="163" customWidth="1"/>
    <col min="1275" max="1288" width="17" style="163" customWidth="1"/>
    <col min="1289" max="1293" width="17.7109375" style="163" customWidth="1"/>
    <col min="1294" max="1294" width="47.28515625" style="163" bestFit="1" customWidth="1"/>
    <col min="1295" max="1297" width="15.7109375" style="163" customWidth="1"/>
    <col min="1298" max="1298" width="25.5703125" style="163" bestFit="1" customWidth="1"/>
    <col min="1299" max="1299" width="28.85546875" style="163" customWidth="1"/>
    <col min="1300" max="1302" width="17.28515625" style="163" customWidth="1"/>
    <col min="1303" max="1303" width="14" style="163" customWidth="1"/>
    <col min="1304" max="1305" width="11.7109375" style="163" customWidth="1"/>
    <col min="1306" max="1306" width="12.7109375" style="163" customWidth="1"/>
    <col min="1307" max="1308" width="11.7109375" style="163" customWidth="1"/>
    <col min="1309" max="1310" width="14.7109375" style="163" customWidth="1"/>
    <col min="1311" max="1311" width="7.7109375" style="163" customWidth="1"/>
    <col min="1312" max="1312" width="35.7109375" style="163" customWidth="1"/>
    <col min="1313" max="1314" width="17.140625" style="163" customWidth="1"/>
    <col min="1315" max="1529" width="8.85546875" style="163"/>
    <col min="1530" max="1530" width="30.7109375" style="163" customWidth="1"/>
    <col min="1531" max="1544" width="17" style="163" customWidth="1"/>
    <col min="1545" max="1549" width="17.7109375" style="163" customWidth="1"/>
    <col min="1550" max="1550" width="47.28515625" style="163" bestFit="1" customWidth="1"/>
    <col min="1551" max="1553" width="15.7109375" style="163" customWidth="1"/>
    <col min="1554" max="1554" width="25.5703125" style="163" bestFit="1" customWidth="1"/>
    <col min="1555" max="1555" width="28.85546875" style="163" customWidth="1"/>
    <col min="1556" max="1558" width="17.28515625" style="163" customWidth="1"/>
    <col min="1559" max="1559" width="14" style="163" customWidth="1"/>
    <col min="1560" max="1561" width="11.7109375" style="163" customWidth="1"/>
    <col min="1562" max="1562" width="12.7109375" style="163" customWidth="1"/>
    <col min="1563" max="1564" width="11.7109375" style="163" customWidth="1"/>
    <col min="1565" max="1566" width="14.7109375" style="163" customWidth="1"/>
    <col min="1567" max="1567" width="7.7109375" style="163" customWidth="1"/>
    <col min="1568" max="1568" width="35.7109375" style="163" customWidth="1"/>
    <col min="1569" max="1570" width="17.140625" style="163" customWidth="1"/>
    <col min="1571" max="1785" width="8.85546875" style="163"/>
    <col min="1786" max="1786" width="30.7109375" style="163" customWidth="1"/>
    <col min="1787" max="1800" width="17" style="163" customWidth="1"/>
    <col min="1801" max="1805" width="17.7109375" style="163" customWidth="1"/>
    <col min="1806" max="1806" width="47.28515625" style="163" bestFit="1" customWidth="1"/>
    <col min="1807" max="1809" width="15.7109375" style="163" customWidth="1"/>
    <col min="1810" max="1810" width="25.5703125" style="163" bestFit="1" customWidth="1"/>
    <col min="1811" max="1811" width="28.85546875" style="163" customWidth="1"/>
    <col min="1812" max="1814" width="17.28515625" style="163" customWidth="1"/>
    <col min="1815" max="1815" width="14" style="163" customWidth="1"/>
    <col min="1816" max="1817" width="11.7109375" style="163" customWidth="1"/>
    <col min="1818" max="1818" width="12.7109375" style="163" customWidth="1"/>
    <col min="1819" max="1820" width="11.7109375" style="163" customWidth="1"/>
    <col min="1821" max="1822" width="14.7109375" style="163" customWidth="1"/>
    <col min="1823" max="1823" width="7.7109375" style="163" customWidth="1"/>
    <col min="1824" max="1824" width="35.7109375" style="163" customWidth="1"/>
    <col min="1825" max="1826" width="17.140625" style="163" customWidth="1"/>
    <col min="1827" max="2041" width="8.85546875" style="163"/>
    <col min="2042" max="2042" width="30.7109375" style="163" customWidth="1"/>
    <col min="2043" max="2056" width="17" style="163" customWidth="1"/>
    <col min="2057" max="2061" width="17.7109375" style="163" customWidth="1"/>
    <col min="2062" max="2062" width="47.28515625" style="163" bestFit="1" customWidth="1"/>
    <col min="2063" max="2065" width="15.7109375" style="163" customWidth="1"/>
    <col min="2066" max="2066" width="25.5703125" style="163" bestFit="1" customWidth="1"/>
    <col min="2067" max="2067" width="28.85546875" style="163" customWidth="1"/>
    <col min="2068" max="2070" width="17.28515625" style="163" customWidth="1"/>
    <col min="2071" max="2071" width="14" style="163" customWidth="1"/>
    <col min="2072" max="2073" width="11.7109375" style="163" customWidth="1"/>
    <col min="2074" max="2074" width="12.7109375" style="163" customWidth="1"/>
    <col min="2075" max="2076" width="11.7109375" style="163" customWidth="1"/>
    <col min="2077" max="2078" width="14.7109375" style="163" customWidth="1"/>
    <col min="2079" max="2079" width="7.7109375" style="163" customWidth="1"/>
    <col min="2080" max="2080" width="35.7109375" style="163" customWidth="1"/>
    <col min="2081" max="2082" width="17.140625" style="163" customWidth="1"/>
    <col min="2083" max="2297" width="8.85546875" style="163"/>
    <col min="2298" max="2298" width="30.7109375" style="163" customWidth="1"/>
    <col min="2299" max="2312" width="17" style="163" customWidth="1"/>
    <col min="2313" max="2317" width="17.7109375" style="163" customWidth="1"/>
    <col min="2318" max="2318" width="47.28515625" style="163" bestFit="1" customWidth="1"/>
    <col min="2319" max="2321" width="15.7109375" style="163" customWidth="1"/>
    <col min="2322" max="2322" width="25.5703125" style="163" bestFit="1" customWidth="1"/>
    <col min="2323" max="2323" width="28.85546875" style="163" customWidth="1"/>
    <col min="2324" max="2326" width="17.28515625" style="163" customWidth="1"/>
    <col min="2327" max="2327" width="14" style="163" customWidth="1"/>
    <col min="2328" max="2329" width="11.7109375" style="163" customWidth="1"/>
    <col min="2330" max="2330" width="12.7109375" style="163" customWidth="1"/>
    <col min="2331" max="2332" width="11.7109375" style="163" customWidth="1"/>
    <col min="2333" max="2334" width="14.7109375" style="163" customWidth="1"/>
    <col min="2335" max="2335" width="7.7109375" style="163" customWidth="1"/>
    <col min="2336" max="2336" width="35.7109375" style="163" customWidth="1"/>
    <col min="2337" max="2338" width="17.140625" style="163" customWidth="1"/>
    <col min="2339" max="2553" width="8.85546875" style="163"/>
    <col min="2554" max="2554" width="30.7109375" style="163" customWidth="1"/>
    <col min="2555" max="2568" width="17" style="163" customWidth="1"/>
    <col min="2569" max="2573" width="17.7109375" style="163" customWidth="1"/>
    <col min="2574" max="2574" width="47.28515625" style="163" bestFit="1" customWidth="1"/>
    <col min="2575" max="2577" width="15.7109375" style="163" customWidth="1"/>
    <col min="2578" max="2578" width="25.5703125" style="163" bestFit="1" customWidth="1"/>
    <col min="2579" max="2579" width="28.85546875" style="163" customWidth="1"/>
    <col min="2580" max="2582" width="17.28515625" style="163" customWidth="1"/>
    <col min="2583" max="2583" width="14" style="163" customWidth="1"/>
    <col min="2584" max="2585" width="11.7109375" style="163" customWidth="1"/>
    <col min="2586" max="2586" width="12.7109375" style="163" customWidth="1"/>
    <col min="2587" max="2588" width="11.7109375" style="163" customWidth="1"/>
    <col min="2589" max="2590" width="14.7109375" style="163" customWidth="1"/>
    <col min="2591" max="2591" width="7.7109375" style="163" customWidth="1"/>
    <col min="2592" max="2592" width="35.7109375" style="163" customWidth="1"/>
    <col min="2593" max="2594" width="17.140625" style="163" customWidth="1"/>
    <col min="2595" max="2809" width="8.85546875" style="163"/>
    <col min="2810" max="2810" width="30.7109375" style="163" customWidth="1"/>
    <col min="2811" max="2824" width="17" style="163" customWidth="1"/>
    <col min="2825" max="2829" width="17.7109375" style="163" customWidth="1"/>
    <col min="2830" max="2830" width="47.28515625" style="163" bestFit="1" customWidth="1"/>
    <col min="2831" max="2833" width="15.7109375" style="163" customWidth="1"/>
    <col min="2834" max="2834" width="25.5703125" style="163" bestFit="1" customWidth="1"/>
    <col min="2835" max="2835" width="28.85546875" style="163" customWidth="1"/>
    <col min="2836" max="2838" width="17.28515625" style="163" customWidth="1"/>
    <col min="2839" max="2839" width="14" style="163" customWidth="1"/>
    <col min="2840" max="2841" width="11.7109375" style="163" customWidth="1"/>
    <col min="2842" max="2842" width="12.7109375" style="163" customWidth="1"/>
    <col min="2843" max="2844" width="11.7109375" style="163" customWidth="1"/>
    <col min="2845" max="2846" width="14.7109375" style="163" customWidth="1"/>
    <col min="2847" max="2847" width="7.7109375" style="163" customWidth="1"/>
    <col min="2848" max="2848" width="35.7109375" style="163" customWidth="1"/>
    <col min="2849" max="2850" width="17.140625" style="163" customWidth="1"/>
    <col min="2851" max="3065" width="8.85546875" style="163"/>
    <col min="3066" max="3066" width="30.7109375" style="163" customWidth="1"/>
    <col min="3067" max="3080" width="17" style="163" customWidth="1"/>
    <col min="3081" max="3085" width="17.7109375" style="163" customWidth="1"/>
    <col min="3086" max="3086" width="47.28515625" style="163" bestFit="1" customWidth="1"/>
    <col min="3087" max="3089" width="15.7109375" style="163" customWidth="1"/>
    <col min="3090" max="3090" width="25.5703125" style="163" bestFit="1" customWidth="1"/>
    <col min="3091" max="3091" width="28.85546875" style="163" customWidth="1"/>
    <col min="3092" max="3094" width="17.28515625" style="163" customWidth="1"/>
    <col min="3095" max="3095" width="14" style="163" customWidth="1"/>
    <col min="3096" max="3097" width="11.7109375" style="163" customWidth="1"/>
    <col min="3098" max="3098" width="12.7109375" style="163" customWidth="1"/>
    <col min="3099" max="3100" width="11.7109375" style="163" customWidth="1"/>
    <col min="3101" max="3102" width="14.7109375" style="163" customWidth="1"/>
    <col min="3103" max="3103" width="7.7109375" style="163" customWidth="1"/>
    <col min="3104" max="3104" width="35.7109375" style="163" customWidth="1"/>
    <col min="3105" max="3106" width="17.140625" style="163" customWidth="1"/>
    <col min="3107" max="3321" width="8.85546875" style="163"/>
    <col min="3322" max="3322" width="30.7109375" style="163" customWidth="1"/>
    <col min="3323" max="3336" width="17" style="163" customWidth="1"/>
    <col min="3337" max="3341" width="17.7109375" style="163" customWidth="1"/>
    <col min="3342" max="3342" width="47.28515625" style="163" bestFit="1" customWidth="1"/>
    <col min="3343" max="3345" width="15.7109375" style="163" customWidth="1"/>
    <col min="3346" max="3346" width="25.5703125" style="163" bestFit="1" customWidth="1"/>
    <col min="3347" max="3347" width="28.85546875" style="163" customWidth="1"/>
    <col min="3348" max="3350" width="17.28515625" style="163" customWidth="1"/>
    <col min="3351" max="3351" width="14" style="163" customWidth="1"/>
    <col min="3352" max="3353" width="11.7109375" style="163" customWidth="1"/>
    <col min="3354" max="3354" width="12.7109375" style="163" customWidth="1"/>
    <col min="3355" max="3356" width="11.7109375" style="163" customWidth="1"/>
    <col min="3357" max="3358" width="14.7109375" style="163" customWidth="1"/>
    <col min="3359" max="3359" width="7.7109375" style="163" customWidth="1"/>
    <col min="3360" max="3360" width="35.7109375" style="163" customWidth="1"/>
    <col min="3361" max="3362" width="17.140625" style="163" customWidth="1"/>
    <col min="3363" max="3577" width="8.85546875" style="163"/>
    <col min="3578" max="3578" width="30.7109375" style="163" customWidth="1"/>
    <col min="3579" max="3592" width="17" style="163" customWidth="1"/>
    <col min="3593" max="3597" width="17.7109375" style="163" customWidth="1"/>
    <col min="3598" max="3598" width="47.28515625" style="163" bestFit="1" customWidth="1"/>
    <col min="3599" max="3601" width="15.7109375" style="163" customWidth="1"/>
    <col min="3602" max="3602" width="25.5703125" style="163" bestFit="1" customWidth="1"/>
    <col min="3603" max="3603" width="28.85546875" style="163" customWidth="1"/>
    <col min="3604" max="3606" width="17.28515625" style="163" customWidth="1"/>
    <col min="3607" max="3607" width="14" style="163" customWidth="1"/>
    <col min="3608" max="3609" width="11.7109375" style="163" customWidth="1"/>
    <col min="3610" max="3610" width="12.7109375" style="163" customWidth="1"/>
    <col min="3611" max="3612" width="11.7109375" style="163" customWidth="1"/>
    <col min="3613" max="3614" width="14.7109375" style="163" customWidth="1"/>
    <col min="3615" max="3615" width="7.7109375" style="163" customWidth="1"/>
    <col min="3616" max="3616" width="35.7109375" style="163" customWidth="1"/>
    <col min="3617" max="3618" width="17.140625" style="163" customWidth="1"/>
    <col min="3619" max="3833" width="8.85546875" style="163"/>
    <col min="3834" max="3834" width="30.7109375" style="163" customWidth="1"/>
    <col min="3835" max="3848" width="17" style="163" customWidth="1"/>
    <col min="3849" max="3853" width="17.7109375" style="163" customWidth="1"/>
    <col min="3854" max="3854" width="47.28515625" style="163" bestFit="1" customWidth="1"/>
    <col min="3855" max="3857" width="15.7109375" style="163" customWidth="1"/>
    <col min="3858" max="3858" width="25.5703125" style="163" bestFit="1" customWidth="1"/>
    <col min="3859" max="3859" width="28.85546875" style="163" customWidth="1"/>
    <col min="3860" max="3862" width="17.28515625" style="163" customWidth="1"/>
    <col min="3863" max="3863" width="14" style="163" customWidth="1"/>
    <col min="3864" max="3865" width="11.7109375" style="163" customWidth="1"/>
    <col min="3866" max="3866" width="12.7109375" style="163" customWidth="1"/>
    <col min="3867" max="3868" width="11.7109375" style="163" customWidth="1"/>
    <col min="3869" max="3870" width="14.7109375" style="163" customWidth="1"/>
    <col min="3871" max="3871" width="7.7109375" style="163" customWidth="1"/>
    <col min="3872" max="3872" width="35.7109375" style="163" customWidth="1"/>
    <col min="3873" max="3874" width="17.140625" style="163" customWidth="1"/>
    <col min="3875" max="4089" width="8.85546875" style="163"/>
    <col min="4090" max="4090" width="30.7109375" style="163" customWidth="1"/>
    <col min="4091" max="4104" width="17" style="163" customWidth="1"/>
    <col min="4105" max="4109" width="17.7109375" style="163" customWidth="1"/>
    <col min="4110" max="4110" width="47.28515625" style="163" bestFit="1" customWidth="1"/>
    <col min="4111" max="4113" width="15.7109375" style="163" customWidth="1"/>
    <col min="4114" max="4114" width="25.5703125" style="163" bestFit="1" customWidth="1"/>
    <col min="4115" max="4115" width="28.85546875" style="163" customWidth="1"/>
    <col min="4116" max="4118" width="17.28515625" style="163" customWidth="1"/>
    <col min="4119" max="4119" width="14" style="163" customWidth="1"/>
    <col min="4120" max="4121" width="11.7109375" style="163" customWidth="1"/>
    <col min="4122" max="4122" width="12.7109375" style="163" customWidth="1"/>
    <col min="4123" max="4124" width="11.7109375" style="163" customWidth="1"/>
    <col min="4125" max="4126" width="14.7109375" style="163" customWidth="1"/>
    <col min="4127" max="4127" width="7.7109375" style="163" customWidth="1"/>
    <col min="4128" max="4128" width="35.7109375" style="163" customWidth="1"/>
    <col min="4129" max="4130" width="17.140625" style="163" customWidth="1"/>
    <col min="4131" max="4345" width="8.85546875" style="163"/>
    <col min="4346" max="4346" width="30.7109375" style="163" customWidth="1"/>
    <col min="4347" max="4360" width="17" style="163" customWidth="1"/>
    <col min="4361" max="4365" width="17.7109375" style="163" customWidth="1"/>
    <col min="4366" max="4366" width="47.28515625" style="163" bestFit="1" customWidth="1"/>
    <col min="4367" max="4369" width="15.7109375" style="163" customWidth="1"/>
    <col min="4370" max="4370" width="25.5703125" style="163" bestFit="1" customWidth="1"/>
    <col min="4371" max="4371" width="28.85546875" style="163" customWidth="1"/>
    <col min="4372" max="4374" width="17.28515625" style="163" customWidth="1"/>
    <col min="4375" max="4375" width="14" style="163" customWidth="1"/>
    <col min="4376" max="4377" width="11.7109375" style="163" customWidth="1"/>
    <col min="4378" max="4378" width="12.7109375" style="163" customWidth="1"/>
    <col min="4379" max="4380" width="11.7109375" style="163" customWidth="1"/>
    <col min="4381" max="4382" width="14.7109375" style="163" customWidth="1"/>
    <col min="4383" max="4383" width="7.7109375" style="163" customWidth="1"/>
    <col min="4384" max="4384" width="35.7109375" style="163" customWidth="1"/>
    <col min="4385" max="4386" width="17.140625" style="163" customWidth="1"/>
    <col min="4387" max="4601" width="8.85546875" style="163"/>
    <col min="4602" max="4602" width="30.7109375" style="163" customWidth="1"/>
    <col min="4603" max="4616" width="17" style="163" customWidth="1"/>
    <col min="4617" max="4621" width="17.7109375" style="163" customWidth="1"/>
    <col min="4622" max="4622" width="47.28515625" style="163" bestFit="1" customWidth="1"/>
    <col min="4623" max="4625" width="15.7109375" style="163" customWidth="1"/>
    <col min="4626" max="4626" width="25.5703125" style="163" bestFit="1" customWidth="1"/>
    <col min="4627" max="4627" width="28.85546875" style="163" customWidth="1"/>
    <col min="4628" max="4630" width="17.28515625" style="163" customWidth="1"/>
    <col min="4631" max="4631" width="14" style="163" customWidth="1"/>
    <col min="4632" max="4633" width="11.7109375" style="163" customWidth="1"/>
    <col min="4634" max="4634" width="12.7109375" style="163" customWidth="1"/>
    <col min="4635" max="4636" width="11.7109375" style="163" customWidth="1"/>
    <col min="4637" max="4638" width="14.7109375" style="163" customWidth="1"/>
    <col min="4639" max="4639" width="7.7109375" style="163" customWidth="1"/>
    <col min="4640" max="4640" width="35.7109375" style="163" customWidth="1"/>
    <col min="4641" max="4642" width="17.140625" style="163" customWidth="1"/>
    <col min="4643" max="4857" width="8.85546875" style="163"/>
    <col min="4858" max="4858" width="30.7109375" style="163" customWidth="1"/>
    <col min="4859" max="4872" width="17" style="163" customWidth="1"/>
    <col min="4873" max="4877" width="17.7109375" style="163" customWidth="1"/>
    <col min="4878" max="4878" width="47.28515625" style="163" bestFit="1" customWidth="1"/>
    <col min="4879" max="4881" width="15.7109375" style="163" customWidth="1"/>
    <col min="4882" max="4882" width="25.5703125" style="163" bestFit="1" customWidth="1"/>
    <col min="4883" max="4883" width="28.85546875" style="163" customWidth="1"/>
    <col min="4884" max="4886" width="17.28515625" style="163" customWidth="1"/>
    <col min="4887" max="4887" width="14" style="163" customWidth="1"/>
    <col min="4888" max="4889" width="11.7109375" style="163" customWidth="1"/>
    <col min="4890" max="4890" width="12.7109375" style="163" customWidth="1"/>
    <col min="4891" max="4892" width="11.7109375" style="163" customWidth="1"/>
    <col min="4893" max="4894" width="14.7109375" style="163" customWidth="1"/>
    <col min="4895" max="4895" width="7.7109375" style="163" customWidth="1"/>
    <col min="4896" max="4896" width="35.7109375" style="163" customWidth="1"/>
    <col min="4897" max="4898" width="17.140625" style="163" customWidth="1"/>
    <col min="4899" max="5113" width="8.85546875" style="163"/>
    <col min="5114" max="5114" width="30.7109375" style="163" customWidth="1"/>
    <col min="5115" max="5128" width="17" style="163" customWidth="1"/>
    <col min="5129" max="5133" width="17.7109375" style="163" customWidth="1"/>
    <col min="5134" max="5134" width="47.28515625" style="163" bestFit="1" customWidth="1"/>
    <col min="5135" max="5137" width="15.7109375" style="163" customWidth="1"/>
    <col min="5138" max="5138" width="25.5703125" style="163" bestFit="1" customWidth="1"/>
    <col min="5139" max="5139" width="28.85546875" style="163" customWidth="1"/>
    <col min="5140" max="5142" width="17.28515625" style="163" customWidth="1"/>
    <col min="5143" max="5143" width="14" style="163" customWidth="1"/>
    <col min="5144" max="5145" width="11.7109375" style="163" customWidth="1"/>
    <col min="5146" max="5146" width="12.7109375" style="163" customWidth="1"/>
    <col min="5147" max="5148" width="11.7109375" style="163" customWidth="1"/>
    <col min="5149" max="5150" width="14.7109375" style="163" customWidth="1"/>
    <col min="5151" max="5151" width="7.7109375" style="163" customWidth="1"/>
    <col min="5152" max="5152" width="35.7109375" style="163" customWidth="1"/>
    <col min="5153" max="5154" width="17.140625" style="163" customWidth="1"/>
    <col min="5155" max="5369" width="8.85546875" style="163"/>
    <col min="5370" max="5370" width="30.7109375" style="163" customWidth="1"/>
    <col min="5371" max="5384" width="17" style="163" customWidth="1"/>
    <col min="5385" max="5389" width="17.7109375" style="163" customWidth="1"/>
    <col min="5390" max="5390" width="47.28515625" style="163" bestFit="1" customWidth="1"/>
    <col min="5391" max="5393" width="15.7109375" style="163" customWidth="1"/>
    <col min="5394" max="5394" width="25.5703125" style="163" bestFit="1" customWidth="1"/>
    <col min="5395" max="5395" width="28.85546875" style="163" customWidth="1"/>
    <col min="5396" max="5398" width="17.28515625" style="163" customWidth="1"/>
    <col min="5399" max="5399" width="14" style="163" customWidth="1"/>
    <col min="5400" max="5401" width="11.7109375" style="163" customWidth="1"/>
    <col min="5402" max="5402" width="12.7109375" style="163" customWidth="1"/>
    <col min="5403" max="5404" width="11.7109375" style="163" customWidth="1"/>
    <col min="5405" max="5406" width="14.7109375" style="163" customWidth="1"/>
    <col min="5407" max="5407" width="7.7109375" style="163" customWidth="1"/>
    <col min="5408" max="5408" width="35.7109375" style="163" customWidth="1"/>
    <col min="5409" max="5410" width="17.140625" style="163" customWidth="1"/>
    <col min="5411" max="5625" width="8.85546875" style="163"/>
    <col min="5626" max="5626" width="30.7109375" style="163" customWidth="1"/>
    <col min="5627" max="5640" width="17" style="163" customWidth="1"/>
    <col min="5641" max="5645" width="17.7109375" style="163" customWidth="1"/>
    <col min="5646" max="5646" width="47.28515625" style="163" bestFit="1" customWidth="1"/>
    <col min="5647" max="5649" width="15.7109375" style="163" customWidth="1"/>
    <col min="5650" max="5650" width="25.5703125" style="163" bestFit="1" customWidth="1"/>
    <col min="5651" max="5651" width="28.85546875" style="163" customWidth="1"/>
    <col min="5652" max="5654" width="17.28515625" style="163" customWidth="1"/>
    <col min="5655" max="5655" width="14" style="163" customWidth="1"/>
    <col min="5656" max="5657" width="11.7109375" style="163" customWidth="1"/>
    <col min="5658" max="5658" width="12.7109375" style="163" customWidth="1"/>
    <col min="5659" max="5660" width="11.7109375" style="163" customWidth="1"/>
    <col min="5661" max="5662" width="14.7109375" style="163" customWidth="1"/>
    <col min="5663" max="5663" width="7.7109375" style="163" customWidth="1"/>
    <col min="5664" max="5664" width="35.7109375" style="163" customWidth="1"/>
    <col min="5665" max="5666" width="17.140625" style="163" customWidth="1"/>
    <col min="5667" max="5881" width="8.85546875" style="163"/>
    <col min="5882" max="5882" width="30.7109375" style="163" customWidth="1"/>
    <col min="5883" max="5896" width="17" style="163" customWidth="1"/>
    <col min="5897" max="5901" width="17.7109375" style="163" customWidth="1"/>
    <col min="5902" max="5902" width="47.28515625" style="163" bestFit="1" customWidth="1"/>
    <col min="5903" max="5905" width="15.7109375" style="163" customWidth="1"/>
    <col min="5906" max="5906" width="25.5703125" style="163" bestFit="1" customWidth="1"/>
    <col min="5907" max="5907" width="28.85546875" style="163" customWidth="1"/>
    <col min="5908" max="5910" width="17.28515625" style="163" customWidth="1"/>
    <col min="5911" max="5911" width="14" style="163" customWidth="1"/>
    <col min="5912" max="5913" width="11.7109375" style="163" customWidth="1"/>
    <col min="5914" max="5914" width="12.7109375" style="163" customWidth="1"/>
    <col min="5915" max="5916" width="11.7109375" style="163" customWidth="1"/>
    <col min="5917" max="5918" width="14.7109375" style="163" customWidth="1"/>
    <col min="5919" max="5919" width="7.7109375" style="163" customWidth="1"/>
    <col min="5920" max="5920" width="35.7109375" style="163" customWidth="1"/>
    <col min="5921" max="5922" width="17.140625" style="163" customWidth="1"/>
    <col min="5923" max="6137" width="8.85546875" style="163"/>
    <col min="6138" max="6138" width="30.7109375" style="163" customWidth="1"/>
    <col min="6139" max="6152" width="17" style="163" customWidth="1"/>
    <col min="6153" max="6157" width="17.7109375" style="163" customWidth="1"/>
    <col min="6158" max="6158" width="47.28515625" style="163" bestFit="1" customWidth="1"/>
    <col min="6159" max="6161" width="15.7109375" style="163" customWidth="1"/>
    <col min="6162" max="6162" width="25.5703125" style="163" bestFit="1" customWidth="1"/>
    <col min="6163" max="6163" width="28.85546875" style="163" customWidth="1"/>
    <col min="6164" max="6166" width="17.28515625" style="163" customWidth="1"/>
    <col min="6167" max="6167" width="14" style="163" customWidth="1"/>
    <col min="6168" max="6169" width="11.7109375" style="163" customWidth="1"/>
    <col min="6170" max="6170" width="12.7109375" style="163" customWidth="1"/>
    <col min="6171" max="6172" width="11.7109375" style="163" customWidth="1"/>
    <col min="6173" max="6174" width="14.7109375" style="163" customWidth="1"/>
    <col min="6175" max="6175" width="7.7109375" style="163" customWidth="1"/>
    <col min="6176" max="6176" width="35.7109375" style="163" customWidth="1"/>
    <col min="6177" max="6178" width="17.140625" style="163" customWidth="1"/>
    <col min="6179" max="6393" width="8.85546875" style="163"/>
    <col min="6394" max="6394" width="30.7109375" style="163" customWidth="1"/>
    <col min="6395" max="6408" width="17" style="163" customWidth="1"/>
    <col min="6409" max="6413" width="17.7109375" style="163" customWidth="1"/>
    <col min="6414" max="6414" width="47.28515625" style="163" bestFit="1" customWidth="1"/>
    <col min="6415" max="6417" width="15.7109375" style="163" customWidth="1"/>
    <col min="6418" max="6418" width="25.5703125" style="163" bestFit="1" customWidth="1"/>
    <col min="6419" max="6419" width="28.85546875" style="163" customWidth="1"/>
    <col min="6420" max="6422" width="17.28515625" style="163" customWidth="1"/>
    <col min="6423" max="6423" width="14" style="163" customWidth="1"/>
    <col min="6424" max="6425" width="11.7109375" style="163" customWidth="1"/>
    <col min="6426" max="6426" width="12.7109375" style="163" customWidth="1"/>
    <col min="6427" max="6428" width="11.7109375" style="163" customWidth="1"/>
    <col min="6429" max="6430" width="14.7109375" style="163" customWidth="1"/>
    <col min="6431" max="6431" width="7.7109375" style="163" customWidth="1"/>
    <col min="6432" max="6432" width="35.7109375" style="163" customWidth="1"/>
    <col min="6433" max="6434" width="17.140625" style="163" customWidth="1"/>
    <col min="6435" max="6649" width="8.85546875" style="163"/>
    <col min="6650" max="6650" width="30.7109375" style="163" customWidth="1"/>
    <col min="6651" max="6664" width="17" style="163" customWidth="1"/>
    <col min="6665" max="6669" width="17.7109375" style="163" customWidth="1"/>
    <col min="6670" max="6670" width="47.28515625" style="163" bestFit="1" customWidth="1"/>
    <col min="6671" max="6673" width="15.7109375" style="163" customWidth="1"/>
    <col min="6674" max="6674" width="25.5703125" style="163" bestFit="1" customWidth="1"/>
    <col min="6675" max="6675" width="28.85546875" style="163" customWidth="1"/>
    <col min="6676" max="6678" width="17.28515625" style="163" customWidth="1"/>
    <col min="6679" max="6679" width="14" style="163" customWidth="1"/>
    <col min="6680" max="6681" width="11.7109375" style="163" customWidth="1"/>
    <col min="6682" max="6682" width="12.7109375" style="163" customWidth="1"/>
    <col min="6683" max="6684" width="11.7109375" style="163" customWidth="1"/>
    <col min="6685" max="6686" width="14.7109375" style="163" customWidth="1"/>
    <col min="6687" max="6687" width="7.7109375" style="163" customWidth="1"/>
    <col min="6688" max="6688" width="35.7109375" style="163" customWidth="1"/>
    <col min="6689" max="6690" width="17.140625" style="163" customWidth="1"/>
    <col min="6691" max="6905" width="8.85546875" style="163"/>
    <col min="6906" max="6906" width="30.7109375" style="163" customWidth="1"/>
    <col min="6907" max="6920" width="17" style="163" customWidth="1"/>
    <col min="6921" max="6925" width="17.7109375" style="163" customWidth="1"/>
    <col min="6926" max="6926" width="47.28515625" style="163" bestFit="1" customWidth="1"/>
    <col min="6927" max="6929" width="15.7109375" style="163" customWidth="1"/>
    <col min="6930" max="6930" width="25.5703125" style="163" bestFit="1" customWidth="1"/>
    <col min="6931" max="6931" width="28.85546875" style="163" customWidth="1"/>
    <col min="6932" max="6934" width="17.28515625" style="163" customWidth="1"/>
    <col min="6935" max="6935" width="14" style="163" customWidth="1"/>
    <col min="6936" max="6937" width="11.7109375" style="163" customWidth="1"/>
    <col min="6938" max="6938" width="12.7109375" style="163" customWidth="1"/>
    <col min="6939" max="6940" width="11.7109375" style="163" customWidth="1"/>
    <col min="6941" max="6942" width="14.7109375" style="163" customWidth="1"/>
    <col min="6943" max="6943" width="7.7109375" style="163" customWidth="1"/>
    <col min="6944" max="6944" width="35.7109375" style="163" customWidth="1"/>
    <col min="6945" max="6946" width="17.140625" style="163" customWidth="1"/>
    <col min="6947" max="7161" width="8.85546875" style="163"/>
    <col min="7162" max="7162" width="30.7109375" style="163" customWidth="1"/>
    <col min="7163" max="7176" width="17" style="163" customWidth="1"/>
    <col min="7177" max="7181" width="17.7109375" style="163" customWidth="1"/>
    <col min="7182" max="7182" width="47.28515625" style="163" bestFit="1" customWidth="1"/>
    <col min="7183" max="7185" width="15.7109375" style="163" customWidth="1"/>
    <col min="7186" max="7186" width="25.5703125" style="163" bestFit="1" customWidth="1"/>
    <col min="7187" max="7187" width="28.85546875" style="163" customWidth="1"/>
    <col min="7188" max="7190" width="17.28515625" style="163" customWidth="1"/>
    <col min="7191" max="7191" width="14" style="163" customWidth="1"/>
    <col min="7192" max="7193" width="11.7109375" style="163" customWidth="1"/>
    <col min="7194" max="7194" width="12.7109375" style="163" customWidth="1"/>
    <col min="7195" max="7196" width="11.7109375" style="163" customWidth="1"/>
    <col min="7197" max="7198" width="14.7109375" style="163" customWidth="1"/>
    <col min="7199" max="7199" width="7.7109375" style="163" customWidth="1"/>
    <col min="7200" max="7200" width="35.7109375" style="163" customWidth="1"/>
    <col min="7201" max="7202" width="17.140625" style="163" customWidth="1"/>
    <col min="7203" max="7417" width="8.85546875" style="163"/>
    <col min="7418" max="7418" width="30.7109375" style="163" customWidth="1"/>
    <col min="7419" max="7432" width="17" style="163" customWidth="1"/>
    <col min="7433" max="7437" width="17.7109375" style="163" customWidth="1"/>
    <col min="7438" max="7438" width="47.28515625" style="163" bestFit="1" customWidth="1"/>
    <col min="7439" max="7441" width="15.7109375" style="163" customWidth="1"/>
    <col min="7442" max="7442" width="25.5703125" style="163" bestFit="1" customWidth="1"/>
    <col min="7443" max="7443" width="28.85546875" style="163" customWidth="1"/>
    <col min="7444" max="7446" width="17.28515625" style="163" customWidth="1"/>
    <col min="7447" max="7447" width="14" style="163" customWidth="1"/>
    <col min="7448" max="7449" width="11.7109375" style="163" customWidth="1"/>
    <col min="7450" max="7450" width="12.7109375" style="163" customWidth="1"/>
    <col min="7451" max="7452" width="11.7109375" style="163" customWidth="1"/>
    <col min="7453" max="7454" width="14.7109375" style="163" customWidth="1"/>
    <col min="7455" max="7455" width="7.7109375" style="163" customWidth="1"/>
    <col min="7456" max="7456" width="35.7109375" style="163" customWidth="1"/>
    <col min="7457" max="7458" width="17.140625" style="163" customWidth="1"/>
    <col min="7459" max="7673" width="8.85546875" style="163"/>
    <col min="7674" max="7674" width="30.7109375" style="163" customWidth="1"/>
    <col min="7675" max="7688" width="17" style="163" customWidth="1"/>
    <col min="7689" max="7693" width="17.7109375" style="163" customWidth="1"/>
    <col min="7694" max="7694" width="47.28515625" style="163" bestFit="1" customWidth="1"/>
    <col min="7695" max="7697" width="15.7109375" style="163" customWidth="1"/>
    <col min="7698" max="7698" width="25.5703125" style="163" bestFit="1" customWidth="1"/>
    <col min="7699" max="7699" width="28.85546875" style="163" customWidth="1"/>
    <col min="7700" max="7702" width="17.28515625" style="163" customWidth="1"/>
    <col min="7703" max="7703" width="14" style="163" customWidth="1"/>
    <col min="7704" max="7705" width="11.7109375" style="163" customWidth="1"/>
    <col min="7706" max="7706" width="12.7109375" style="163" customWidth="1"/>
    <col min="7707" max="7708" width="11.7109375" style="163" customWidth="1"/>
    <col min="7709" max="7710" width="14.7109375" style="163" customWidth="1"/>
    <col min="7711" max="7711" width="7.7109375" style="163" customWidth="1"/>
    <col min="7712" max="7712" width="35.7109375" style="163" customWidth="1"/>
    <col min="7713" max="7714" width="17.140625" style="163" customWidth="1"/>
    <col min="7715" max="7929" width="8.85546875" style="163"/>
    <col min="7930" max="7930" width="30.7109375" style="163" customWidth="1"/>
    <col min="7931" max="7944" width="17" style="163" customWidth="1"/>
    <col min="7945" max="7949" width="17.7109375" style="163" customWidth="1"/>
    <col min="7950" max="7950" width="47.28515625" style="163" bestFit="1" customWidth="1"/>
    <col min="7951" max="7953" width="15.7109375" style="163" customWidth="1"/>
    <col min="7954" max="7954" width="25.5703125" style="163" bestFit="1" customWidth="1"/>
    <col min="7955" max="7955" width="28.85546875" style="163" customWidth="1"/>
    <col min="7956" max="7958" width="17.28515625" style="163" customWidth="1"/>
    <col min="7959" max="7959" width="14" style="163" customWidth="1"/>
    <col min="7960" max="7961" width="11.7109375" style="163" customWidth="1"/>
    <col min="7962" max="7962" width="12.7109375" style="163" customWidth="1"/>
    <col min="7963" max="7964" width="11.7109375" style="163" customWidth="1"/>
    <col min="7965" max="7966" width="14.7109375" style="163" customWidth="1"/>
    <col min="7967" max="7967" width="7.7109375" style="163" customWidth="1"/>
    <col min="7968" max="7968" width="35.7109375" style="163" customWidth="1"/>
    <col min="7969" max="7970" width="17.140625" style="163" customWidth="1"/>
    <col min="7971" max="8185" width="8.85546875" style="163"/>
    <col min="8186" max="8186" width="30.7109375" style="163" customWidth="1"/>
    <col min="8187" max="8200" width="17" style="163" customWidth="1"/>
    <col min="8201" max="8205" width="17.7109375" style="163" customWidth="1"/>
    <col min="8206" max="8206" width="47.28515625" style="163" bestFit="1" customWidth="1"/>
    <col min="8207" max="8209" width="15.7109375" style="163" customWidth="1"/>
    <col min="8210" max="8210" width="25.5703125" style="163" bestFit="1" customWidth="1"/>
    <col min="8211" max="8211" width="28.85546875" style="163" customWidth="1"/>
    <col min="8212" max="8214" width="17.28515625" style="163" customWidth="1"/>
    <col min="8215" max="8215" width="14" style="163" customWidth="1"/>
    <col min="8216" max="8217" width="11.7109375" style="163" customWidth="1"/>
    <col min="8218" max="8218" width="12.7109375" style="163" customWidth="1"/>
    <col min="8219" max="8220" width="11.7109375" style="163" customWidth="1"/>
    <col min="8221" max="8222" width="14.7109375" style="163" customWidth="1"/>
    <col min="8223" max="8223" width="7.7109375" style="163" customWidth="1"/>
    <col min="8224" max="8224" width="35.7109375" style="163" customWidth="1"/>
    <col min="8225" max="8226" width="17.140625" style="163" customWidth="1"/>
    <col min="8227" max="8441" width="8.85546875" style="163"/>
    <col min="8442" max="8442" width="30.7109375" style="163" customWidth="1"/>
    <col min="8443" max="8456" width="17" style="163" customWidth="1"/>
    <col min="8457" max="8461" width="17.7109375" style="163" customWidth="1"/>
    <col min="8462" max="8462" width="47.28515625" style="163" bestFit="1" customWidth="1"/>
    <col min="8463" max="8465" width="15.7109375" style="163" customWidth="1"/>
    <col min="8466" max="8466" width="25.5703125" style="163" bestFit="1" customWidth="1"/>
    <col min="8467" max="8467" width="28.85546875" style="163" customWidth="1"/>
    <col min="8468" max="8470" width="17.28515625" style="163" customWidth="1"/>
    <col min="8471" max="8471" width="14" style="163" customWidth="1"/>
    <col min="8472" max="8473" width="11.7109375" style="163" customWidth="1"/>
    <col min="8474" max="8474" width="12.7109375" style="163" customWidth="1"/>
    <col min="8475" max="8476" width="11.7109375" style="163" customWidth="1"/>
    <col min="8477" max="8478" width="14.7109375" style="163" customWidth="1"/>
    <col min="8479" max="8479" width="7.7109375" style="163" customWidth="1"/>
    <col min="8480" max="8480" width="35.7109375" style="163" customWidth="1"/>
    <col min="8481" max="8482" width="17.140625" style="163" customWidth="1"/>
    <col min="8483" max="8697" width="8.85546875" style="163"/>
    <col min="8698" max="8698" width="30.7109375" style="163" customWidth="1"/>
    <col min="8699" max="8712" width="17" style="163" customWidth="1"/>
    <col min="8713" max="8717" width="17.7109375" style="163" customWidth="1"/>
    <col min="8718" max="8718" width="47.28515625" style="163" bestFit="1" customWidth="1"/>
    <col min="8719" max="8721" width="15.7109375" style="163" customWidth="1"/>
    <col min="8722" max="8722" width="25.5703125" style="163" bestFit="1" customWidth="1"/>
    <col min="8723" max="8723" width="28.85546875" style="163" customWidth="1"/>
    <col min="8724" max="8726" width="17.28515625" style="163" customWidth="1"/>
    <col min="8727" max="8727" width="14" style="163" customWidth="1"/>
    <col min="8728" max="8729" width="11.7109375" style="163" customWidth="1"/>
    <col min="8730" max="8730" width="12.7109375" style="163" customWidth="1"/>
    <col min="8731" max="8732" width="11.7109375" style="163" customWidth="1"/>
    <col min="8733" max="8734" width="14.7109375" style="163" customWidth="1"/>
    <col min="8735" max="8735" width="7.7109375" style="163" customWidth="1"/>
    <col min="8736" max="8736" width="35.7109375" style="163" customWidth="1"/>
    <col min="8737" max="8738" width="17.140625" style="163" customWidth="1"/>
    <col min="8739" max="8953" width="8.85546875" style="163"/>
    <col min="8954" max="8954" width="30.7109375" style="163" customWidth="1"/>
    <col min="8955" max="8968" width="17" style="163" customWidth="1"/>
    <col min="8969" max="8973" width="17.7109375" style="163" customWidth="1"/>
    <col min="8974" max="8974" width="47.28515625" style="163" bestFit="1" customWidth="1"/>
    <col min="8975" max="8977" width="15.7109375" style="163" customWidth="1"/>
    <col min="8978" max="8978" width="25.5703125" style="163" bestFit="1" customWidth="1"/>
    <col min="8979" max="8979" width="28.85546875" style="163" customWidth="1"/>
    <col min="8980" max="8982" width="17.28515625" style="163" customWidth="1"/>
    <col min="8983" max="8983" width="14" style="163" customWidth="1"/>
    <col min="8984" max="8985" width="11.7109375" style="163" customWidth="1"/>
    <col min="8986" max="8986" width="12.7109375" style="163" customWidth="1"/>
    <col min="8987" max="8988" width="11.7109375" style="163" customWidth="1"/>
    <col min="8989" max="8990" width="14.7109375" style="163" customWidth="1"/>
    <col min="8991" max="8991" width="7.7109375" style="163" customWidth="1"/>
    <col min="8992" max="8992" width="35.7109375" style="163" customWidth="1"/>
    <col min="8993" max="8994" width="17.140625" style="163" customWidth="1"/>
    <col min="8995" max="9209" width="8.85546875" style="163"/>
    <col min="9210" max="9210" width="30.7109375" style="163" customWidth="1"/>
    <col min="9211" max="9224" width="17" style="163" customWidth="1"/>
    <col min="9225" max="9229" width="17.7109375" style="163" customWidth="1"/>
    <col min="9230" max="9230" width="47.28515625" style="163" bestFit="1" customWidth="1"/>
    <col min="9231" max="9233" width="15.7109375" style="163" customWidth="1"/>
    <col min="9234" max="9234" width="25.5703125" style="163" bestFit="1" customWidth="1"/>
    <col min="9235" max="9235" width="28.85546875" style="163" customWidth="1"/>
    <col min="9236" max="9238" width="17.28515625" style="163" customWidth="1"/>
    <col min="9239" max="9239" width="14" style="163" customWidth="1"/>
    <col min="9240" max="9241" width="11.7109375" style="163" customWidth="1"/>
    <col min="9242" max="9242" width="12.7109375" style="163" customWidth="1"/>
    <col min="9243" max="9244" width="11.7109375" style="163" customWidth="1"/>
    <col min="9245" max="9246" width="14.7109375" style="163" customWidth="1"/>
    <col min="9247" max="9247" width="7.7109375" style="163" customWidth="1"/>
    <col min="9248" max="9248" width="35.7109375" style="163" customWidth="1"/>
    <col min="9249" max="9250" width="17.140625" style="163" customWidth="1"/>
    <col min="9251" max="9465" width="8.85546875" style="163"/>
    <col min="9466" max="9466" width="30.7109375" style="163" customWidth="1"/>
    <col min="9467" max="9480" width="17" style="163" customWidth="1"/>
    <col min="9481" max="9485" width="17.7109375" style="163" customWidth="1"/>
    <col min="9486" max="9486" width="47.28515625" style="163" bestFit="1" customWidth="1"/>
    <col min="9487" max="9489" width="15.7109375" style="163" customWidth="1"/>
    <col min="9490" max="9490" width="25.5703125" style="163" bestFit="1" customWidth="1"/>
    <col min="9491" max="9491" width="28.85546875" style="163" customWidth="1"/>
    <col min="9492" max="9494" width="17.28515625" style="163" customWidth="1"/>
    <col min="9495" max="9495" width="14" style="163" customWidth="1"/>
    <col min="9496" max="9497" width="11.7109375" style="163" customWidth="1"/>
    <col min="9498" max="9498" width="12.7109375" style="163" customWidth="1"/>
    <col min="9499" max="9500" width="11.7109375" style="163" customWidth="1"/>
    <col min="9501" max="9502" width="14.7109375" style="163" customWidth="1"/>
    <col min="9503" max="9503" width="7.7109375" style="163" customWidth="1"/>
    <col min="9504" max="9504" width="35.7109375" style="163" customWidth="1"/>
    <col min="9505" max="9506" width="17.140625" style="163" customWidth="1"/>
    <col min="9507" max="9721" width="8.85546875" style="163"/>
    <col min="9722" max="9722" width="30.7109375" style="163" customWidth="1"/>
    <col min="9723" max="9736" width="17" style="163" customWidth="1"/>
    <col min="9737" max="9741" width="17.7109375" style="163" customWidth="1"/>
    <col min="9742" max="9742" width="47.28515625" style="163" bestFit="1" customWidth="1"/>
    <col min="9743" max="9745" width="15.7109375" style="163" customWidth="1"/>
    <col min="9746" max="9746" width="25.5703125" style="163" bestFit="1" customWidth="1"/>
    <col min="9747" max="9747" width="28.85546875" style="163" customWidth="1"/>
    <col min="9748" max="9750" width="17.28515625" style="163" customWidth="1"/>
    <col min="9751" max="9751" width="14" style="163" customWidth="1"/>
    <col min="9752" max="9753" width="11.7109375" style="163" customWidth="1"/>
    <col min="9754" max="9754" width="12.7109375" style="163" customWidth="1"/>
    <col min="9755" max="9756" width="11.7109375" style="163" customWidth="1"/>
    <col min="9757" max="9758" width="14.7109375" style="163" customWidth="1"/>
    <col min="9759" max="9759" width="7.7109375" style="163" customWidth="1"/>
    <col min="9760" max="9760" width="35.7109375" style="163" customWidth="1"/>
    <col min="9761" max="9762" width="17.140625" style="163" customWidth="1"/>
    <col min="9763" max="9977" width="8.85546875" style="163"/>
    <col min="9978" max="9978" width="30.7109375" style="163" customWidth="1"/>
    <col min="9979" max="9992" width="17" style="163" customWidth="1"/>
    <col min="9993" max="9997" width="17.7109375" style="163" customWidth="1"/>
    <col min="9998" max="9998" width="47.28515625" style="163" bestFit="1" customWidth="1"/>
    <col min="9999" max="10001" width="15.7109375" style="163" customWidth="1"/>
    <col min="10002" max="10002" width="25.5703125" style="163" bestFit="1" customWidth="1"/>
    <col min="10003" max="10003" width="28.85546875" style="163" customWidth="1"/>
    <col min="10004" max="10006" width="17.28515625" style="163" customWidth="1"/>
    <col min="10007" max="10007" width="14" style="163" customWidth="1"/>
    <col min="10008" max="10009" width="11.7109375" style="163" customWidth="1"/>
    <col min="10010" max="10010" width="12.7109375" style="163" customWidth="1"/>
    <col min="10011" max="10012" width="11.7109375" style="163" customWidth="1"/>
    <col min="10013" max="10014" width="14.7109375" style="163" customWidth="1"/>
    <col min="10015" max="10015" width="7.7109375" style="163" customWidth="1"/>
    <col min="10016" max="10016" width="35.7109375" style="163" customWidth="1"/>
    <col min="10017" max="10018" width="17.140625" style="163" customWidth="1"/>
    <col min="10019" max="10233" width="8.85546875" style="163"/>
    <col min="10234" max="10234" width="30.7109375" style="163" customWidth="1"/>
    <col min="10235" max="10248" width="17" style="163" customWidth="1"/>
    <col min="10249" max="10253" width="17.7109375" style="163" customWidth="1"/>
    <col min="10254" max="10254" width="47.28515625" style="163" bestFit="1" customWidth="1"/>
    <col min="10255" max="10257" width="15.7109375" style="163" customWidth="1"/>
    <col min="10258" max="10258" width="25.5703125" style="163" bestFit="1" customWidth="1"/>
    <col min="10259" max="10259" width="28.85546875" style="163" customWidth="1"/>
    <col min="10260" max="10262" width="17.28515625" style="163" customWidth="1"/>
    <col min="10263" max="10263" width="14" style="163" customWidth="1"/>
    <col min="10264" max="10265" width="11.7109375" style="163" customWidth="1"/>
    <col min="10266" max="10266" width="12.7109375" style="163" customWidth="1"/>
    <col min="10267" max="10268" width="11.7109375" style="163" customWidth="1"/>
    <col min="10269" max="10270" width="14.7109375" style="163" customWidth="1"/>
    <col min="10271" max="10271" width="7.7109375" style="163" customWidth="1"/>
    <col min="10272" max="10272" width="35.7109375" style="163" customWidth="1"/>
    <col min="10273" max="10274" width="17.140625" style="163" customWidth="1"/>
    <col min="10275" max="10489" width="8.85546875" style="163"/>
    <col min="10490" max="10490" width="30.7109375" style="163" customWidth="1"/>
    <col min="10491" max="10504" width="17" style="163" customWidth="1"/>
    <col min="10505" max="10509" width="17.7109375" style="163" customWidth="1"/>
    <col min="10510" max="10510" width="47.28515625" style="163" bestFit="1" customWidth="1"/>
    <col min="10511" max="10513" width="15.7109375" style="163" customWidth="1"/>
    <col min="10514" max="10514" width="25.5703125" style="163" bestFit="1" customWidth="1"/>
    <col min="10515" max="10515" width="28.85546875" style="163" customWidth="1"/>
    <col min="10516" max="10518" width="17.28515625" style="163" customWidth="1"/>
    <col min="10519" max="10519" width="14" style="163" customWidth="1"/>
    <col min="10520" max="10521" width="11.7109375" style="163" customWidth="1"/>
    <col min="10522" max="10522" width="12.7109375" style="163" customWidth="1"/>
    <col min="10523" max="10524" width="11.7109375" style="163" customWidth="1"/>
    <col min="10525" max="10526" width="14.7109375" style="163" customWidth="1"/>
    <col min="10527" max="10527" width="7.7109375" style="163" customWidth="1"/>
    <col min="10528" max="10528" width="35.7109375" style="163" customWidth="1"/>
    <col min="10529" max="10530" width="17.140625" style="163" customWidth="1"/>
    <col min="10531" max="10745" width="8.85546875" style="163"/>
    <col min="10746" max="10746" width="30.7109375" style="163" customWidth="1"/>
    <col min="10747" max="10760" width="17" style="163" customWidth="1"/>
    <col min="10761" max="10765" width="17.7109375" style="163" customWidth="1"/>
    <col min="10766" max="10766" width="47.28515625" style="163" bestFit="1" customWidth="1"/>
    <col min="10767" max="10769" width="15.7109375" style="163" customWidth="1"/>
    <col min="10770" max="10770" width="25.5703125" style="163" bestFit="1" customWidth="1"/>
    <col min="10771" max="10771" width="28.85546875" style="163" customWidth="1"/>
    <col min="10772" max="10774" width="17.28515625" style="163" customWidth="1"/>
    <col min="10775" max="10775" width="14" style="163" customWidth="1"/>
    <col min="10776" max="10777" width="11.7109375" style="163" customWidth="1"/>
    <col min="10778" max="10778" width="12.7109375" style="163" customWidth="1"/>
    <col min="10779" max="10780" width="11.7109375" style="163" customWidth="1"/>
    <col min="10781" max="10782" width="14.7109375" style="163" customWidth="1"/>
    <col min="10783" max="10783" width="7.7109375" style="163" customWidth="1"/>
    <col min="10784" max="10784" width="35.7109375" style="163" customWidth="1"/>
    <col min="10785" max="10786" width="17.140625" style="163" customWidth="1"/>
    <col min="10787" max="11001" width="8.85546875" style="163"/>
    <col min="11002" max="11002" width="30.7109375" style="163" customWidth="1"/>
    <col min="11003" max="11016" width="17" style="163" customWidth="1"/>
    <col min="11017" max="11021" width="17.7109375" style="163" customWidth="1"/>
    <col min="11022" max="11022" width="47.28515625" style="163" bestFit="1" customWidth="1"/>
    <col min="11023" max="11025" width="15.7109375" style="163" customWidth="1"/>
    <col min="11026" max="11026" width="25.5703125" style="163" bestFit="1" customWidth="1"/>
    <col min="11027" max="11027" width="28.85546875" style="163" customWidth="1"/>
    <col min="11028" max="11030" width="17.28515625" style="163" customWidth="1"/>
    <col min="11031" max="11031" width="14" style="163" customWidth="1"/>
    <col min="11032" max="11033" width="11.7109375" style="163" customWidth="1"/>
    <col min="11034" max="11034" width="12.7109375" style="163" customWidth="1"/>
    <col min="11035" max="11036" width="11.7109375" style="163" customWidth="1"/>
    <col min="11037" max="11038" width="14.7109375" style="163" customWidth="1"/>
    <col min="11039" max="11039" width="7.7109375" style="163" customWidth="1"/>
    <col min="11040" max="11040" width="35.7109375" style="163" customWidth="1"/>
    <col min="11041" max="11042" width="17.140625" style="163" customWidth="1"/>
    <col min="11043" max="11257" width="8.85546875" style="163"/>
    <col min="11258" max="11258" width="30.7109375" style="163" customWidth="1"/>
    <col min="11259" max="11272" width="17" style="163" customWidth="1"/>
    <col min="11273" max="11277" width="17.7109375" style="163" customWidth="1"/>
    <col min="11278" max="11278" width="47.28515625" style="163" bestFit="1" customWidth="1"/>
    <col min="11279" max="11281" width="15.7109375" style="163" customWidth="1"/>
    <col min="11282" max="11282" width="25.5703125" style="163" bestFit="1" customWidth="1"/>
    <col min="11283" max="11283" width="28.85546875" style="163" customWidth="1"/>
    <col min="11284" max="11286" width="17.28515625" style="163" customWidth="1"/>
    <col min="11287" max="11287" width="14" style="163" customWidth="1"/>
    <col min="11288" max="11289" width="11.7109375" style="163" customWidth="1"/>
    <col min="11290" max="11290" width="12.7109375" style="163" customWidth="1"/>
    <col min="11291" max="11292" width="11.7109375" style="163" customWidth="1"/>
    <col min="11293" max="11294" width="14.7109375" style="163" customWidth="1"/>
    <col min="11295" max="11295" width="7.7109375" style="163" customWidth="1"/>
    <col min="11296" max="11296" width="35.7109375" style="163" customWidth="1"/>
    <col min="11297" max="11298" width="17.140625" style="163" customWidth="1"/>
    <col min="11299" max="11513" width="8.85546875" style="163"/>
    <col min="11514" max="11514" width="30.7109375" style="163" customWidth="1"/>
    <col min="11515" max="11528" width="17" style="163" customWidth="1"/>
    <col min="11529" max="11533" width="17.7109375" style="163" customWidth="1"/>
    <col min="11534" max="11534" width="47.28515625" style="163" bestFit="1" customWidth="1"/>
    <col min="11535" max="11537" width="15.7109375" style="163" customWidth="1"/>
    <col min="11538" max="11538" width="25.5703125" style="163" bestFit="1" customWidth="1"/>
    <col min="11539" max="11539" width="28.85546875" style="163" customWidth="1"/>
    <col min="11540" max="11542" width="17.28515625" style="163" customWidth="1"/>
    <col min="11543" max="11543" width="14" style="163" customWidth="1"/>
    <col min="11544" max="11545" width="11.7109375" style="163" customWidth="1"/>
    <col min="11546" max="11546" width="12.7109375" style="163" customWidth="1"/>
    <col min="11547" max="11548" width="11.7109375" style="163" customWidth="1"/>
    <col min="11549" max="11550" width="14.7109375" style="163" customWidth="1"/>
    <col min="11551" max="11551" width="7.7109375" style="163" customWidth="1"/>
    <col min="11552" max="11552" width="35.7109375" style="163" customWidth="1"/>
    <col min="11553" max="11554" width="17.140625" style="163" customWidth="1"/>
    <col min="11555" max="11769" width="8.85546875" style="163"/>
    <col min="11770" max="11770" width="30.7109375" style="163" customWidth="1"/>
    <col min="11771" max="11784" width="17" style="163" customWidth="1"/>
    <col min="11785" max="11789" width="17.7109375" style="163" customWidth="1"/>
    <col min="11790" max="11790" width="47.28515625" style="163" bestFit="1" customWidth="1"/>
    <col min="11791" max="11793" width="15.7109375" style="163" customWidth="1"/>
    <col min="11794" max="11794" width="25.5703125" style="163" bestFit="1" customWidth="1"/>
    <col min="11795" max="11795" width="28.85546875" style="163" customWidth="1"/>
    <col min="11796" max="11798" width="17.28515625" style="163" customWidth="1"/>
    <col min="11799" max="11799" width="14" style="163" customWidth="1"/>
    <col min="11800" max="11801" width="11.7109375" style="163" customWidth="1"/>
    <col min="11802" max="11802" width="12.7109375" style="163" customWidth="1"/>
    <col min="11803" max="11804" width="11.7109375" style="163" customWidth="1"/>
    <col min="11805" max="11806" width="14.7109375" style="163" customWidth="1"/>
    <col min="11807" max="11807" width="7.7109375" style="163" customWidth="1"/>
    <col min="11808" max="11808" width="35.7109375" style="163" customWidth="1"/>
    <col min="11809" max="11810" width="17.140625" style="163" customWidth="1"/>
    <col min="11811" max="12025" width="8.85546875" style="163"/>
    <col min="12026" max="12026" width="30.7109375" style="163" customWidth="1"/>
    <col min="12027" max="12040" width="17" style="163" customWidth="1"/>
    <col min="12041" max="12045" width="17.7109375" style="163" customWidth="1"/>
    <col min="12046" max="12046" width="47.28515625" style="163" bestFit="1" customWidth="1"/>
    <col min="12047" max="12049" width="15.7109375" style="163" customWidth="1"/>
    <col min="12050" max="12050" width="25.5703125" style="163" bestFit="1" customWidth="1"/>
    <col min="12051" max="12051" width="28.85546875" style="163" customWidth="1"/>
    <col min="12052" max="12054" width="17.28515625" style="163" customWidth="1"/>
    <col min="12055" max="12055" width="14" style="163" customWidth="1"/>
    <col min="12056" max="12057" width="11.7109375" style="163" customWidth="1"/>
    <col min="12058" max="12058" width="12.7109375" style="163" customWidth="1"/>
    <col min="12059" max="12060" width="11.7109375" style="163" customWidth="1"/>
    <col min="12061" max="12062" width="14.7109375" style="163" customWidth="1"/>
    <col min="12063" max="12063" width="7.7109375" style="163" customWidth="1"/>
    <col min="12064" max="12064" width="35.7109375" style="163" customWidth="1"/>
    <col min="12065" max="12066" width="17.140625" style="163" customWidth="1"/>
    <col min="12067" max="12281" width="8.85546875" style="163"/>
    <col min="12282" max="12282" width="30.7109375" style="163" customWidth="1"/>
    <col min="12283" max="12296" width="17" style="163" customWidth="1"/>
    <col min="12297" max="12301" width="17.7109375" style="163" customWidth="1"/>
    <col min="12302" max="12302" width="47.28515625" style="163" bestFit="1" customWidth="1"/>
    <col min="12303" max="12305" width="15.7109375" style="163" customWidth="1"/>
    <col min="12306" max="12306" width="25.5703125" style="163" bestFit="1" customWidth="1"/>
    <col min="12307" max="12307" width="28.85546875" style="163" customWidth="1"/>
    <col min="12308" max="12310" width="17.28515625" style="163" customWidth="1"/>
    <col min="12311" max="12311" width="14" style="163" customWidth="1"/>
    <col min="12312" max="12313" width="11.7109375" style="163" customWidth="1"/>
    <col min="12314" max="12314" width="12.7109375" style="163" customWidth="1"/>
    <col min="12315" max="12316" width="11.7109375" style="163" customWidth="1"/>
    <col min="12317" max="12318" width="14.7109375" style="163" customWidth="1"/>
    <col min="12319" max="12319" width="7.7109375" style="163" customWidth="1"/>
    <col min="12320" max="12320" width="35.7109375" style="163" customWidth="1"/>
    <col min="12321" max="12322" width="17.140625" style="163" customWidth="1"/>
    <col min="12323" max="12537" width="8.85546875" style="163"/>
    <col min="12538" max="12538" width="30.7109375" style="163" customWidth="1"/>
    <col min="12539" max="12552" width="17" style="163" customWidth="1"/>
    <col min="12553" max="12557" width="17.7109375" style="163" customWidth="1"/>
    <col min="12558" max="12558" width="47.28515625" style="163" bestFit="1" customWidth="1"/>
    <col min="12559" max="12561" width="15.7109375" style="163" customWidth="1"/>
    <col min="12562" max="12562" width="25.5703125" style="163" bestFit="1" customWidth="1"/>
    <col min="12563" max="12563" width="28.85546875" style="163" customWidth="1"/>
    <col min="12564" max="12566" width="17.28515625" style="163" customWidth="1"/>
    <col min="12567" max="12567" width="14" style="163" customWidth="1"/>
    <col min="12568" max="12569" width="11.7109375" style="163" customWidth="1"/>
    <col min="12570" max="12570" width="12.7109375" style="163" customWidth="1"/>
    <col min="12571" max="12572" width="11.7109375" style="163" customWidth="1"/>
    <col min="12573" max="12574" width="14.7109375" style="163" customWidth="1"/>
    <col min="12575" max="12575" width="7.7109375" style="163" customWidth="1"/>
    <col min="12576" max="12576" width="35.7109375" style="163" customWidth="1"/>
    <col min="12577" max="12578" width="17.140625" style="163" customWidth="1"/>
    <col min="12579" max="12793" width="8.85546875" style="163"/>
    <col min="12794" max="12794" width="30.7109375" style="163" customWidth="1"/>
    <col min="12795" max="12808" width="17" style="163" customWidth="1"/>
    <col min="12809" max="12813" width="17.7109375" style="163" customWidth="1"/>
    <col min="12814" max="12814" width="47.28515625" style="163" bestFit="1" customWidth="1"/>
    <col min="12815" max="12817" width="15.7109375" style="163" customWidth="1"/>
    <col min="12818" max="12818" width="25.5703125" style="163" bestFit="1" customWidth="1"/>
    <col min="12819" max="12819" width="28.85546875" style="163" customWidth="1"/>
    <col min="12820" max="12822" width="17.28515625" style="163" customWidth="1"/>
    <col min="12823" max="12823" width="14" style="163" customWidth="1"/>
    <col min="12824" max="12825" width="11.7109375" style="163" customWidth="1"/>
    <col min="12826" max="12826" width="12.7109375" style="163" customWidth="1"/>
    <col min="12827" max="12828" width="11.7109375" style="163" customWidth="1"/>
    <col min="12829" max="12830" width="14.7109375" style="163" customWidth="1"/>
    <col min="12831" max="12831" width="7.7109375" style="163" customWidth="1"/>
    <col min="12832" max="12832" width="35.7109375" style="163" customWidth="1"/>
    <col min="12833" max="12834" width="17.140625" style="163" customWidth="1"/>
    <col min="12835" max="13049" width="8.85546875" style="163"/>
    <col min="13050" max="13050" width="30.7109375" style="163" customWidth="1"/>
    <col min="13051" max="13064" width="17" style="163" customWidth="1"/>
    <col min="13065" max="13069" width="17.7109375" style="163" customWidth="1"/>
    <col min="13070" max="13070" width="47.28515625" style="163" bestFit="1" customWidth="1"/>
    <col min="13071" max="13073" width="15.7109375" style="163" customWidth="1"/>
    <col min="13074" max="13074" width="25.5703125" style="163" bestFit="1" customWidth="1"/>
    <col min="13075" max="13075" width="28.85546875" style="163" customWidth="1"/>
    <col min="13076" max="13078" width="17.28515625" style="163" customWidth="1"/>
    <col min="13079" max="13079" width="14" style="163" customWidth="1"/>
    <col min="13080" max="13081" width="11.7109375" style="163" customWidth="1"/>
    <col min="13082" max="13082" width="12.7109375" style="163" customWidth="1"/>
    <col min="13083" max="13084" width="11.7109375" style="163" customWidth="1"/>
    <col min="13085" max="13086" width="14.7109375" style="163" customWidth="1"/>
    <col min="13087" max="13087" width="7.7109375" style="163" customWidth="1"/>
    <col min="13088" max="13088" width="35.7109375" style="163" customWidth="1"/>
    <col min="13089" max="13090" width="17.140625" style="163" customWidth="1"/>
    <col min="13091" max="13305" width="8.85546875" style="163"/>
    <col min="13306" max="13306" width="30.7109375" style="163" customWidth="1"/>
    <col min="13307" max="13320" width="17" style="163" customWidth="1"/>
    <col min="13321" max="13325" width="17.7109375" style="163" customWidth="1"/>
    <col min="13326" max="13326" width="47.28515625" style="163" bestFit="1" customWidth="1"/>
    <col min="13327" max="13329" width="15.7109375" style="163" customWidth="1"/>
    <col min="13330" max="13330" width="25.5703125" style="163" bestFit="1" customWidth="1"/>
    <col min="13331" max="13331" width="28.85546875" style="163" customWidth="1"/>
    <col min="13332" max="13334" width="17.28515625" style="163" customWidth="1"/>
    <col min="13335" max="13335" width="14" style="163" customWidth="1"/>
    <col min="13336" max="13337" width="11.7109375" style="163" customWidth="1"/>
    <col min="13338" max="13338" width="12.7109375" style="163" customWidth="1"/>
    <col min="13339" max="13340" width="11.7109375" style="163" customWidth="1"/>
    <col min="13341" max="13342" width="14.7109375" style="163" customWidth="1"/>
    <col min="13343" max="13343" width="7.7109375" style="163" customWidth="1"/>
    <col min="13344" max="13344" width="35.7109375" style="163" customWidth="1"/>
    <col min="13345" max="13346" width="17.140625" style="163" customWidth="1"/>
    <col min="13347" max="13561" width="8.85546875" style="163"/>
    <col min="13562" max="13562" width="30.7109375" style="163" customWidth="1"/>
    <col min="13563" max="13576" width="17" style="163" customWidth="1"/>
    <col min="13577" max="13581" width="17.7109375" style="163" customWidth="1"/>
    <col min="13582" max="13582" width="47.28515625" style="163" bestFit="1" customWidth="1"/>
    <col min="13583" max="13585" width="15.7109375" style="163" customWidth="1"/>
    <col min="13586" max="13586" width="25.5703125" style="163" bestFit="1" customWidth="1"/>
    <col min="13587" max="13587" width="28.85546875" style="163" customWidth="1"/>
    <col min="13588" max="13590" width="17.28515625" style="163" customWidth="1"/>
    <col min="13591" max="13591" width="14" style="163" customWidth="1"/>
    <col min="13592" max="13593" width="11.7109375" style="163" customWidth="1"/>
    <col min="13594" max="13594" width="12.7109375" style="163" customWidth="1"/>
    <col min="13595" max="13596" width="11.7109375" style="163" customWidth="1"/>
    <col min="13597" max="13598" width="14.7109375" style="163" customWidth="1"/>
    <col min="13599" max="13599" width="7.7109375" style="163" customWidth="1"/>
    <col min="13600" max="13600" width="35.7109375" style="163" customWidth="1"/>
    <col min="13601" max="13602" width="17.140625" style="163" customWidth="1"/>
    <col min="13603" max="13817" width="8.85546875" style="163"/>
    <col min="13818" max="13818" width="30.7109375" style="163" customWidth="1"/>
    <col min="13819" max="13832" width="17" style="163" customWidth="1"/>
    <col min="13833" max="13837" width="17.7109375" style="163" customWidth="1"/>
    <col min="13838" max="13838" width="47.28515625" style="163" bestFit="1" customWidth="1"/>
    <col min="13839" max="13841" width="15.7109375" style="163" customWidth="1"/>
    <col min="13842" max="13842" width="25.5703125" style="163" bestFit="1" customWidth="1"/>
    <col min="13843" max="13843" width="28.85546875" style="163" customWidth="1"/>
    <col min="13844" max="13846" width="17.28515625" style="163" customWidth="1"/>
    <col min="13847" max="13847" width="14" style="163" customWidth="1"/>
    <col min="13848" max="13849" width="11.7109375" style="163" customWidth="1"/>
    <col min="13850" max="13850" width="12.7109375" style="163" customWidth="1"/>
    <col min="13851" max="13852" width="11.7109375" style="163" customWidth="1"/>
    <col min="13853" max="13854" width="14.7109375" style="163" customWidth="1"/>
    <col min="13855" max="13855" width="7.7109375" style="163" customWidth="1"/>
    <col min="13856" max="13856" width="35.7109375" style="163" customWidth="1"/>
    <col min="13857" max="13858" width="17.140625" style="163" customWidth="1"/>
    <col min="13859" max="14073" width="8.85546875" style="163"/>
    <col min="14074" max="14074" width="30.7109375" style="163" customWidth="1"/>
    <col min="14075" max="14088" width="17" style="163" customWidth="1"/>
    <col min="14089" max="14093" width="17.7109375" style="163" customWidth="1"/>
    <col min="14094" max="14094" width="47.28515625" style="163" bestFit="1" customWidth="1"/>
    <col min="14095" max="14097" width="15.7109375" style="163" customWidth="1"/>
    <col min="14098" max="14098" width="25.5703125" style="163" bestFit="1" customWidth="1"/>
    <col min="14099" max="14099" width="28.85546875" style="163" customWidth="1"/>
    <col min="14100" max="14102" width="17.28515625" style="163" customWidth="1"/>
    <col min="14103" max="14103" width="14" style="163" customWidth="1"/>
    <col min="14104" max="14105" width="11.7109375" style="163" customWidth="1"/>
    <col min="14106" max="14106" width="12.7109375" style="163" customWidth="1"/>
    <col min="14107" max="14108" width="11.7109375" style="163" customWidth="1"/>
    <col min="14109" max="14110" width="14.7109375" style="163" customWidth="1"/>
    <col min="14111" max="14111" width="7.7109375" style="163" customWidth="1"/>
    <col min="14112" max="14112" width="35.7109375" style="163" customWidth="1"/>
    <col min="14113" max="14114" width="17.140625" style="163" customWidth="1"/>
    <col min="14115" max="14329" width="8.85546875" style="163"/>
    <col min="14330" max="14330" width="30.7109375" style="163" customWidth="1"/>
    <col min="14331" max="14344" width="17" style="163" customWidth="1"/>
    <col min="14345" max="14349" width="17.7109375" style="163" customWidth="1"/>
    <col min="14350" max="14350" width="47.28515625" style="163" bestFit="1" customWidth="1"/>
    <col min="14351" max="14353" width="15.7109375" style="163" customWidth="1"/>
    <col min="14354" max="14354" width="25.5703125" style="163" bestFit="1" customWidth="1"/>
    <col min="14355" max="14355" width="28.85546875" style="163" customWidth="1"/>
    <col min="14356" max="14358" width="17.28515625" style="163" customWidth="1"/>
    <col min="14359" max="14359" width="14" style="163" customWidth="1"/>
    <col min="14360" max="14361" width="11.7109375" style="163" customWidth="1"/>
    <col min="14362" max="14362" width="12.7109375" style="163" customWidth="1"/>
    <col min="14363" max="14364" width="11.7109375" style="163" customWidth="1"/>
    <col min="14365" max="14366" width="14.7109375" style="163" customWidth="1"/>
    <col min="14367" max="14367" width="7.7109375" style="163" customWidth="1"/>
    <col min="14368" max="14368" width="35.7109375" style="163" customWidth="1"/>
    <col min="14369" max="14370" width="17.140625" style="163" customWidth="1"/>
    <col min="14371" max="14585" width="8.85546875" style="163"/>
    <col min="14586" max="14586" width="30.7109375" style="163" customWidth="1"/>
    <col min="14587" max="14600" width="17" style="163" customWidth="1"/>
    <col min="14601" max="14605" width="17.7109375" style="163" customWidth="1"/>
    <col min="14606" max="14606" width="47.28515625" style="163" bestFit="1" customWidth="1"/>
    <col min="14607" max="14609" width="15.7109375" style="163" customWidth="1"/>
    <col min="14610" max="14610" width="25.5703125" style="163" bestFit="1" customWidth="1"/>
    <col min="14611" max="14611" width="28.85546875" style="163" customWidth="1"/>
    <col min="14612" max="14614" width="17.28515625" style="163" customWidth="1"/>
    <col min="14615" max="14615" width="14" style="163" customWidth="1"/>
    <col min="14616" max="14617" width="11.7109375" style="163" customWidth="1"/>
    <col min="14618" max="14618" width="12.7109375" style="163" customWidth="1"/>
    <col min="14619" max="14620" width="11.7109375" style="163" customWidth="1"/>
    <col min="14621" max="14622" width="14.7109375" style="163" customWidth="1"/>
    <col min="14623" max="14623" width="7.7109375" style="163" customWidth="1"/>
    <col min="14624" max="14624" width="35.7109375" style="163" customWidth="1"/>
    <col min="14625" max="14626" width="17.140625" style="163" customWidth="1"/>
    <col min="14627" max="14841" width="8.85546875" style="163"/>
    <col min="14842" max="14842" width="30.7109375" style="163" customWidth="1"/>
    <col min="14843" max="14856" width="17" style="163" customWidth="1"/>
    <col min="14857" max="14861" width="17.7109375" style="163" customWidth="1"/>
    <col min="14862" max="14862" width="47.28515625" style="163" bestFit="1" customWidth="1"/>
    <col min="14863" max="14865" width="15.7109375" style="163" customWidth="1"/>
    <col min="14866" max="14866" width="25.5703125" style="163" bestFit="1" customWidth="1"/>
    <col min="14867" max="14867" width="28.85546875" style="163" customWidth="1"/>
    <col min="14868" max="14870" width="17.28515625" style="163" customWidth="1"/>
    <col min="14871" max="14871" width="14" style="163" customWidth="1"/>
    <col min="14872" max="14873" width="11.7109375" style="163" customWidth="1"/>
    <col min="14874" max="14874" width="12.7109375" style="163" customWidth="1"/>
    <col min="14875" max="14876" width="11.7109375" style="163" customWidth="1"/>
    <col min="14877" max="14878" width="14.7109375" style="163" customWidth="1"/>
    <col min="14879" max="14879" width="7.7109375" style="163" customWidth="1"/>
    <col min="14880" max="14880" width="35.7109375" style="163" customWidth="1"/>
    <col min="14881" max="14882" width="17.140625" style="163" customWidth="1"/>
    <col min="14883" max="15097" width="8.85546875" style="163"/>
    <col min="15098" max="15098" width="30.7109375" style="163" customWidth="1"/>
    <col min="15099" max="15112" width="17" style="163" customWidth="1"/>
    <col min="15113" max="15117" width="17.7109375" style="163" customWidth="1"/>
    <col min="15118" max="15118" width="47.28515625" style="163" bestFit="1" customWidth="1"/>
    <col min="15119" max="15121" width="15.7109375" style="163" customWidth="1"/>
    <col min="15122" max="15122" width="25.5703125" style="163" bestFit="1" customWidth="1"/>
    <col min="15123" max="15123" width="28.85546875" style="163" customWidth="1"/>
    <col min="15124" max="15126" width="17.28515625" style="163" customWidth="1"/>
    <col min="15127" max="15127" width="14" style="163" customWidth="1"/>
    <col min="15128" max="15129" width="11.7109375" style="163" customWidth="1"/>
    <col min="15130" max="15130" width="12.7109375" style="163" customWidth="1"/>
    <col min="15131" max="15132" width="11.7109375" style="163" customWidth="1"/>
    <col min="15133" max="15134" width="14.7109375" style="163" customWidth="1"/>
    <col min="15135" max="15135" width="7.7109375" style="163" customWidth="1"/>
    <col min="15136" max="15136" width="35.7109375" style="163" customWidth="1"/>
    <col min="15137" max="15138" width="17.140625" style="163" customWidth="1"/>
    <col min="15139" max="15353" width="8.85546875" style="163"/>
    <col min="15354" max="15354" width="30.7109375" style="163" customWidth="1"/>
    <col min="15355" max="15368" width="17" style="163" customWidth="1"/>
    <col min="15369" max="15373" width="17.7109375" style="163" customWidth="1"/>
    <col min="15374" max="15374" width="47.28515625" style="163" bestFit="1" customWidth="1"/>
    <col min="15375" max="15377" width="15.7109375" style="163" customWidth="1"/>
    <col min="15378" max="15378" width="25.5703125" style="163" bestFit="1" customWidth="1"/>
    <col min="15379" max="15379" width="28.85546875" style="163" customWidth="1"/>
    <col min="15380" max="15382" width="17.28515625" style="163" customWidth="1"/>
    <col min="15383" max="15383" width="14" style="163" customWidth="1"/>
    <col min="15384" max="15385" width="11.7109375" style="163" customWidth="1"/>
    <col min="15386" max="15386" width="12.7109375" style="163" customWidth="1"/>
    <col min="15387" max="15388" width="11.7109375" style="163" customWidth="1"/>
    <col min="15389" max="15390" width="14.7109375" style="163" customWidth="1"/>
    <col min="15391" max="15391" width="7.7109375" style="163" customWidth="1"/>
    <col min="15392" max="15392" width="35.7109375" style="163" customWidth="1"/>
    <col min="15393" max="15394" width="17.140625" style="163" customWidth="1"/>
    <col min="15395" max="15609" width="8.85546875" style="163"/>
    <col min="15610" max="15610" width="30.7109375" style="163" customWidth="1"/>
    <col min="15611" max="15624" width="17" style="163" customWidth="1"/>
    <col min="15625" max="15629" width="17.7109375" style="163" customWidth="1"/>
    <col min="15630" max="15630" width="47.28515625" style="163" bestFit="1" customWidth="1"/>
    <col min="15631" max="15633" width="15.7109375" style="163" customWidth="1"/>
    <col min="15634" max="15634" width="25.5703125" style="163" bestFit="1" customWidth="1"/>
    <col min="15635" max="15635" width="28.85546875" style="163" customWidth="1"/>
    <col min="15636" max="15638" width="17.28515625" style="163" customWidth="1"/>
    <col min="15639" max="15639" width="14" style="163" customWidth="1"/>
    <col min="15640" max="15641" width="11.7109375" style="163" customWidth="1"/>
    <col min="15642" max="15642" width="12.7109375" style="163" customWidth="1"/>
    <col min="15643" max="15644" width="11.7109375" style="163" customWidth="1"/>
    <col min="15645" max="15646" width="14.7109375" style="163" customWidth="1"/>
    <col min="15647" max="15647" width="7.7109375" style="163" customWidth="1"/>
    <col min="15648" max="15648" width="35.7109375" style="163" customWidth="1"/>
    <col min="15649" max="15650" width="17.140625" style="163" customWidth="1"/>
    <col min="15651" max="15865" width="8.85546875" style="163"/>
    <col min="15866" max="15866" width="30.7109375" style="163" customWidth="1"/>
    <col min="15867" max="15880" width="17" style="163" customWidth="1"/>
    <col min="15881" max="15885" width="17.7109375" style="163" customWidth="1"/>
    <col min="15886" max="15886" width="47.28515625" style="163" bestFit="1" customWidth="1"/>
    <col min="15887" max="15889" width="15.7109375" style="163" customWidth="1"/>
    <col min="15890" max="15890" width="25.5703125" style="163" bestFit="1" customWidth="1"/>
    <col min="15891" max="15891" width="28.85546875" style="163" customWidth="1"/>
    <col min="15892" max="15894" width="17.28515625" style="163" customWidth="1"/>
    <col min="15895" max="15895" width="14" style="163" customWidth="1"/>
    <col min="15896" max="15897" width="11.7109375" style="163" customWidth="1"/>
    <col min="15898" max="15898" width="12.7109375" style="163" customWidth="1"/>
    <col min="15899" max="15900" width="11.7109375" style="163" customWidth="1"/>
    <col min="15901" max="15902" width="14.7109375" style="163" customWidth="1"/>
    <col min="15903" max="15903" width="7.7109375" style="163" customWidth="1"/>
    <col min="15904" max="15904" width="35.7109375" style="163" customWidth="1"/>
    <col min="15905" max="15906" width="17.140625" style="163" customWidth="1"/>
    <col min="15907" max="16121" width="8.85546875" style="163"/>
    <col min="16122" max="16122" width="30.7109375" style="163" customWidth="1"/>
    <col min="16123" max="16136" width="17" style="163" customWidth="1"/>
    <col min="16137" max="16141" width="17.7109375" style="163" customWidth="1"/>
    <col min="16142" max="16142" width="47.28515625" style="163" bestFit="1" customWidth="1"/>
    <col min="16143" max="16145" width="15.7109375" style="163" customWidth="1"/>
    <col min="16146" max="16146" width="25.5703125" style="163" bestFit="1" customWidth="1"/>
    <col min="16147" max="16147" width="28.85546875" style="163" customWidth="1"/>
    <col min="16148" max="16150" width="17.28515625" style="163" customWidth="1"/>
    <col min="16151" max="16151" width="14" style="163" customWidth="1"/>
    <col min="16152" max="16153" width="11.7109375" style="163" customWidth="1"/>
    <col min="16154" max="16154" width="12.7109375" style="163" customWidth="1"/>
    <col min="16155" max="16156" width="11.7109375" style="163" customWidth="1"/>
    <col min="16157" max="16158" width="14.7109375" style="163" customWidth="1"/>
    <col min="16159" max="16159" width="7.7109375" style="163" customWidth="1"/>
    <col min="16160" max="16160" width="35.7109375" style="163" customWidth="1"/>
    <col min="16161" max="16162" width="17.140625" style="163" customWidth="1"/>
    <col min="16163" max="16384" width="8.85546875" style="163"/>
  </cols>
  <sheetData>
    <row r="1" spans="1:25" x14ac:dyDescent="0.3">
      <c r="A1" s="560" t="s">
        <v>268</v>
      </c>
      <c r="B1" s="561"/>
      <c r="C1" s="561"/>
      <c r="D1" s="561"/>
      <c r="E1" s="561"/>
      <c r="F1" s="561"/>
      <c r="G1" s="561"/>
      <c r="H1" s="561"/>
      <c r="I1" s="561"/>
      <c r="J1" s="561"/>
      <c r="K1" s="562"/>
      <c r="L1" s="563" t="s">
        <v>269</v>
      </c>
      <c r="M1" s="563"/>
      <c r="N1" s="563"/>
      <c r="O1" s="564"/>
    </row>
    <row r="2" spans="1:25" x14ac:dyDescent="0.3">
      <c r="A2" s="567" t="s">
        <v>270</v>
      </c>
      <c r="B2" s="568" t="s">
        <v>271</v>
      </c>
      <c r="C2" s="568"/>
      <c r="D2" s="568"/>
      <c r="E2" s="568"/>
      <c r="F2" s="568"/>
      <c r="G2" s="538" t="s">
        <v>272</v>
      </c>
      <c r="H2" s="539"/>
      <c r="I2" s="539"/>
      <c r="J2" s="540"/>
      <c r="K2" s="164" t="s">
        <v>273</v>
      </c>
      <c r="L2" s="565"/>
      <c r="M2" s="565"/>
      <c r="N2" s="565"/>
      <c r="O2" s="566"/>
    </row>
    <row r="3" spans="1:25" ht="45" x14ac:dyDescent="0.3">
      <c r="A3" s="567"/>
      <c r="B3" s="165" t="s">
        <v>274</v>
      </c>
      <c r="C3" s="165" t="s">
        <v>275</v>
      </c>
      <c r="D3" s="165" t="s">
        <v>276</v>
      </c>
      <c r="E3" s="165" t="s">
        <v>296</v>
      </c>
      <c r="F3" s="165" t="s">
        <v>279</v>
      </c>
      <c r="G3" s="165" t="s">
        <v>344</v>
      </c>
      <c r="H3" s="165" t="s">
        <v>281</v>
      </c>
      <c r="I3" s="165" t="s">
        <v>345</v>
      </c>
      <c r="J3" s="165" t="s">
        <v>282</v>
      </c>
      <c r="K3" s="166" t="s">
        <v>284</v>
      </c>
      <c r="L3" s="167" t="s">
        <v>285</v>
      </c>
      <c r="M3" s="168" t="s">
        <v>286</v>
      </c>
      <c r="N3" s="168" t="s">
        <v>287</v>
      </c>
      <c r="O3" s="169" t="s">
        <v>288</v>
      </c>
    </row>
    <row r="4" spans="1:25" x14ac:dyDescent="0.3">
      <c r="A4" s="170" t="s">
        <v>341</v>
      </c>
      <c r="B4" s="171">
        <v>1382.35</v>
      </c>
      <c r="C4" s="171">
        <v>72.53</v>
      </c>
      <c r="D4" s="171">
        <v>93.75</v>
      </c>
      <c r="E4" s="171">
        <v>580.04999999999995</v>
      </c>
      <c r="F4" s="171">
        <v>131.41</v>
      </c>
      <c r="G4" s="171">
        <v>1074.82</v>
      </c>
      <c r="H4" s="171">
        <v>362.53</v>
      </c>
      <c r="I4" s="171">
        <v>57</v>
      </c>
      <c r="J4" s="171">
        <v>0</v>
      </c>
      <c r="K4" s="172">
        <v>1519.39</v>
      </c>
      <c r="L4" s="173">
        <f>SUM(B4:F4)</f>
        <v>2260.0899999999997</v>
      </c>
      <c r="M4" s="174">
        <f>SUM(G4:J4)</f>
        <v>1494.35</v>
      </c>
      <c r="N4" s="174">
        <f>SUM(J4:K4)</f>
        <v>1519.39</v>
      </c>
      <c r="O4" s="175">
        <f>SUM(L4:N4)</f>
        <v>5273.83</v>
      </c>
    </row>
    <row r="5" spans="1:25" x14ac:dyDescent="0.3">
      <c r="A5" s="170" t="s">
        <v>342</v>
      </c>
      <c r="B5" s="171">
        <v>141.6</v>
      </c>
      <c r="C5" s="171">
        <v>129.31</v>
      </c>
      <c r="D5" s="171">
        <v>0</v>
      </c>
      <c r="E5" s="171">
        <v>0</v>
      </c>
      <c r="F5" s="171">
        <v>12.64</v>
      </c>
      <c r="G5" s="171">
        <v>456.95</v>
      </c>
      <c r="H5" s="171">
        <v>48.67</v>
      </c>
      <c r="I5" s="171">
        <v>2595.4499999999998</v>
      </c>
      <c r="J5" s="171">
        <v>29.45</v>
      </c>
      <c r="K5" s="172">
        <v>0</v>
      </c>
      <c r="L5" s="173">
        <f>SUM(B5:F5)</f>
        <v>283.54999999999995</v>
      </c>
      <c r="M5" s="174">
        <f>SUM(G5:I5)</f>
        <v>3101.0699999999997</v>
      </c>
      <c r="N5" s="174">
        <f>SUM(J5:K5)</f>
        <v>29.45</v>
      </c>
      <c r="O5" s="175">
        <f>SUM(L5:N5)</f>
        <v>3414.0699999999997</v>
      </c>
    </row>
    <row r="6" spans="1:25" x14ac:dyDescent="0.3">
      <c r="A6" s="170" t="s">
        <v>343</v>
      </c>
      <c r="B6" s="171">
        <v>637.72</v>
      </c>
      <c r="C6" s="171">
        <v>0</v>
      </c>
      <c r="D6" s="171">
        <v>0</v>
      </c>
      <c r="E6" s="171">
        <v>636.67999999999995</v>
      </c>
      <c r="F6" s="171">
        <v>58</v>
      </c>
      <c r="G6" s="171">
        <v>141.47</v>
      </c>
      <c r="H6" s="171">
        <v>300</v>
      </c>
      <c r="I6" s="171">
        <v>0</v>
      </c>
      <c r="J6" s="171">
        <v>0</v>
      </c>
      <c r="K6" s="172">
        <v>82.72</v>
      </c>
      <c r="L6" s="173">
        <f>SUM(B6:F6)</f>
        <v>1332.4</v>
      </c>
      <c r="M6" s="174">
        <f>SUM(G6:H6)</f>
        <v>441.47</v>
      </c>
      <c r="N6" s="174">
        <f>SUM(J6:K6)</f>
        <v>82.72</v>
      </c>
      <c r="O6" s="175">
        <f>SUM(L6:N6)</f>
        <v>1856.5900000000001</v>
      </c>
    </row>
    <row r="7" spans="1:25" ht="18" thickBot="1" x14ac:dyDescent="0.35"/>
    <row r="8" spans="1:25" x14ac:dyDescent="0.3">
      <c r="A8" s="547" t="s">
        <v>301</v>
      </c>
      <c r="B8" s="548"/>
      <c r="C8" s="548"/>
      <c r="D8" s="548"/>
      <c r="E8" s="548"/>
      <c r="F8" s="548"/>
      <c r="G8" s="548"/>
      <c r="H8" s="548"/>
      <c r="I8" s="548"/>
      <c r="J8" s="548"/>
      <c r="K8" s="549"/>
      <c r="Y8" s="184"/>
    </row>
    <row r="9" spans="1:25" x14ac:dyDescent="0.3">
      <c r="A9" s="550" t="s">
        <v>303</v>
      </c>
      <c r="B9" s="551" t="s">
        <v>285</v>
      </c>
      <c r="C9" s="551"/>
      <c r="D9" s="551"/>
      <c r="E9" s="551"/>
      <c r="F9" s="551"/>
      <c r="G9" s="535" t="s">
        <v>286</v>
      </c>
      <c r="H9" s="536"/>
      <c r="I9" s="536"/>
      <c r="J9" s="537"/>
      <c r="K9" s="187" t="s">
        <v>273</v>
      </c>
    </row>
    <row r="10" spans="1:25" ht="45" x14ac:dyDescent="0.3">
      <c r="A10" s="550"/>
      <c r="B10" s="186" t="s">
        <v>274</v>
      </c>
      <c r="C10" s="186" t="s">
        <v>275</v>
      </c>
      <c r="D10" s="186" t="s">
        <v>276</v>
      </c>
      <c r="E10" s="186" t="s">
        <v>278</v>
      </c>
      <c r="F10" s="186" t="s">
        <v>279</v>
      </c>
      <c r="G10" s="186" t="s">
        <v>280</v>
      </c>
      <c r="H10" s="186" t="s">
        <v>281</v>
      </c>
      <c r="I10" s="186" t="s">
        <v>346</v>
      </c>
      <c r="J10" s="186" t="s">
        <v>282</v>
      </c>
      <c r="K10" s="187" t="s">
        <v>284</v>
      </c>
    </row>
    <row r="11" spans="1:25" x14ac:dyDescent="0.3">
      <c r="A11" s="185" t="s">
        <v>305</v>
      </c>
      <c r="B11" s="188" t="s">
        <v>306</v>
      </c>
      <c r="C11" s="188" t="s">
        <v>394</v>
      </c>
      <c r="D11" s="188" t="s">
        <v>307</v>
      </c>
      <c r="E11" s="188" t="s">
        <v>306</v>
      </c>
      <c r="F11" s="188" t="s">
        <v>306</v>
      </c>
      <c r="G11" s="188" t="s">
        <v>307</v>
      </c>
      <c r="H11" s="188" t="s">
        <v>306</v>
      </c>
      <c r="I11" s="188" t="s">
        <v>307</v>
      </c>
      <c r="J11" s="188" t="s">
        <v>309</v>
      </c>
      <c r="K11" s="189" t="s">
        <v>310</v>
      </c>
    </row>
    <row r="12" spans="1:25" x14ac:dyDescent="0.3">
      <c r="A12" s="170" t="s">
        <v>341</v>
      </c>
      <c r="B12" s="231">
        <v>800</v>
      </c>
      <c r="C12" s="231">
        <v>1500</v>
      </c>
      <c r="D12" s="231">
        <v>360</v>
      </c>
      <c r="E12" s="231">
        <v>1000</v>
      </c>
      <c r="F12" s="231">
        <v>200</v>
      </c>
      <c r="G12" s="231">
        <v>1800</v>
      </c>
      <c r="H12" s="231">
        <v>6000</v>
      </c>
      <c r="I12" s="231">
        <v>1800</v>
      </c>
      <c r="J12" s="231">
        <v>300</v>
      </c>
      <c r="K12" s="232">
        <v>130</v>
      </c>
    </row>
    <row r="13" spans="1:25" x14ac:dyDescent="0.3">
      <c r="A13" s="170" t="s">
        <v>342</v>
      </c>
      <c r="B13" s="231">
        <v>800</v>
      </c>
      <c r="C13" s="231">
        <v>1500</v>
      </c>
      <c r="D13" s="231">
        <v>360</v>
      </c>
      <c r="E13" s="231">
        <v>1000</v>
      </c>
      <c r="F13" s="231">
        <v>200</v>
      </c>
      <c r="G13" s="231">
        <v>1800</v>
      </c>
      <c r="H13" s="231">
        <v>6000</v>
      </c>
      <c r="I13" s="231">
        <v>1800</v>
      </c>
      <c r="J13" s="231">
        <v>300</v>
      </c>
      <c r="K13" s="232">
        <v>130</v>
      </c>
    </row>
    <row r="14" spans="1:25" x14ac:dyDescent="0.3">
      <c r="A14" s="170" t="s">
        <v>343</v>
      </c>
      <c r="B14" s="231">
        <v>800</v>
      </c>
      <c r="C14" s="231">
        <v>1500</v>
      </c>
      <c r="D14" s="231">
        <v>360</v>
      </c>
      <c r="E14" s="231">
        <v>1000</v>
      </c>
      <c r="F14" s="231">
        <v>200</v>
      </c>
      <c r="G14" s="231">
        <v>1800</v>
      </c>
      <c r="H14" s="231">
        <v>6000</v>
      </c>
      <c r="I14" s="231">
        <v>1800</v>
      </c>
      <c r="J14" s="231">
        <v>300</v>
      </c>
      <c r="K14" s="232">
        <v>130</v>
      </c>
    </row>
    <row r="15" spans="1:25" ht="18" thickBot="1" x14ac:dyDescent="0.35"/>
    <row r="16" spans="1:25" x14ac:dyDescent="0.3">
      <c r="A16" s="205" t="s">
        <v>109</v>
      </c>
      <c r="B16" s="206">
        <v>800</v>
      </c>
      <c r="C16" s="206">
        <v>1500</v>
      </c>
      <c r="D16" s="206">
        <v>360</v>
      </c>
      <c r="E16" s="206">
        <v>1000</v>
      </c>
      <c r="F16" s="206">
        <v>200</v>
      </c>
      <c r="G16" s="206">
        <v>1800</v>
      </c>
      <c r="H16" s="206">
        <v>6000</v>
      </c>
      <c r="I16" s="206">
        <v>1800</v>
      </c>
      <c r="J16" s="207">
        <v>300</v>
      </c>
      <c r="K16" s="207">
        <v>130</v>
      </c>
      <c r="L16" s="208" t="s">
        <v>327</v>
      </c>
      <c r="M16" s="209"/>
      <c r="N16" s="209"/>
      <c r="O16" s="209"/>
      <c r="P16" s="209"/>
    </row>
    <row r="17" spans="1:16" ht="25.5" x14ac:dyDescent="0.3">
      <c r="A17" s="210" t="s">
        <v>329</v>
      </c>
      <c r="B17" s="126" t="s">
        <v>330</v>
      </c>
      <c r="C17" s="126" t="s">
        <v>388</v>
      </c>
      <c r="D17" s="126" t="s">
        <v>331</v>
      </c>
      <c r="E17" s="126" t="s">
        <v>330</v>
      </c>
      <c r="F17" s="126" t="s">
        <v>330</v>
      </c>
      <c r="G17" s="126" t="s">
        <v>331</v>
      </c>
      <c r="H17" s="126" t="s">
        <v>330</v>
      </c>
      <c r="I17" s="211" t="s">
        <v>331</v>
      </c>
      <c r="J17" s="211" t="s">
        <v>332</v>
      </c>
      <c r="K17" s="211" t="s">
        <v>333</v>
      </c>
      <c r="L17" s="212" t="s">
        <v>334</v>
      </c>
      <c r="M17" s="213"/>
      <c r="N17" s="213"/>
      <c r="O17" s="213"/>
      <c r="P17" s="213"/>
    </row>
    <row r="18" spans="1:16" ht="18" thickBot="1" x14ac:dyDescent="0.35">
      <c r="A18" s="214" t="s">
        <v>335</v>
      </c>
      <c r="B18" s="215">
        <f>1/B16</f>
        <v>1.25E-3</v>
      </c>
      <c r="C18" s="216">
        <f>1/(($L$18/8)*C16)</f>
        <v>2.8254573709119163E-5</v>
      </c>
      <c r="D18" s="216">
        <f>1/(($L$18/32)*D16)</f>
        <v>4.7090956181865278E-4</v>
      </c>
      <c r="E18" s="216">
        <f>1/E16</f>
        <v>1E-3</v>
      </c>
      <c r="F18" s="216">
        <f>1/F16</f>
        <v>5.0000000000000001E-3</v>
      </c>
      <c r="G18" s="216">
        <f>1/(($L$18/32)*G16)</f>
        <v>9.4181912363730543E-5</v>
      </c>
      <c r="H18" s="215">
        <f>1/H16</f>
        <v>1.6666666666666666E-4</v>
      </c>
      <c r="I18" s="216">
        <f>1/(($L$18/32)*I16)</f>
        <v>9.4181912363730543E-5</v>
      </c>
      <c r="J18" s="216">
        <f>1/(($L$18/4)*J16)</f>
        <v>7.0636434272797904E-5</v>
      </c>
      <c r="K18" s="216">
        <f>1/(($L$18/1.33)*K16)</f>
        <v>5.4199879374704559E-5</v>
      </c>
      <c r="L18" s="217">
        <f>4.29*44</f>
        <v>188.76</v>
      </c>
      <c r="M18" s="218"/>
      <c r="N18" s="218"/>
      <c r="O18" s="218"/>
      <c r="P18" s="218"/>
    </row>
    <row r="19" spans="1:16" ht="18" thickBot="1" x14ac:dyDescent="0.35"/>
    <row r="20" spans="1:16" x14ac:dyDescent="0.3">
      <c r="A20" s="544" t="s">
        <v>338</v>
      </c>
      <c r="B20" s="545"/>
      <c r="C20" s="545"/>
      <c r="D20" s="545"/>
      <c r="E20" s="545"/>
      <c r="F20" s="545"/>
      <c r="G20" s="545"/>
      <c r="H20" s="545"/>
      <c r="I20" s="545"/>
      <c r="J20" s="545"/>
      <c r="K20" s="545"/>
      <c r="L20" s="545"/>
      <c r="M20" s="545"/>
      <c r="N20" s="545"/>
      <c r="O20" s="546"/>
    </row>
    <row r="21" spans="1:16" x14ac:dyDescent="0.3">
      <c r="A21" s="558" t="s">
        <v>303</v>
      </c>
      <c r="B21" s="559" t="s">
        <v>285</v>
      </c>
      <c r="C21" s="559"/>
      <c r="D21" s="559"/>
      <c r="E21" s="559"/>
      <c r="F21" s="559"/>
      <c r="G21" s="532" t="s">
        <v>286</v>
      </c>
      <c r="H21" s="533"/>
      <c r="I21" s="533"/>
      <c r="J21" s="534"/>
      <c r="K21" s="224" t="s">
        <v>273</v>
      </c>
      <c r="L21" s="559" t="s">
        <v>285</v>
      </c>
      <c r="M21" s="559" t="s">
        <v>286</v>
      </c>
      <c r="N21" s="559" t="s">
        <v>287</v>
      </c>
      <c r="O21" s="569" t="s">
        <v>288</v>
      </c>
    </row>
    <row r="22" spans="1:16" ht="45" x14ac:dyDescent="0.3">
      <c r="A22" s="558"/>
      <c r="B22" s="224" t="s">
        <v>274</v>
      </c>
      <c r="C22" s="224" t="s">
        <v>275</v>
      </c>
      <c r="D22" s="224" t="s">
        <v>276</v>
      </c>
      <c r="E22" s="224" t="s">
        <v>278</v>
      </c>
      <c r="F22" s="224" t="s">
        <v>279</v>
      </c>
      <c r="G22" s="224" t="s">
        <v>280</v>
      </c>
      <c r="H22" s="224" t="s">
        <v>281</v>
      </c>
      <c r="I22" s="224" t="s">
        <v>346</v>
      </c>
      <c r="J22" s="224" t="s">
        <v>282</v>
      </c>
      <c r="K22" s="224" t="s">
        <v>284</v>
      </c>
      <c r="L22" s="559"/>
      <c r="M22" s="559"/>
      <c r="N22" s="559"/>
      <c r="O22" s="569"/>
    </row>
    <row r="23" spans="1:16" x14ac:dyDescent="0.3">
      <c r="A23" s="223" t="s">
        <v>305</v>
      </c>
      <c r="B23" s="227" t="s">
        <v>306</v>
      </c>
      <c r="C23" s="227" t="s">
        <v>308</v>
      </c>
      <c r="D23" s="227" t="s">
        <v>306</v>
      </c>
      <c r="E23" s="227" t="s">
        <v>306</v>
      </c>
      <c r="F23" s="227" t="s">
        <v>306</v>
      </c>
      <c r="G23" s="227" t="s">
        <v>307</v>
      </c>
      <c r="H23" s="227" t="s">
        <v>306</v>
      </c>
      <c r="I23" s="227" t="s">
        <v>307</v>
      </c>
      <c r="J23" s="227" t="s">
        <v>309</v>
      </c>
      <c r="K23" s="227" t="s">
        <v>310</v>
      </c>
      <c r="L23" s="559"/>
      <c r="M23" s="559"/>
      <c r="N23" s="559"/>
      <c r="O23" s="569"/>
    </row>
    <row r="24" spans="1:16" x14ac:dyDescent="0.3">
      <c r="A24" s="170" t="s">
        <v>341</v>
      </c>
      <c r="B24" s="228">
        <f>B4*(1/B12)</f>
        <v>1.7279374999999999</v>
      </c>
      <c r="C24" s="228">
        <f>C4*(1/(($L$18/16)*C12))</f>
        <v>4.0986084622448259E-3</v>
      </c>
      <c r="D24" s="229">
        <f t="shared" ref="D24:H25" si="0">D4*(1/D12)</f>
        <v>0.26041666666666669</v>
      </c>
      <c r="E24" s="229">
        <f t="shared" si="0"/>
        <v>0.58004999999999995</v>
      </c>
      <c r="F24" s="229">
        <f t="shared" si="0"/>
        <v>0.65705000000000002</v>
      </c>
      <c r="G24" s="229">
        <f t="shared" si="0"/>
        <v>0.59712222222222222</v>
      </c>
      <c r="H24" s="229">
        <f t="shared" si="0"/>
        <v>6.0421666666666658E-2</v>
      </c>
      <c r="I24" s="228">
        <f>I4*(1/(($L$18/32)*I12))</f>
        <v>5.3683690047326409E-3</v>
      </c>
      <c r="J24" s="228">
        <f>J4*(1/(($L$18/4)*J12))</f>
        <v>0</v>
      </c>
      <c r="K24" s="228">
        <f>K4*(1/(($L$18/1.33)*K12))</f>
        <v>8.2350754723132372E-2</v>
      </c>
      <c r="L24" s="229">
        <f>SUM(B24:F24)</f>
        <v>3.2295527751289113</v>
      </c>
      <c r="M24" s="229">
        <f>SUM(G24:J24)</f>
        <v>0.66291225789362151</v>
      </c>
      <c r="N24" s="229">
        <f>SUM(J24:K24)</f>
        <v>8.2350754723132372E-2</v>
      </c>
      <c r="O24" s="230">
        <f>SUM(L24:N24)</f>
        <v>3.9748157877456651</v>
      </c>
    </row>
    <row r="25" spans="1:16" x14ac:dyDescent="0.3">
      <c r="A25" s="170" t="s">
        <v>342</v>
      </c>
      <c r="B25" s="228">
        <f>B5*(1/B13)</f>
        <v>0.17699999999999999</v>
      </c>
      <c r="C25" s="228">
        <f>C5*(1/(($L$18/16)*C13))</f>
        <v>7.307197852652398E-3</v>
      </c>
      <c r="D25" s="229">
        <f t="shared" si="0"/>
        <v>0</v>
      </c>
      <c r="E25" s="229">
        <f t="shared" si="0"/>
        <v>0</v>
      </c>
      <c r="F25" s="229">
        <f t="shared" si="0"/>
        <v>6.3200000000000006E-2</v>
      </c>
      <c r="G25" s="229">
        <f t="shared" si="0"/>
        <v>0.25386111111111109</v>
      </c>
      <c r="H25" s="229">
        <f t="shared" si="0"/>
        <v>8.1116666666666663E-3</v>
      </c>
      <c r="I25" s="228">
        <f>I5*(1/(($L$18/32)*I13))</f>
        <v>0.24444444444444441</v>
      </c>
      <c r="J25" s="228">
        <f>J5*(1/(($L$18/4)*J13))</f>
        <v>2.0802429893338982E-3</v>
      </c>
      <c r="K25" s="228">
        <f>K5*(1/(($L$18/1.33)*K13))</f>
        <v>0</v>
      </c>
      <c r="L25" s="229">
        <f>SUM(B25:F25)</f>
        <v>0.24750719785265241</v>
      </c>
      <c r="M25" s="229">
        <f>SUM(G25:J25)</f>
        <v>0.50849746521155603</v>
      </c>
      <c r="N25" s="229">
        <f>SUM(J25:K25)</f>
        <v>2.0802429893338982E-3</v>
      </c>
      <c r="O25" s="230">
        <f>SUM(L25:N25)</f>
        <v>0.75808490605354228</v>
      </c>
    </row>
    <row r="26" spans="1:16" x14ac:dyDescent="0.3">
      <c r="A26" s="170" t="s">
        <v>343</v>
      </c>
      <c r="B26" s="228">
        <f>B6*$B$18</f>
        <v>0.79715000000000003</v>
      </c>
      <c r="C26" s="228">
        <f>C6*(1/(($L$18/16)*C14))</f>
        <v>0</v>
      </c>
      <c r="D26" s="229">
        <f>D6*(1/D14)</f>
        <v>0</v>
      </c>
      <c r="E26" s="229">
        <f>E6*$E$18</f>
        <v>0.63667999999999991</v>
      </c>
      <c r="F26" s="229">
        <f>F6*$F$18</f>
        <v>0.28999999999999998</v>
      </c>
      <c r="G26" s="229">
        <f>G6*$G$18</f>
        <v>1.332391514209696E-2</v>
      </c>
      <c r="H26" s="229">
        <f>H6*(1/H14)</f>
        <v>4.9999999999999996E-2</v>
      </c>
      <c r="I26" s="228">
        <f>I6*(1/(($L$18/32)*I14))</f>
        <v>0</v>
      </c>
      <c r="J26" s="229">
        <f>J6*$J$18</f>
        <v>0</v>
      </c>
      <c r="K26" s="228">
        <f>K6*(1/(($L$18/1.33)*K14))</f>
        <v>4.4834140218755611E-3</v>
      </c>
      <c r="L26" s="229">
        <f>SUM(B26:F26)</f>
        <v>1.72383</v>
      </c>
      <c r="M26" s="229">
        <f>SUM(G26:J26)</f>
        <v>6.3323915142096954E-2</v>
      </c>
      <c r="N26" s="229">
        <f>SUM(J26:K26)</f>
        <v>4.4834140218755611E-3</v>
      </c>
      <c r="O26" s="230">
        <f>SUM(L26:N26)</f>
        <v>1.7916373291639724</v>
      </c>
    </row>
    <row r="27" spans="1:16" ht="18" thickBot="1" x14ac:dyDescent="0.35">
      <c r="N27" s="163" t="s">
        <v>347</v>
      </c>
      <c r="O27" s="237">
        <f>SUM(O24:O26)</f>
        <v>6.5245380229631795</v>
      </c>
    </row>
    <row r="28" spans="1:16" ht="30" x14ac:dyDescent="0.3">
      <c r="A28" s="233" t="s">
        <v>289</v>
      </c>
      <c r="B28" s="234" t="s">
        <v>290</v>
      </c>
      <c r="C28" s="235" t="s">
        <v>291</v>
      </c>
    </row>
    <row r="29" spans="1:16" x14ac:dyDescent="0.3">
      <c r="A29" s="552" t="s">
        <v>292</v>
      </c>
      <c r="B29" s="553"/>
      <c r="C29" s="554"/>
    </row>
    <row r="30" spans="1:16" x14ac:dyDescent="0.3">
      <c r="A30" s="176"/>
      <c r="B30" s="177"/>
      <c r="C30" s="178"/>
    </row>
    <row r="31" spans="1:16" x14ac:dyDescent="0.3">
      <c r="A31" s="179" t="s">
        <v>293</v>
      </c>
      <c r="B31" s="180">
        <v>800</v>
      </c>
      <c r="C31" s="181">
        <v>1200</v>
      </c>
    </row>
    <row r="32" spans="1:16" x14ac:dyDescent="0.3">
      <c r="A32" s="179" t="s">
        <v>294</v>
      </c>
      <c r="B32" s="180">
        <v>1500</v>
      </c>
      <c r="C32" s="181">
        <v>2500</v>
      </c>
    </row>
    <row r="33" spans="1:3" x14ac:dyDescent="0.3">
      <c r="A33" s="179" t="s">
        <v>295</v>
      </c>
      <c r="B33" s="180">
        <v>360</v>
      </c>
      <c r="C33" s="181">
        <v>450</v>
      </c>
    </row>
    <row r="34" spans="1:3" x14ac:dyDescent="0.3">
      <c r="A34" s="179" t="s">
        <v>277</v>
      </c>
      <c r="B34" s="180">
        <v>1200</v>
      </c>
      <c r="C34" s="181">
        <v>1800</v>
      </c>
    </row>
    <row r="35" spans="1:3" x14ac:dyDescent="0.3">
      <c r="A35" s="179" t="s">
        <v>296</v>
      </c>
      <c r="B35" s="180">
        <v>1000</v>
      </c>
      <c r="C35" s="181">
        <v>1500</v>
      </c>
    </row>
    <row r="36" spans="1:3" x14ac:dyDescent="0.3">
      <c r="A36" s="179" t="s">
        <v>297</v>
      </c>
      <c r="B36" s="180">
        <v>200</v>
      </c>
      <c r="C36" s="181">
        <v>300</v>
      </c>
    </row>
    <row r="37" spans="1:3" x14ac:dyDescent="0.3">
      <c r="A37" s="555" t="s">
        <v>298</v>
      </c>
      <c r="B37" s="556"/>
      <c r="C37" s="557"/>
    </row>
    <row r="38" spans="1:3" ht="34.5" x14ac:dyDescent="0.3">
      <c r="A38" s="170" t="s">
        <v>280</v>
      </c>
      <c r="B38" s="180">
        <v>1800</v>
      </c>
      <c r="C38" s="181">
        <v>2700</v>
      </c>
    </row>
    <row r="39" spans="1:3" ht="34.5" x14ac:dyDescent="0.3">
      <c r="A39" s="170" t="s">
        <v>281</v>
      </c>
      <c r="B39" s="180">
        <v>6000</v>
      </c>
      <c r="C39" s="181">
        <v>9000</v>
      </c>
    </row>
    <row r="40" spans="1:3" ht="34.5" x14ac:dyDescent="0.3">
      <c r="A40" s="170" t="s">
        <v>299</v>
      </c>
      <c r="B40" s="180">
        <v>1800</v>
      </c>
      <c r="C40" s="181">
        <v>2700</v>
      </c>
    </row>
    <row r="41" spans="1:3" x14ac:dyDescent="0.3">
      <c r="A41" s="541" t="s">
        <v>300</v>
      </c>
      <c r="B41" s="542"/>
      <c r="C41" s="543"/>
    </row>
    <row r="42" spans="1:3" ht="34.5" x14ac:dyDescent="0.3">
      <c r="A42" s="236" t="s">
        <v>302</v>
      </c>
      <c r="B42" s="182">
        <v>130</v>
      </c>
      <c r="C42" s="183">
        <v>160</v>
      </c>
    </row>
    <row r="43" spans="1:3" ht="34.5" x14ac:dyDescent="0.3">
      <c r="A43" s="236" t="s">
        <v>304</v>
      </c>
      <c r="B43" s="180">
        <v>300</v>
      </c>
      <c r="C43" s="181">
        <v>380</v>
      </c>
    </row>
    <row r="44" spans="1:3" x14ac:dyDescent="0.3">
      <c r="A44" s="236" t="s">
        <v>283</v>
      </c>
      <c r="B44" s="180">
        <v>300</v>
      </c>
      <c r="C44" s="181">
        <v>380</v>
      </c>
    </row>
    <row r="45" spans="1:3" x14ac:dyDescent="0.3">
      <c r="A45" s="541" t="s">
        <v>311</v>
      </c>
      <c r="B45" s="542"/>
      <c r="C45" s="543"/>
    </row>
    <row r="46" spans="1:3" ht="18" thickBot="1" x14ac:dyDescent="0.35">
      <c r="A46" s="190" t="s">
        <v>312</v>
      </c>
      <c r="B46" s="191">
        <v>130</v>
      </c>
      <c r="C46" s="192">
        <v>160</v>
      </c>
    </row>
    <row r="48" spans="1:3" ht="18" thickBot="1" x14ac:dyDescent="0.35"/>
    <row r="49" spans="1:5" x14ac:dyDescent="0.3">
      <c r="A49" s="527" t="s">
        <v>313</v>
      </c>
      <c r="B49" s="528"/>
      <c r="C49" s="528"/>
      <c r="D49" s="528"/>
      <c r="E49" s="529"/>
    </row>
    <row r="50" spans="1:5" x14ac:dyDescent="0.3">
      <c r="A50" s="193" t="s">
        <v>314</v>
      </c>
      <c r="B50" s="194" t="s">
        <v>315</v>
      </c>
      <c r="C50" s="195"/>
      <c r="D50" s="196"/>
      <c r="E50" s="197"/>
    </row>
    <row r="51" spans="1:5" x14ac:dyDescent="0.3">
      <c r="A51" s="193" t="s">
        <v>316</v>
      </c>
      <c r="B51" s="194" t="s">
        <v>317</v>
      </c>
      <c r="C51" s="196"/>
      <c r="D51" s="196"/>
      <c r="E51" s="197"/>
    </row>
    <row r="52" spans="1:5" x14ac:dyDescent="0.3">
      <c r="A52" s="193" t="s">
        <v>318</v>
      </c>
      <c r="B52" s="194" t="s">
        <v>319</v>
      </c>
      <c r="C52" s="196"/>
      <c r="D52" s="196"/>
      <c r="E52" s="197"/>
    </row>
    <row r="53" spans="1:5" x14ac:dyDescent="0.3">
      <c r="A53" s="193" t="s">
        <v>320</v>
      </c>
      <c r="B53" s="194" t="s">
        <v>321</v>
      </c>
      <c r="C53" s="196"/>
      <c r="D53" s="196"/>
      <c r="E53" s="197"/>
    </row>
    <row r="54" spans="1:5" ht="18" thickBot="1" x14ac:dyDescent="0.35">
      <c r="A54" s="198" t="s">
        <v>322</v>
      </c>
      <c r="B54" s="199" t="s">
        <v>323</v>
      </c>
      <c r="C54" s="200"/>
      <c r="D54" s="200"/>
      <c r="E54" s="201"/>
    </row>
    <row r="55" spans="1:5" ht="18" thickBot="1" x14ac:dyDescent="0.35"/>
    <row r="56" spans="1:5" x14ac:dyDescent="0.3">
      <c r="A56" s="530" t="s">
        <v>324</v>
      </c>
      <c r="B56" s="531"/>
    </row>
    <row r="57" spans="1:5" ht="18" thickBot="1" x14ac:dyDescent="0.35">
      <c r="A57" s="202" t="s">
        <v>325</v>
      </c>
      <c r="B57" s="203">
        <f>4.29*44</f>
        <v>188.76</v>
      </c>
    </row>
    <row r="58" spans="1:5" x14ac:dyDescent="0.3">
      <c r="A58" s="204" t="s">
        <v>326</v>
      </c>
      <c r="B58" s="196"/>
    </row>
    <row r="59" spans="1:5" x14ac:dyDescent="0.3">
      <c r="A59" s="196" t="s">
        <v>328</v>
      </c>
    </row>
    <row r="60" spans="1:5" ht="18" thickBot="1" x14ac:dyDescent="0.35"/>
    <row r="61" spans="1:5" x14ac:dyDescent="0.3">
      <c r="A61" s="219" t="s">
        <v>336</v>
      </c>
      <c r="B61" s="220"/>
    </row>
    <row r="62" spans="1:5" x14ac:dyDescent="0.3">
      <c r="A62" s="221" t="s">
        <v>337</v>
      </c>
      <c r="B62" s="222"/>
    </row>
    <row r="63" spans="1:5" x14ac:dyDescent="0.3">
      <c r="A63" s="221" t="s">
        <v>339</v>
      </c>
      <c r="B63" s="222"/>
    </row>
    <row r="64" spans="1:5" ht="18" thickBot="1" x14ac:dyDescent="0.35">
      <c r="A64" s="225" t="s">
        <v>340</v>
      </c>
      <c r="B64" s="226"/>
    </row>
  </sheetData>
  <sheetProtection sheet="1" objects="1" scenarios="1"/>
  <mergeCells count="23">
    <mergeCell ref="A1:K1"/>
    <mergeCell ref="L1:O2"/>
    <mergeCell ref="A2:A3"/>
    <mergeCell ref="B2:F2"/>
    <mergeCell ref="N21:N23"/>
    <mergeCell ref="O21:O23"/>
    <mergeCell ref="L21:L23"/>
    <mergeCell ref="M21:M23"/>
    <mergeCell ref="A49:E49"/>
    <mergeCell ref="A56:B56"/>
    <mergeCell ref="G21:J21"/>
    <mergeCell ref="G9:J9"/>
    <mergeCell ref="G2:J2"/>
    <mergeCell ref="A45:C45"/>
    <mergeCell ref="A20:O20"/>
    <mergeCell ref="A8:K8"/>
    <mergeCell ref="A9:A10"/>
    <mergeCell ref="B9:F9"/>
    <mergeCell ref="A29:C29"/>
    <mergeCell ref="A37:C37"/>
    <mergeCell ref="A41:C41"/>
    <mergeCell ref="A21:A22"/>
    <mergeCell ref="B21:F21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SERVENTE(SI) - PMW</vt:lpstr>
      <vt:lpstr>SERVENTE(SI) - DEPÓSITO</vt:lpstr>
      <vt:lpstr>SERVENTE(SI) - AGA</vt:lpstr>
      <vt:lpstr>RESUMO COMPLETO</vt:lpstr>
      <vt:lpstr>UNIFORMES</vt:lpstr>
      <vt:lpstr>MATERIAIS E EPIS</vt:lpstr>
      <vt:lpstr>EQUIPAMENTOS</vt:lpstr>
      <vt:lpstr>INSUMOS</vt:lpstr>
      <vt:lpstr>areasxprodxfunc</vt:lpstr>
      <vt:lpstr>'SERVENTE(SI) - AGA'!_2Excel_BuiltIn_Print_Area_2_1_1</vt:lpstr>
      <vt:lpstr>'SERVENTE(SI) - DEPÓSITO'!_2Excel_BuiltIn_Print_Area_2_1_1</vt:lpstr>
      <vt:lpstr>'SERVENTE(SI) - PMW'!_2Excel_BuiltIn_Print_Area_2_1_1</vt:lpstr>
      <vt:lpstr>'SERVENTE(SI) - AGA'!Area_de_impressao</vt:lpstr>
      <vt:lpstr>'SERVENTE(SI) - DEPÓSITO'!Area_de_impressao</vt:lpstr>
      <vt:lpstr>'SERVENTE(SI) - PMW'!Area_de_impressao</vt:lpstr>
      <vt:lpstr>'SERVENTE(SI) - AGA'!Excel_BuiltIn_Print_Area_2_1</vt:lpstr>
      <vt:lpstr>'SERVENTE(SI) - DEPÓSITO'!Excel_BuiltIn_Print_Area_2_1</vt:lpstr>
      <vt:lpstr>'SERVENTE(SI) - PMW'!Excel_BuiltIn_Print_Area_2_1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OneMicro</dc:creator>
  <cp:lastModifiedBy>Mauricio Americo da Silva Brito</cp:lastModifiedBy>
  <cp:lastPrinted>2021-04-29T17:41:31Z</cp:lastPrinted>
  <dcterms:created xsi:type="dcterms:W3CDTF">2011-04-11T14:33:50Z</dcterms:created>
  <dcterms:modified xsi:type="dcterms:W3CDTF">2023-10-05T13:21:46Z</dcterms:modified>
</cp:coreProperties>
</file>