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o.ahl\Desktop\SALVOS DIVERSOS\Serviços Adestramento de Animais\"/>
    </mc:Choice>
  </mc:AlternateContent>
  <xr:revisionPtr revIDLastSave="0" documentId="13_ncr:1_{92036DA7-AF85-4500-9FA3-8F605B3A186E}" xr6:coauthVersionLast="47" xr6:coauthVersionMax="47" xr10:uidLastSave="{00000000-0000-0000-0000-000000000000}"/>
  <bookViews>
    <workbookView xWindow="28680" yWindow="-120" windowWidth="29040" windowHeight="15840" xr2:uid="{7B1FC404-E68E-4539-A464-930FA960EE40}"/>
  </bookViews>
  <sheets>
    <sheet name="adestrador" sheetId="24" r:id="rId1"/>
    <sheet name="Uniformes" sheetId="26" r:id="rId2"/>
    <sheet name="Materiais" sheetId="27" r:id="rId3"/>
  </sheets>
  <definedNames>
    <definedName name="_xlnm.Print_Area" localSheetId="0">adestrador!$A$1:$E$149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0" i="24" l="1"/>
  <c r="D92" i="24"/>
  <c r="D89" i="24"/>
  <c r="D79" i="24"/>
  <c r="D78" i="24"/>
  <c r="L11" i="26" l="1"/>
  <c r="I11" i="26"/>
  <c r="M11" i="26" s="1"/>
  <c r="L10" i="26"/>
  <c r="I10" i="26"/>
  <c r="M10" i="26" s="1"/>
  <c r="L9" i="26"/>
  <c r="K9" i="26" s="1"/>
  <c r="J9" i="26"/>
  <c r="I9" i="26"/>
  <c r="N8" i="26"/>
  <c r="O8" i="26" s="1"/>
  <c r="L8" i="26"/>
  <c r="I8" i="26"/>
  <c r="J8" i="26" s="1"/>
  <c r="L7" i="26"/>
  <c r="I7" i="26"/>
  <c r="M7" i="26" s="1"/>
  <c r="L6" i="26"/>
  <c r="N6" i="26" s="1"/>
  <c r="O6" i="26" s="1"/>
  <c r="K6" i="26"/>
  <c r="I6" i="26"/>
  <c r="M6" i="26" s="1"/>
  <c r="N5" i="26"/>
  <c r="O5" i="26" s="1"/>
  <c r="L5" i="26"/>
  <c r="K5" i="26"/>
  <c r="I5" i="26"/>
  <c r="M5" i="26" s="1"/>
  <c r="L4" i="26"/>
  <c r="N4" i="26" s="1"/>
  <c r="O4" i="26" s="1"/>
  <c r="I4" i="26"/>
  <c r="L3" i="26"/>
  <c r="I3" i="26"/>
  <c r="M3" i="26" s="1"/>
  <c r="L2" i="26"/>
  <c r="N2" i="26" s="1"/>
  <c r="I2" i="26"/>
  <c r="Q12" i="27"/>
  <c r="R12" i="27" s="1"/>
  <c r="O12" i="27"/>
  <c r="P12" i="27" s="1"/>
  <c r="N12" i="27"/>
  <c r="O11" i="27"/>
  <c r="N11" i="27"/>
  <c r="Q11" i="27" s="1"/>
  <c r="R11" i="27" s="1"/>
  <c r="O10" i="27"/>
  <c r="N10" i="27"/>
  <c r="Q10" i="27" s="1"/>
  <c r="R10" i="27" s="1"/>
  <c r="Q9" i="27"/>
  <c r="R9" i="27" s="1"/>
  <c r="O9" i="27"/>
  <c r="N9" i="27"/>
  <c r="Q8" i="27"/>
  <c r="R8" i="27" s="1"/>
  <c r="O8" i="27"/>
  <c r="P8" i="27" s="1"/>
  <c r="N8" i="27"/>
  <c r="O7" i="27"/>
  <c r="N7" i="27"/>
  <c r="Q7" i="27" s="1"/>
  <c r="R7" i="27" s="1"/>
  <c r="O6" i="27"/>
  <c r="N6" i="27"/>
  <c r="Q6" i="27" s="1"/>
  <c r="R6" i="27" s="1"/>
  <c r="Q5" i="27"/>
  <c r="R5" i="27" s="1"/>
  <c r="O5" i="27"/>
  <c r="N5" i="27"/>
  <c r="Q4" i="27"/>
  <c r="R4" i="27" s="1"/>
  <c r="O4" i="27"/>
  <c r="P4" i="27" s="1"/>
  <c r="N4" i="27"/>
  <c r="A4" i="27"/>
  <c r="A5" i="27" s="1"/>
  <c r="A6" i="27" s="1"/>
  <c r="A7" i="27" s="1"/>
  <c r="A8" i="27" s="1"/>
  <c r="A9" i="27" s="1"/>
  <c r="A10" i="27" s="1"/>
  <c r="A11" i="27" s="1"/>
  <c r="A12" i="27" s="1"/>
  <c r="Q3" i="27"/>
  <c r="R3" i="27" s="1"/>
  <c r="O3" i="27"/>
  <c r="P3" i="27" s="1"/>
  <c r="N3" i="27"/>
  <c r="P11" i="27" l="1"/>
  <c r="P6" i="27"/>
  <c r="P10" i="27"/>
  <c r="M2" i="26"/>
  <c r="K3" i="26"/>
  <c r="P5" i="27"/>
  <c r="P9" i="27"/>
  <c r="K2" i="26"/>
  <c r="J4" i="26"/>
  <c r="J5" i="26"/>
  <c r="K7" i="26"/>
  <c r="M9" i="26"/>
  <c r="N9" i="26"/>
  <c r="O9" i="26" s="1"/>
  <c r="K11" i="26"/>
  <c r="P7" i="27"/>
  <c r="K10" i="26"/>
  <c r="O2" i="26"/>
  <c r="J3" i="26"/>
  <c r="N3" i="26"/>
  <c r="O3" i="26" s="1"/>
  <c r="K4" i="26"/>
  <c r="J7" i="26"/>
  <c r="N7" i="26"/>
  <c r="O7" i="26" s="1"/>
  <c r="K8" i="26"/>
  <c r="J11" i="26"/>
  <c r="N11" i="26"/>
  <c r="O11" i="26" s="1"/>
  <c r="J2" i="26"/>
  <c r="J6" i="26"/>
  <c r="J10" i="26"/>
  <c r="N10" i="26"/>
  <c r="O10" i="26" s="1"/>
  <c r="M4" i="26"/>
  <c r="M8" i="26"/>
  <c r="R13" i="27"/>
  <c r="E110" i="24" s="1"/>
  <c r="Q13" i="27"/>
  <c r="O12" i="26" l="1"/>
  <c r="E109" i="24" s="1"/>
  <c r="N12" i="26"/>
  <c r="E60" i="24" l="1"/>
  <c r="D119" i="24" l="1"/>
  <c r="E99" i="24"/>
  <c r="E104" i="24" s="1"/>
  <c r="D91" i="24"/>
  <c r="D81" i="24"/>
  <c r="D76" i="24"/>
  <c r="D77" i="24" s="1"/>
  <c r="D55" i="24"/>
  <c r="D80" i="24" s="1"/>
  <c r="E29" i="24"/>
  <c r="E30" i="24" l="1"/>
  <c r="E35" i="24" s="1"/>
  <c r="E59" i="24"/>
  <c r="E65" i="24" s="1"/>
  <c r="E71" i="24" s="1"/>
  <c r="E41" i="24" l="1"/>
  <c r="E79" i="24"/>
  <c r="E42" i="24"/>
  <c r="E43" i="24" s="1"/>
  <c r="E128" i="24"/>
  <c r="E69" i="24" l="1"/>
  <c r="E49" i="24"/>
  <c r="E51" i="24"/>
  <c r="E47" i="24"/>
  <c r="E52" i="24"/>
  <c r="E78" i="24"/>
  <c r="E50" i="24"/>
  <c r="E76" i="24"/>
  <c r="E48" i="24"/>
  <c r="E81" i="24"/>
  <c r="E53" i="24"/>
  <c r="E77" i="24"/>
  <c r="E80" i="24"/>
  <c r="E54" i="24"/>
  <c r="E55" i="24" l="1"/>
  <c r="E70" i="24" s="1"/>
  <c r="E72" i="24" s="1"/>
  <c r="E82" i="24"/>
  <c r="E130" i="24" s="1"/>
  <c r="E129" i="24" l="1"/>
  <c r="E113" i="24" l="1"/>
  <c r="E132" i="24" s="1"/>
  <c r="E93" i="24"/>
  <c r="E88" i="24"/>
  <c r="E89" i="24"/>
  <c r="E92" i="24"/>
  <c r="E90" i="24"/>
  <c r="E91" i="24"/>
  <c r="E94" i="24" l="1"/>
  <c r="E103" i="24" s="1"/>
  <c r="E105" i="24" s="1"/>
  <c r="E131" i="24" s="1"/>
  <c r="E133" i="24" s="1"/>
  <c r="E117" i="24" l="1"/>
  <c r="E118" i="24" l="1"/>
  <c r="E121" i="24" l="1"/>
  <c r="E123" i="24"/>
  <c r="E122" i="24"/>
  <c r="E120" i="24"/>
  <c r="E124" i="24" l="1"/>
  <c r="E134" i="24" s="1"/>
  <c r="E135" i="24" s="1"/>
  <c r="E147" i="24" s="1"/>
  <c r="E139" i="24" l="1"/>
  <c r="E141" i="24" s="1"/>
  <c r="E143" i="24" s="1"/>
  <c r="E148" i="24" s="1"/>
  <c r="E149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Marcus Vinicius Meireles</author>
  </authors>
  <commentList>
    <comment ref="D88" authorId="0" shapeId="0" xr:uid="{E710CC47-9BDF-49A2-9264-64D4AB0445D2}">
      <text>
        <r>
          <rPr>
            <b/>
            <sz val="9"/>
            <color indexed="81"/>
            <rFont val="Segoe UI"/>
            <family val="2"/>
          </rPr>
          <t>Será pago somente após o 1º ano de contrato.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<sst xmlns="http://schemas.openxmlformats.org/spreadsheetml/2006/main" count="391" uniqueCount="234">
  <si>
    <t>Item</t>
  </si>
  <si>
    <t>Descrição</t>
  </si>
  <si>
    <t>Unidade</t>
  </si>
  <si>
    <t>-</t>
  </si>
  <si>
    <t>Observações</t>
  </si>
  <si>
    <t>Uniformes</t>
  </si>
  <si>
    <t>Par</t>
  </si>
  <si>
    <t>Nº DO PROCESSO:</t>
  </si>
  <si>
    <t>LICITAÇÃO Nº:</t>
  </si>
  <si>
    <t>DATA:</t>
  </si>
  <si>
    <t>HORAS:</t>
  </si>
  <si>
    <t>DISCRIMINAÇÃO DOS SERVIÇOS (DADOS REFERENTES À CONTRATAÇÃO)</t>
  </si>
  <si>
    <t xml:space="preserve">A </t>
  </si>
  <si>
    <t>Data de apresentação da proposta (dia/mês/ano):</t>
  </si>
  <si>
    <t>B</t>
  </si>
  <si>
    <t>Município/UF:</t>
  </si>
  <si>
    <t>Brasília/DF</t>
  </si>
  <si>
    <t>C</t>
  </si>
  <si>
    <t>Ano do Acordo, Convenção ou Dissídio Coletivo:</t>
  </si>
  <si>
    <t>D</t>
  </si>
  <si>
    <t>Número de meses da execução contratual:</t>
  </si>
  <si>
    <t>IDENTIFICAÇÃO DO SERVIÇO</t>
  </si>
  <si>
    <t>Tipo de serviço:</t>
  </si>
  <si>
    <t>Unidade de medida:</t>
  </si>
  <si>
    <t>Posto</t>
  </si>
  <si>
    <t>Quantidade total a contratar (em função da unidade de medida)</t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</si>
  <si>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</si>
  <si>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</si>
  <si>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</si>
  <si>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</si>
  <si>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patrimonial)</t>
  </si>
  <si>
    <t>SINDSERVIÇOS</t>
  </si>
  <si>
    <t>Data-base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</si>
  <si>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</si>
  <si>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</si>
  <si>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</si>
  <si>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</si>
  <si>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</si>
  <si>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Adicional de Periculosidade</t>
  </si>
  <si>
    <t>Adicional de Insalubridade</t>
  </si>
  <si>
    <t xml:space="preserve">D </t>
  </si>
  <si>
    <t>Adicional Noturno</t>
  </si>
  <si>
    <t>E</t>
  </si>
  <si>
    <t>Adicional de Hora Noturna Reduzida</t>
  </si>
  <si>
    <t>F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</si>
  <si>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</si>
  <si>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</si>
  <si>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</si>
  <si>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</si>
  <si>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</si>
  <si>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adiconal de férias</t>
  </si>
  <si>
    <t>Percentual (%)</t>
  </si>
  <si>
    <t xml:space="preserve">13º (décimo terceiro) salário  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</si>
  <si>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</si>
  <si>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</si>
  <si>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</si>
  <si>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</si>
  <si>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</si>
  <si>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</si>
  <si>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</si>
  <si>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</si>
  <si>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</si>
  <si>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</si>
  <si>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</si>
  <si>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</si>
  <si>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</si>
  <si>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</si>
  <si>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</si>
  <si>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</si>
  <si>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</si>
  <si>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Memória de cálculo</t>
  </si>
  <si>
    <t xml:space="preserve">Transporte </t>
  </si>
  <si>
    <t>dias úteis x ((5,5x2)-(SN*6%)</t>
  </si>
  <si>
    <t>Auxílio-refeição/Alimentação</t>
  </si>
  <si>
    <t>Previsão CCT</t>
  </si>
  <si>
    <t>Plano Ambulatorial</t>
  </si>
  <si>
    <t>Assistência Funeral e Seguro de vida</t>
  </si>
  <si>
    <t>Assistência Odontológica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</si>
  <si>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</si>
  <si>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</si>
  <si>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</si>
  <si>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</si>
  <si>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</si>
  <si>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</si>
  <si>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</si>
  <si>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</si>
  <si>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</si>
  <si>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Multa do FGTS sobre Aviso Prévio Trabalhado</t>
  </si>
  <si>
    <t>MÓDULO 4 - CUSTO DE REPOSIÇÃO DO PROFISSIONAL AUSENTE</t>
  </si>
  <si>
    <t>SUBMÓDULO 4.1 - SUBSTITUTO NAS AUSÊNCIAS LEGAIS</t>
  </si>
  <si>
    <t>4.1</t>
  </si>
  <si>
    <t>Ausências Legais</t>
  </si>
  <si>
    <t xml:space="preserve">Substituto na cobertura de Férias 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</si>
  <si>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</si>
  <si>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</si>
  <si>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</si>
  <si>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Materninade</t>
  </si>
  <si>
    <t>Substituto na cobertura de Outras Ausências (especificar)</t>
  </si>
  <si>
    <t>SUBMÓDULO 4.2 -  SUBSTITUTO NA INTRAJORNADA</t>
  </si>
  <si>
    <t>4.2</t>
  </si>
  <si>
    <t>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</si>
  <si>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</si>
  <si>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</si>
  <si>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</si>
  <si>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</si>
  <si>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</si>
  <si>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</si>
  <si>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</si>
  <si>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>Materiais</t>
  </si>
  <si>
    <t>Utensílios</t>
  </si>
  <si>
    <t>MÓDULO 6 - CUSTOS INDIRETOS, TRIBUTOS E LUCRO</t>
  </si>
  <si>
    <t>Custos indiretos, tributos e lucro</t>
  </si>
  <si>
    <t xml:space="preserve">Custos indiretos  </t>
  </si>
  <si>
    <t>Lucro</t>
  </si>
  <si>
    <t>Tributos</t>
  </si>
  <si>
    <t>C.1</t>
  </si>
  <si>
    <t>PIS</t>
  </si>
  <si>
    <t>C.2</t>
  </si>
  <si>
    <t>COFINS</t>
  </si>
  <si>
    <t>C.3</t>
  </si>
  <si>
    <t>ISS</t>
  </si>
  <si>
    <t>C.4</t>
  </si>
  <si>
    <t>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</si>
  <si>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</si>
  <si>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</si>
  <si>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</si>
  <si>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</si>
  <si>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</si>
  <si>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</si>
  <si>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</si>
  <si>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</si>
  <si>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VALOR TOTAL POR EMPREGADO</t>
  </si>
  <si>
    <t>QUADRO-RESUMO DO VALOR MENSAL DOS SERVIÇOS</t>
  </si>
  <si>
    <t>Tipo de Serviço ( A )</t>
  </si>
  <si>
    <t>Valor Proposto por Empregado ( B )</t>
  </si>
  <si>
    <t>Quantidade de Empregados por Posto ( C )</t>
  </si>
  <si>
    <t>Valor Proposto por Posto ( D ) = ( B x C )</t>
  </si>
  <si>
    <t>Quantidade de Postos ( E )</t>
  </si>
  <si>
    <t>Valor Total do Serviço ( F ) = ( D x E )</t>
  </si>
  <si>
    <t>QUADRO DEMONSTRATIVO DO VALOR GLOBAL DA PROPOSTA</t>
  </si>
  <si>
    <t>Valor proposto por unidade de medida</t>
  </si>
  <si>
    <t>Valor mensal do serviço</t>
  </si>
  <si>
    <t>Valor global da proposta (valor mensal multiplicado pelo número de meses do contrato)</t>
  </si>
  <si>
    <t>Média</t>
  </si>
  <si>
    <t>08200.003705/2023-39</t>
  </si>
  <si>
    <t>XX/2023</t>
  </si>
  <si>
    <t>XX/XX/2023</t>
  </si>
  <si>
    <t>Adestrador</t>
  </si>
  <si>
    <t>6230-05</t>
  </si>
  <si>
    <t>Material de Consumo</t>
  </si>
  <si>
    <t>Quantidade Total Anual</t>
  </si>
  <si>
    <t>Código CATMAT</t>
  </si>
  <si>
    <t>P1</t>
  </si>
  <si>
    <t>P2</t>
  </si>
  <si>
    <t>P3</t>
  </si>
  <si>
    <t>P4</t>
  </si>
  <si>
    <t>P5</t>
  </si>
  <si>
    <t>P6</t>
  </si>
  <si>
    <t>P7</t>
  </si>
  <si>
    <t>P8</t>
  </si>
  <si>
    <t>Desvio padrão</t>
  </si>
  <si>
    <t>Coeficiente de variação</t>
  </si>
  <si>
    <t>Valor Total Anual Estimado</t>
  </si>
  <si>
    <t>Valor Mensal Estimado</t>
  </si>
  <si>
    <t>Protetor solar – 30 FPS mínimo – Frasco com 200ml.</t>
  </si>
  <si>
    <t>und</t>
  </si>
  <si>
    <t>405887, 412781, 405875</t>
  </si>
  <si>
    <t>Óculos de proteção, ampla visão, em policarbonato, incolor, ajustável, com sistema de ventilação indireta.</t>
  </si>
  <si>
    <t>Sabão líquido – galão de 5 litros.</t>
  </si>
  <si>
    <t>Pano de limpeza (de chão) de algodão – de 40 a 50 cm x 70 a 80 cm.</t>
  </si>
  <si>
    <t>Balde plástico, alta resistência, base circular – capacidade 12 litros.</t>
  </si>
  <si>
    <t>283660, 286790, 94382</t>
  </si>
  <si>
    <t xml:space="preserve">Esponja de espuma para lavagem de veículos </t>
  </si>
  <si>
    <t>Solução de limpeza multiuso – 500 ml.</t>
  </si>
  <si>
    <t>249903, 486078, 249903, 372079</t>
  </si>
  <si>
    <t>Palha de aço – pacote com 08 unidades (60g)</t>
  </si>
  <si>
    <t>382312, 241725, 304925, 241744</t>
  </si>
  <si>
    <t>Luva de látex natural aditivado, forrada, impermeabilizada, antialérgica, alta resistência para limpeza, cano longo – tamanho G.</t>
  </si>
  <si>
    <t>par</t>
  </si>
  <si>
    <t>341165, 344555, 333265</t>
  </si>
  <si>
    <t>Vassoura de pelo sintético macia, base de 30 cm, cabo de madeira.</t>
  </si>
  <si>
    <t>285634, 438597, 421695</t>
  </si>
  <si>
    <t>VALORES</t>
  </si>
  <si>
    <t>Observações:</t>
  </si>
  <si>
    <t xml:space="preserve">1. Nos itens de 1 a 10, os preços assinalados pela cor amarela foram obtidos em consulta ao painel de preços (parâmetro I); os demais, a partir de pesquisa em sítios eletrônicos especializados (parâmetro III). </t>
  </si>
  <si>
    <t xml:space="preserve">2. O preço de referência será o valor médio dos preços. O Coeficiente de variação foi utilizado para demonstrar a variabilidade do conjunto de preços pesquisados. Valores extremos foram eliminados do modelo. </t>
  </si>
  <si>
    <t xml:space="preserve">3. Segue um resumo do que representa o Coeficinete de Variação (CV), extraído do endereço http://www.leg.ufpr.br/~silvia/CE001/node24.html.
a) interpretado como a variabilidade dos dados em relação à média. Quanto menor o CV mais homogêneo é o conjunto de dados.
b) adimensional, isto é, um número puro, que será positivo se a média for positiva; será zero quando não houver variabilidade entre os dados, ou seja, desvio padrão é zero.
c) usualmente expresso em porcentagem, indicando o percentual que o desvio padrão é menor (100%CV&lt;100%) ou maior (100%CV&gt;100%) do que a média.
d) Um CV é considerado baixo (indicando um conjunto de dados razoavelmente homogêneo) quando for menor ou igual a 25%. Entretanto, esse padrão varia de acordo com a aplicação.
</t>
  </si>
  <si>
    <t>Quantidade Anual / Posto</t>
  </si>
  <si>
    <t>Código do CATMAT</t>
  </si>
  <si>
    <t>Limite Superior</t>
  </si>
  <si>
    <t>Limite Inferior</t>
  </si>
  <si>
    <t>Valor Médio Estimado</t>
  </si>
  <si>
    <t>Valor Anual Estimado / Posto</t>
  </si>
  <si>
    <t>Valor Mensal Estimado / Posto</t>
  </si>
  <si>
    <t>Camisa polo, manga curta, malha fria, na cor cinza com logomarca da empresa na parte da frente e a palavra “ADESTRADOR” na parte de trás.</t>
  </si>
  <si>
    <t>221574, 19747, 446502, 317980, 266638</t>
  </si>
  <si>
    <t>Camisa polo, manga longa, malha fria, na cor cinza com logomarca da empresa na parte da frente e a palavra “ADESTRADOR” na parte de trás.</t>
  </si>
  <si>
    <t>221574, 19747, 3948, 221535</t>
  </si>
  <si>
    <t>Calça camuflada, padrão na cor preta com cinza, confeccionada em tecido rip stop profissional, com 02 (dois) bolsos laterais e 02 (dois) traseiros com tampa e 02 (dois) bolsos frontais tipo faca.</t>
  </si>
  <si>
    <t>151064, 19747, 141267</t>
  </si>
  <si>
    <t>Bota em couro, cano curto, com cadarço, impermeável, com solado em alto relevo (mínimo de 0,05cm), na cor marrom.</t>
  </si>
  <si>
    <t>191080, 150242, 150630</t>
  </si>
  <si>
    <t>Meia em algodão, cano médio, na cor cinza ou escura.</t>
  </si>
  <si>
    <t>3972, 150156</t>
  </si>
  <si>
    <t>Avental impermeável para limpeza pesada em material resistente.</t>
  </si>
  <si>
    <t>150734, 150659</t>
  </si>
  <si>
    <t>Capa para chuva com capuz em material resistente.</t>
  </si>
  <si>
    <t>Boné com proteção para o pescoço ou chapéu com aba circular, em tecido rip stop ou poliéster, camuflado, com ajuste de tamanho.</t>
  </si>
  <si>
    <t>400033, 415527</t>
  </si>
  <si>
    <t>Luva de proteção tricotada pigmentada, confeccionada em algodão, com pigmentos de PVC na palma.</t>
  </si>
  <si>
    <t>150196, 19691, 63320</t>
  </si>
  <si>
    <t>Casaco em tecido impermeável, forrado, na cor cinza, sem capuz, com a palavra “ADESTRADOR” estampada em sua face posterior.</t>
  </si>
  <si>
    <t>19798, 150156, 32174</t>
  </si>
  <si>
    <t>VALOR TOTAL POR POSTO</t>
  </si>
  <si>
    <t>Item 1: a consulta ao painel de preços (parâmetro I) não localizou nenhuma compra compatível com a descrição do objeto utilizado pelos tratadores de cães que prestam serviço no SECAN. Desse modo, houve pesquisa de preços em sítios eletrônicos especializados (parâmetro III). Documento SEI....</t>
  </si>
  <si>
    <t>Item 2: a consulta ao painel de preços (parâmetro I) localizou apenas o preço de um objeto (P1, valor R$ 45, catmat 221535) Osm demais valores foram extraídos de sítios eletrônicos especializados (parâmetro III). Documento SEI....</t>
  </si>
  <si>
    <t>Item 3: a consulta ao painel de preços (parâmetro I) não localizou nenhuma compra compatível com a descrição do objeto utilizado pelos tratadores de cães que prestam serviço no SECAN. Desse modo, houve pesquisa de preços em sítios eletrônicos especializados (parâmetro III). Documento SEI....</t>
  </si>
  <si>
    <t>Item 4: a consulta ao painel de preços (parâmetro I) não localizou nenhuma compra compatível com a descrição do objeto utilizado pelos tratadores de cães que prestam serviço no SECAN. Desse modo, houve pesquisa de preços em sítios eletrônicos especializados (parâmetro III). Documento SEI....</t>
  </si>
  <si>
    <t>Item 5: os valores foram obtidos a partir de consulta ao painel de preços (parâmetro I), conforme documento SEI ...</t>
  </si>
  <si>
    <t>Item 6: a consulta ao painel de preços (parâmetro I) não localizou nenhuma compra compatível com a descrição do objeto utilizado pelos tratadores de cães que prestam serviço no SECAN. Desse modo, houve pesquisa de preços em sítios eletrônicos especializados (parâmetro III). Documento SEI....4: a consulta ao painel de preços (parâmetro I) não localizou nenhuma compra compatível com a descrição do objeto utilizado pelos tratadores de cães que prestam serviço no SECAN. Desse modo, houve pesquisa de preços em sítios eletrônicos especializados (parâmetro III). Documento SEI....</t>
  </si>
  <si>
    <t>Item 7: os valores foram obtidos a partir de consulta ao painel de preços (parâmetro I), conforme documento SEI ...</t>
  </si>
  <si>
    <t>Item 8: os valores foram obtidos a partir de consulta ao painel de preços (parâmetro I), conforme documento SEI ...</t>
  </si>
  <si>
    <t>Item 9: os valores foram obtidos a partir de consulta ao painel de preços (parâmetro I), conforme documento SEI ...</t>
  </si>
  <si>
    <t>Item 10: os valores foram obtidos a partir de consulta ao painel de preços (parâmetro I), conforme documento SEI ...</t>
  </si>
  <si>
    <t xml:space="preserve">1. Nos itens 1, 3, 4, 6 e 8, a consulta ao painel de preços (parâmetro I) não localizou nenhuma compra compatível com a descrição do objeto utilizado pelos tratadores de cães que prestam serviço no SECAN. Desse modo, houve pesquisa de preços em sítios eletrônicos especializados (parâmetro III). </t>
  </si>
  <si>
    <t xml:space="preserve">2. No item 2, a consulta ao painel de preços (parâmetro I) localizou apenas o preço de um objeto (P1, valor R$ 45, catmat 221535) Os demais valores foram extraídos de sítios eletrônicos especializados (parâmetro III). </t>
  </si>
  <si>
    <t xml:space="preserve">3. No item 8, o primeiro preço (P1, valor R$ 29,99) foi obtido em sítios eletrônicos especializados (parâmetro III). Os demais valores, a partir de pesquisa direta com fornecedores (parâmetro IV). </t>
  </si>
  <si>
    <t xml:space="preserve">3. Nos itens 5, 7, 9 e 10, os valores foram obtidos a partir de consulta ao painel de preços (parâmetro I). </t>
  </si>
  <si>
    <t xml:space="preserve">4. O preço de referência será o valor médio dos preços. O Coeficiente de variação foi utilizado para demonstrar a variabilidade do conjunto de preços pesquisados. Valores extremos foram eliminados do modelo. </t>
  </si>
  <si>
    <t xml:space="preserve">5. Segue um resumo do que representa o Coeficinete de Variação (CV), extraído do endereço http://www.leg.ufpr.br/~silvia/CE001/node24.html.
a) interpretado como a variabilidade dos dados em relação à média. Quanto menor o CV mais homogêneo é o conjunto de dados.
b) adimensional, isto é, um número puro, que será positivo se a média for positiva; será zero quando não houver variabilidade entre os dados, ou seja, desvio padrão é zero.
c) usualmente expresso em porcentagem, indicando o percentual que o desvio padrão é menor (100%CV&lt;100%) ou maior (100%CV&gt;100%) do que a média.
d) Um CV é considerado baixo (indicando um conjunto de dados razoavelmente homogêneo) quando for menor ou igual a 25%. Entretanto, esse padrão varia de acordo com a aplicação.
</t>
  </si>
  <si>
    <t xml:space="preserve">Equipamentos </t>
  </si>
  <si>
    <t>Adestrador de Cães</t>
  </si>
  <si>
    <t>XX:XX horas - horário de Brasília/DF</t>
  </si>
  <si>
    <t xml:space="preserve">ANEXO I - PLANILHA DE CUSTOS E FORMAÇÃO DE PREÇOS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</si>
</sst>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7.5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theme="1"/>
      <name val="Times New Roman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7">
    <xf numFmtId="0" fontId="0" fillId="0" borderId="0" xfId="0"/>
    <xf numFmtId="164" fontId="4" fillId="0" borderId="4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0" fontId="7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0" fontId="4" fillId="0" borderId="4" xfId="1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10" fontId="4" fillId="2" borderId="4" xfId="0" applyNumberFormat="1" applyFont="1" applyFill="1" applyBorder="1" applyAlignment="1">
      <alignment horizontal="center" vertical="center"/>
    </xf>
    <xf numFmtId="9" fontId="0" fillId="0" borderId="0" xfId="1" applyFont="1"/>
    <xf numFmtId="10" fontId="0" fillId="0" borderId="0" xfId="1" applyNumberFormat="1" applyFont="1"/>
    <xf numFmtId="0" fontId="11" fillId="3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164" fontId="11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4" borderId="4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2" fontId="11" fillId="4" borderId="4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64" fontId="11" fillId="3" borderId="4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justify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4" fontId="0" fillId="3" borderId="4" xfId="0" applyNumberForma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vertic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0" fontId="7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3" borderId="4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/>
    </xf>
    <xf numFmtId="0" fontId="13" fillId="0" borderId="4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12" fillId="0" borderId="4" xfId="0" applyFont="1" applyBorder="1" applyAlignment="1">
      <alignment horizontal="left"/>
    </xf>
    <xf numFmtId="0" fontId="11" fillId="3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2" fillId="0" borderId="1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58034-BB44-4CB9-B88D-90288A822538}">
  <sheetPr>
    <tabColor rgb="FFFFFF00"/>
  </sheetPr>
  <dimension ref="A1:F149"/>
  <sheetViews>
    <sheetView showGridLines="0" tabSelected="1" topLeftCell="A39" zoomScale="106" zoomScaleNormal="106" workbookViewId="0">
      <selection activeCell="E104" sqref="E104"/>
    </sheetView>
  </sheetViews>
  <sheetFormatPr defaultRowHeight="15" x14ac:dyDescent="0.25"/>
  <cols>
    <col min="1" max="1" width="3.7109375" bestFit="1" customWidth="1"/>
    <col min="2" max="2" width="21.5703125" customWidth="1"/>
    <col min="3" max="3" width="30.140625" customWidth="1"/>
    <col min="4" max="4" width="21.85546875" customWidth="1"/>
    <col min="5" max="5" width="19.7109375" customWidth="1"/>
    <col min="6" max="6" width="18.140625" customWidth="1"/>
  </cols>
  <sheetData>
    <row r="1" spans="1:5" ht="18.75" x14ac:dyDescent="0.25">
      <c r="A1" s="59" t="s">
        <v>233</v>
      </c>
      <c r="B1" s="59"/>
      <c r="C1" s="59"/>
      <c r="D1" s="59"/>
      <c r="E1" s="59"/>
    </row>
    <row r="2" spans="1:5" ht="15.75" x14ac:dyDescent="0.25">
      <c r="A2" s="60"/>
      <c r="B2" s="60"/>
      <c r="C2" s="60"/>
      <c r="D2" s="60"/>
      <c r="E2" s="60"/>
    </row>
    <row r="3" spans="1:5" x14ac:dyDescent="0.25">
      <c r="A3" s="61" t="s">
        <v>3</v>
      </c>
      <c r="B3" s="61"/>
      <c r="C3" s="61"/>
      <c r="D3" s="61"/>
      <c r="E3" s="61"/>
    </row>
    <row r="4" spans="1:5" x14ac:dyDescent="0.25">
      <c r="A4" s="62" t="s">
        <v>7</v>
      </c>
      <c r="B4" s="62"/>
      <c r="C4" s="63" t="s">
        <v>144</v>
      </c>
      <c r="D4" s="64"/>
      <c r="E4" s="65"/>
    </row>
    <row r="5" spans="1:5" x14ac:dyDescent="0.25">
      <c r="A5" s="62" t="s">
        <v>8</v>
      </c>
      <c r="B5" s="62"/>
      <c r="C5" s="66" t="s">
        <v>145</v>
      </c>
      <c r="D5" s="67"/>
      <c r="E5" s="68"/>
    </row>
    <row r="6" spans="1:5" x14ac:dyDescent="0.25">
      <c r="A6" s="62" t="s">
        <v>9</v>
      </c>
      <c r="B6" s="62"/>
      <c r="C6" s="66" t="s">
        <v>146</v>
      </c>
      <c r="D6" s="67"/>
      <c r="E6" s="68"/>
    </row>
    <row r="7" spans="1:5" x14ac:dyDescent="0.25">
      <c r="A7" s="62" t="s">
        <v>10</v>
      </c>
      <c r="B7" s="62"/>
      <c r="C7" s="63" t="s">
        <v>232</v>
      </c>
      <c r="D7" s="64"/>
      <c r="E7" s="65"/>
    </row>
    <row r="8" spans="1:5" x14ac:dyDescent="0.25">
      <c r="A8" s="61"/>
      <c r="B8" s="61"/>
      <c r="C8" s="61"/>
      <c r="D8" s="61"/>
      <c r="E8" s="61"/>
    </row>
    <row r="9" spans="1:5" x14ac:dyDescent="0.25">
      <c r="A9" s="75" t="s">
        <v>11</v>
      </c>
      <c r="B9" s="75"/>
      <c r="C9" s="75"/>
      <c r="D9" s="75"/>
      <c r="E9" s="75"/>
    </row>
    <row r="10" spans="1:5" x14ac:dyDescent="0.25">
      <c r="A10" s="8" t="s">
        <v>12</v>
      </c>
      <c r="B10" s="69" t="s">
        <v>13</v>
      </c>
      <c r="C10" s="70"/>
      <c r="D10" s="71"/>
      <c r="E10" s="6" t="s">
        <v>146</v>
      </c>
    </row>
    <row r="11" spans="1:5" x14ac:dyDescent="0.25">
      <c r="A11" s="8" t="s">
        <v>14</v>
      </c>
      <c r="B11" s="69" t="s">
        <v>15</v>
      </c>
      <c r="C11" s="70"/>
      <c r="D11" s="71"/>
      <c r="E11" s="6" t="s">
        <v>16</v>
      </c>
    </row>
    <row r="12" spans="1:5" x14ac:dyDescent="0.25">
      <c r="A12" s="8" t="s">
        <v>17</v>
      </c>
      <c r="B12" s="69" t="s">
        <v>18</v>
      </c>
      <c r="C12" s="70"/>
      <c r="D12" s="71"/>
      <c r="E12" s="6">
        <v>2023</v>
      </c>
    </row>
    <row r="13" spans="1:5" x14ac:dyDescent="0.25">
      <c r="A13" s="8" t="s">
        <v>19</v>
      </c>
      <c r="B13" s="69" t="s">
        <v>20</v>
      </c>
      <c r="C13" s="70"/>
      <c r="D13" s="71"/>
      <c r="E13" s="6">
        <v>12</v>
      </c>
    </row>
    <row r="14" spans="1:5" x14ac:dyDescent="0.25">
      <c r="A14" s="61" t="s">
        <v>3</v>
      </c>
      <c r="B14" s="61"/>
      <c r="C14" s="61"/>
      <c r="D14" s="61"/>
      <c r="E14" s="61"/>
    </row>
    <row r="15" spans="1:5" x14ac:dyDescent="0.25">
      <c r="A15" s="72" t="s">
        <v>21</v>
      </c>
      <c r="B15" s="73"/>
      <c r="C15" s="73"/>
      <c r="D15" s="73"/>
      <c r="E15" s="74"/>
    </row>
    <row r="16" spans="1:5" x14ac:dyDescent="0.25">
      <c r="A16" s="77" t="s">
        <v>22</v>
      </c>
      <c r="B16" s="77"/>
      <c r="C16" s="77"/>
      <c r="D16" s="77"/>
      <c r="E16" s="6" t="s">
        <v>147</v>
      </c>
    </row>
    <row r="17" spans="1:5" x14ac:dyDescent="0.25">
      <c r="A17" s="77" t="s">
        <v>23</v>
      </c>
      <c r="B17" s="77"/>
      <c r="C17" s="77"/>
      <c r="D17" s="77"/>
      <c r="E17" s="6" t="s">
        <v>24</v>
      </c>
    </row>
    <row r="18" spans="1:5" x14ac:dyDescent="0.25">
      <c r="A18" s="77" t="s">
        <v>25</v>
      </c>
      <c r="B18" s="77"/>
      <c r="C18" s="77"/>
      <c r="D18" s="77"/>
      <c r="E18" s="6">
        <v>6</v>
      </c>
    </row>
    <row r="19" spans="1:5" x14ac:dyDescent="0.25">
      <c r="A19" s="78" t="s">
        <v>3</v>
      </c>
      <c r="B19" s="78"/>
      <c r="C19" s="78"/>
      <c r="D19" s="78"/>
      <c r="E19" s="78"/>
    </row>
    <row r="20" spans="1:5" x14ac:dyDescent="0.25">
      <c r="A20" s="72" t="s">
        <v>26</v>
      </c>
      <c r="B20" s="73"/>
      <c r="C20" s="73"/>
      <c r="D20" s="73"/>
      <c r="E20" s="74"/>
    </row>
    <row r="21" spans="1:5" x14ac:dyDescent="0.25">
      <c r="A21" s="8">
        <v>1</v>
      </c>
      <c r="B21" s="69" t="s">
        <v>27</v>
      </c>
      <c r="C21" s="70"/>
      <c r="D21" s="71"/>
      <c r="E21" s="6" t="s">
        <v>147</v>
      </c>
    </row>
    <row r="22" spans="1:5" x14ac:dyDescent="0.25">
      <c r="A22" s="8">
        <v>2</v>
      </c>
      <c r="B22" s="69" t="s">
        <v>28</v>
      </c>
      <c r="C22" s="70"/>
      <c r="D22" s="71"/>
      <c r="E22" s="6" t="s">
        <v>148</v>
      </c>
    </row>
    <row r="23" spans="1:5" x14ac:dyDescent="0.25">
      <c r="A23" s="8">
        <v>3</v>
      </c>
      <c r="B23" s="69" t="s">
        <v>29</v>
      </c>
      <c r="C23" s="70"/>
      <c r="D23" s="71"/>
      <c r="E23" s="1">
        <v>2812.54</v>
      </c>
    </row>
    <row r="24" spans="1:5" x14ac:dyDescent="0.25">
      <c r="A24" s="8">
        <v>4</v>
      </c>
      <c r="B24" s="69" t="s">
        <v>30</v>
      </c>
      <c r="C24" s="70"/>
      <c r="D24" s="71"/>
      <c r="E24" s="6" t="s">
        <v>31</v>
      </c>
    </row>
    <row r="25" spans="1:5" x14ac:dyDescent="0.25">
      <c r="A25" s="8">
        <v>5</v>
      </c>
      <c r="B25" s="69" t="s">
        <v>32</v>
      </c>
      <c r="C25" s="70"/>
      <c r="D25" s="71"/>
      <c r="E25" s="2">
        <v>44927</v>
      </c>
    </row>
    <row r="26" spans="1:5" x14ac:dyDescent="0.25">
      <c r="A26" s="76" t="s">
        <v>3</v>
      </c>
      <c r="B26" s="76"/>
      <c r="C26" s="76"/>
      <c r="D26" s="76"/>
      <c r="E26" s="76"/>
    </row>
    <row r="27" spans="1:5" x14ac:dyDescent="0.25">
      <c r="A27" s="75" t="s">
        <v>33</v>
      </c>
      <c r="B27" s="75"/>
      <c r="C27" s="75"/>
      <c r="D27" s="75"/>
      <c r="E27" s="75"/>
    </row>
    <row r="28" spans="1:5" x14ac:dyDescent="0.25">
      <c r="A28" s="58">
        <v>1</v>
      </c>
      <c r="B28" s="75" t="s">
        <v>34</v>
      </c>
      <c r="C28" s="75"/>
      <c r="D28" s="75"/>
      <c r="E28" s="58" t="s">
        <v>35</v>
      </c>
    </row>
    <row r="29" spans="1:5" x14ac:dyDescent="0.25">
      <c r="A29" s="6" t="s">
        <v>36</v>
      </c>
      <c r="B29" s="69" t="s">
        <v>37</v>
      </c>
      <c r="C29" s="70"/>
      <c r="D29" s="71"/>
      <c r="E29" s="1">
        <f>E23</f>
        <v>2812.54</v>
      </c>
    </row>
    <row r="30" spans="1:5" x14ac:dyDescent="0.25">
      <c r="A30" s="6" t="s">
        <v>14</v>
      </c>
      <c r="B30" s="69" t="s">
        <v>38</v>
      </c>
      <c r="C30" s="70"/>
      <c r="D30" s="71"/>
      <c r="E30" s="4">
        <f>E29*30%</f>
        <v>843.76199999999994</v>
      </c>
    </row>
    <row r="31" spans="1:5" x14ac:dyDescent="0.25">
      <c r="A31" s="6" t="s">
        <v>17</v>
      </c>
      <c r="B31" s="69" t="s">
        <v>39</v>
      </c>
      <c r="C31" s="70"/>
      <c r="D31" s="71"/>
      <c r="E31" s="4">
        <v>0</v>
      </c>
    </row>
    <row r="32" spans="1:5" x14ac:dyDescent="0.25">
      <c r="A32" s="6" t="s">
        <v>40</v>
      </c>
      <c r="B32" s="69" t="s">
        <v>41</v>
      </c>
      <c r="C32" s="70"/>
      <c r="D32" s="71"/>
      <c r="E32" s="4">
        <v>0</v>
      </c>
    </row>
    <row r="33" spans="1:6" x14ac:dyDescent="0.25">
      <c r="A33" s="6" t="s">
        <v>42</v>
      </c>
      <c r="B33" s="69" t="s">
        <v>43</v>
      </c>
      <c r="C33" s="70"/>
      <c r="D33" s="71"/>
      <c r="E33" s="4">
        <v>0</v>
      </c>
    </row>
    <row r="34" spans="1:6" x14ac:dyDescent="0.25">
      <c r="A34" s="6" t="s">
        <v>44</v>
      </c>
      <c r="B34" s="69" t="s">
        <v>45</v>
      </c>
      <c r="C34" s="70"/>
      <c r="D34" s="71"/>
      <c r="E34" s="4">
        <v>0</v>
      </c>
    </row>
    <row r="35" spans="1:6" x14ac:dyDescent="0.25">
      <c r="A35" s="79" t="s">
        <v>46</v>
      </c>
      <c r="B35" s="80"/>
      <c r="C35" s="80"/>
      <c r="D35" s="81"/>
      <c r="E35" s="5">
        <f>SUM(E29:E34)</f>
        <v>3656.3019999999997</v>
      </c>
    </row>
    <row r="36" spans="1:6" x14ac:dyDescent="0.25">
      <c r="A36" s="76" t="s">
        <v>3</v>
      </c>
      <c r="B36" s="76"/>
      <c r="C36" s="76"/>
      <c r="D36" s="76"/>
      <c r="E36" s="76"/>
    </row>
    <row r="37" spans="1:6" x14ac:dyDescent="0.25">
      <c r="A37" s="75" t="s">
        <v>47</v>
      </c>
      <c r="B37" s="75"/>
      <c r="C37" s="75"/>
      <c r="D37" s="75"/>
      <c r="E37" s="75"/>
    </row>
    <row r="38" spans="1:6" x14ac:dyDescent="0.25">
      <c r="A38" s="82" t="s">
        <v>3</v>
      </c>
      <c r="B38" s="82"/>
      <c r="C38" s="82"/>
      <c r="D38" s="82"/>
      <c r="E38" s="82"/>
    </row>
    <row r="39" spans="1:6" x14ac:dyDescent="0.25">
      <c r="A39" s="75" t="s">
        <v>48</v>
      </c>
      <c r="B39" s="75"/>
      <c r="C39" s="75"/>
      <c r="D39" s="75"/>
      <c r="E39" s="75"/>
    </row>
    <row r="40" spans="1:6" ht="38.25" customHeight="1" x14ac:dyDescent="0.25">
      <c r="A40" s="58" t="s">
        <v>49</v>
      </c>
      <c r="B40" s="83" t="s">
        <v>50</v>
      </c>
      <c r="C40" s="83"/>
      <c r="D40" s="58" t="s">
        <v>51</v>
      </c>
      <c r="E40" s="58" t="s">
        <v>35</v>
      </c>
    </row>
    <row r="41" spans="1:6" x14ac:dyDescent="0.25">
      <c r="A41" s="8" t="s">
        <v>36</v>
      </c>
      <c r="B41" s="77" t="s">
        <v>52</v>
      </c>
      <c r="C41" s="77"/>
      <c r="D41" s="7">
        <v>8.3299999999999999E-2</v>
      </c>
      <c r="E41" s="4">
        <f>E35*D41</f>
        <v>304.56995659999995</v>
      </c>
      <c r="F41" s="19"/>
    </row>
    <row r="42" spans="1:6" x14ac:dyDescent="0.25">
      <c r="A42" s="8" t="s">
        <v>14</v>
      </c>
      <c r="B42" s="77" t="s">
        <v>53</v>
      </c>
      <c r="C42" s="77"/>
      <c r="D42" s="17">
        <v>0.121</v>
      </c>
      <c r="E42" s="16">
        <f>E35*D42</f>
        <v>442.41254199999997</v>
      </c>
      <c r="F42" s="18"/>
    </row>
    <row r="43" spans="1:6" x14ac:dyDescent="0.25">
      <c r="A43" s="84" t="s">
        <v>46</v>
      </c>
      <c r="B43" s="84"/>
      <c r="C43" s="84"/>
      <c r="D43" s="84"/>
      <c r="E43" s="5">
        <f>SUM(E41:E42)</f>
        <v>746.98249859999987</v>
      </c>
    </row>
    <row r="44" spans="1:6" x14ac:dyDescent="0.25">
      <c r="A44" s="84" t="s">
        <v>3</v>
      </c>
      <c r="B44" s="84"/>
      <c r="C44" s="84"/>
      <c r="D44" s="84"/>
      <c r="E44" s="84"/>
    </row>
    <row r="45" spans="1:6" ht="38.25" customHeight="1" x14ac:dyDescent="0.25">
      <c r="A45" s="83" t="s">
        <v>54</v>
      </c>
      <c r="B45" s="83"/>
      <c r="C45" s="83"/>
      <c r="D45" s="83"/>
      <c r="E45" s="83"/>
    </row>
    <row r="46" spans="1:6" x14ac:dyDescent="0.25">
      <c r="A46" s="58" t="s">
        <v>55</v>
      </c>
      <c r="B46" s="75" t="s">
        <v>56</v>
      </c>
      <c r="C46" s="75"/>
      <c r="D46" s="58" t="s">
        <v>51</v>
      </c>
      <c r="E46" s="58" t="s">
        <v>35</v>
      </c>
    </row>
    <row r="47" spans="1:6" x14ac:dyDescent="0.25">
      <c r="A47" s="8" t="s">
        <v>36</v>
      </c>
      <c r="B47" s="77" t="s">
        <v>57</v>
      </c>
      <c r="C47" s="77"/>
      <c r="D47" s="7">
        <v>0.2</v>
      </c>
      <c r="E47" s="4">
        <f>(E35+E43)*D47</f>
        <v>880.65689972000007</v>
      </c>
    </row>
    <row r="48" spans="1:6" x14ac:dyDescent="0.25">
      <c r="A48" s="8" t="s">
        <v>14</v>
      </c>
      <c r="B48" s="77" t="s">
        <v>58</v>
      </c>
      <c r="C48" s="77"/>
      <c r="D48" s="7">
        <v>2.5000000000000001E-2</v>
      </c>
      <c r="E48" s="4">
        <f>(E35+E43)*D48</f>
        <v>110.08211246500001</v>
      </c>
    </row>
    <row r="49" spans="1:6" x14ac:dyDescent="0.25">
      <c r="A49" s="8" t="s">
        <v>17</v>
      </c>
      <c r="B49" s="77" t="s">
        <v>59</v>
      </c>
      <c r="C49" s="77"/>
      <c r="D49" s="17">
        <v>0.03</v>
      </c>
      <c r="E49" s="16">
        <f>(E35+E43)*D49</f>
        <v>132.09853495799999</v>
      </c>
    </row>
    <row r="50" spans="1:6" x14ac:dyDescent="0.25">
      <c r="A50" s="8" t="s">
        <v>19</v>
      </c>
      <c r="B50" s="77" t="s">
        <v>60</v>
      </c>
      <c r="C50" s="77"/>
      <c r="D50" s="7">
        <v>1.4999999999999999E-2</v>
      </c>
      <c r="E50" s="4">
        <f>(E35+E43)*D50</f>
        <v>66.049267478999994</v>
      </c>
    </row>
    <row r="51" spans="1:6" x14ac:dyDescent="0.25">
      <c r="A51" s="8" t="s">
        <v>42</v>
      </c>
      <c r="B51" s="77" t="s">
        <v>61</v>
      </c>
      <c r="C51" s="77"/>
      <c r="D51" s="7">
        <v>0.01</v>
      </c>
      <c r="E51" s="4">
        <f>(E35+E43)*D51</f>
        <v>44.032844986000001</v>
      </c>
    </row>
    <row r="52" spans="1:6" x14ac:dyDescent="0.25">
      <c r="A52" s="8" t="s">
        <v>44</v>
      </c>
      <c r="B52" s="77" t="s">
        <v>62</v>
      </c>
      <c r="C52" s="77"/>
      <c r="D52" s="7">
        <v>6.0000000000000001E-3</v>
      </c>
      <c r="E52" s="4">
        <f>(E35+E43)*D52</f>
        <v>26.419706991600002</v>
      </c>
    </row>
    <row r="53" spans="1:6" x14ac:dyDescent="0.25">
      <c r="A53" s="8" t="s">
        <v>63</v>
      </c>
      <c r="B53" s="77" t="s">
        <v>64</v>
      </c>
      <c r="C53" s="77"/>
      <c r="D53" s="7">
        <v>2E-3</v>
      </c>
      <c r="E53" s="4">
        <f>(E35+E43)*D53</f>
        <v>8.8065689971999994</v>
      </c>
    </row>
    <row r="54" spans="1:6" x14ac:dyDescent="0.25">
      <c r="A54" s="8" t="s">
        <v>65</v>
      </c>
      <c r="B54" s="77" t="s">
        <v>66</v>
      </c>
      <c r="C54" s="77"/>
      <c r="D54" s="7">
        <v>0.08</v>
      </c>
      <c r="E54" s="4">
        <f>(E35+E43)*D54</f>
        <v>352.26275988800001</v>
      </c>
    </row>
    <row r="55" spans="1:6" x14ac:dyDescent="0.25">
      <c r="A55" s="84" t="s">
        <v>46</v>
      </c>
      <c r="B55" s="84"/>
      <c r="C55" s="84"/>
      <c r="D55" s="9">
        <f>SUM(D47:D54)</f>
        <v>0.36800000000000005</v>
      </c>
      <c r="E55" s="5">
        <f>SUM(E47:E54)</f>
        <v>1620.4086954848003</v>
      </c>
    </row>
    <row r="56" spans="1:6" x14ac:dyDescent="0.25">
      <c r="A56" s="82" t="s">
        <v>3</v>
      </c>
      <c r="B56" s="82"/>
      <c r="C56" s="82"/>
      <c r="D56" s="82"/>
      <c r="E56" s="82"/>
    </row>
    <row r="57" spans="1:6" x14ac:dyDescent="0.25">
      <c r="A57" s="75" t="s">
        <v>67</v>
      </c>
      <c r="B57" s="75"/>
      <c r="C57" s="75"/>
      <c r="D57" s="75"/>
      <c r="E57" s="75"/>
    </row>
    <row r="58" spans="1:6" x14ac:dyDescent="0.25">
      <c r="A58" s="58" t="s">
        <v>68</v>
      </c>
      <c r="B58" s="75" t="s">
        <v>69</v>
      </c>
      <c r="C58" s="75"/>
      <c r="D58" s="58" t="s">
        <v>70</v>
      </c>
      <c r="E58" s="58" t="s">
        <v>35</v>
      </c>
    </row>
    <row r="59" spans="1:6" x14ac:dyDescent="0.25">
      <c r="A59" s="8" t="s">
        <v>36</v>
      </c>
      <c r="B59" s="77" t="s">
        <v>71</v>
      </c>
      <c r="C59" s="77"/>
      <c r="D59" s="10" t="s">
        <v>72</v>
      </c>
      <c r="E59" s="4">
        <f>22*(5.5*2)-((E29*6%))</f>
        <v>73.247600000000006</v>
      </c>
      <c r="F59" s="57"/>
    </row>
    <row r="60" spans="1:6" x14ac:dyDescent="0.25">
      <c r="A60" s="8" t="s">
        <v>14</v>
      </c>
      <c r="B60" s="77" t="s">
        <v>73</v>
      </c>
      <c r="C60" s="77"/>
      <c r="D60" s="6" t="s">
        <v>74</v>
      </c>
      <c r="E60" s="4">
        <f>22*40.5</f>
        <v>891</v>
      </c>
      <c r="F60" s="56"/>
    </row>
    <row r="61" spans="1:6" x14ac:dyDescent="0.25">
      <c r="A61" s="8" t="s">
        <v>17</v>
      </c>
      <c r="B61" s="69" t="s">
        <v>75</v>
      </c>
      <c r="C61" s="71"/>
      <c r="D61" s="6" t="s">
        <v>3</v>
      </c>
      <c r="E61" s="4">
        <v>175.76</v>
      </c>
    </row>
    <row r="62" spans="1:6" x14ac:dyDescent="0.25">
      <c r="A62" s="8" t="s">
        <v>19</v>
      </c>
      <c r="B62" s="69" t="s">
        <v>76</v>
      </c>
      <c r="C62" s="71"/>
      <c r="D62" s="6" t="s">
        <v>3</v>
      </c>
      <c r="E62" s="4">
        <v>2.75</v>
      </c>
    </row>
    <row r="63" spans="1:6" x14ac:dyDescent="0.25">
      <c r="A63" s="8" t="s">
        <v>42</v>
      </c>
      <c r="B63" s="69" t="s">
        <v>77</v>
      </c>
      <c r="C63" s="71"/>
      <c r="D63" s="6" t="s">
        <v>3</v>
      </c>
      <c r="E63" s="4">
        <v>11.92</v>
      </c>
      <c r="F63" s="55"/>
    </row>
    <row r="64" spans="1:6" x14ac:dyDescent="0.25">
      <c r="A64" s="8" t="s">
        <v>44</v>
      </c>
      <c r="B64" s="77" t="s">
        <v>45</v>
      </c>
      <c r="C64" s="77"/>
      <c r="D64" s="6" t="s">
        <v>3</v>
      </c>
      <c r="E64" s="4">
        <v>0</v>
      </c>
      <c r="F64" s="55"/>
    </row>
    <row r="65" spans="1:5" x14ac:dyDescent="0.25">
      <c r="A65" s="84" t="s">
        <v>46</v>
      </c>
      <c r="B65" s="84"/>
      <c r="C65" s="84"/>
      <c r="D65" s="84"/>
      <c r="E65" s="5">
        <f>SUM(E59:E64)</f>
        <v>1154.6776</v>
      </c>
    </row>
    <row r="66" spans="1:5" x14ac:dyDescent="0.25">
      <c r="A66" s="82" t="s">
        <v>3</v>
      </c>
      <c r="B66" s="82"/>
      <c r="C66" s="82"/>
      <c r="D66" s="82"/>
      <c r="E66" s="82"/>
    </row>
    <row r="67" spans="1:5" x14ac:dyDescent="0.25">
      <c r="A67" s="75" t="s">
        <v>78</v>
      </c>
      <c r="B67" s="75"/>
      <c r="C67" s="75"/>
      <c r="D67" s="75"/>
      <c r="E67" s="75"/>
    </row>
    <row r="68" spans="1:5" x14ac:dyDescent="0.25">
      <c r="A68" s="58">
        <v>2</v>
      </c>
      <c r="B68" s="75" t="s">
        <v>79</v>
      </c>
      <c r="C68" s="75"/>
      <c r="D68" s="75"/>
      <c r="E68" s="58" t="s">
        <v>35</v>
      </c>
    </row>
    <row r="69" spans="1:5" x14ac:dyDescent="0.25">
      <c r="A69" s="8" t="s">
        <v>49</v>
      </c>
      <c r="B69" s="77" t="s">
        <v>50</v>
      </c>
      <c r="C69" s="77"/>
      <c r="D69" s="77"/>
      <c r="E69" s="4">
        <f>E43</f>
        <v>746.98249859999987</v>
      </c>
    </row>
    <row r="70" spans="1:5" x14ac:dyDescent="0.25">
      <c r="A70" s="8" t="s">
        <v>55</v>
      </c>
      <c r="B70" s="77" t="s">
        <v>56</v>
      </c>
      <c r="C70" s="77"/>
      <c r="D70" s="77"/>
      <c r="E70" s="4">
        <f>E55</f>
        <v>1620.4086954848003</v>
      </c>
    </row>
    <row r="71" spans="1:5" x14ac:dyDescent="0.25">
      <c r="A71" s="8" t="s">
        <v>68</v>
      </c>
      <c r="B71" s="77" t="s">
        <v>69</v>
      </c>
      <c r="C71" s="77"/>
      <c r="D71" s="77"/>
      <c r="E71" s="4">
        <f>E65</f>
        <v>1154.6776</v>
      </c>
    </row>
    <row r="72" spans="1:5" x14ac:dyDescent="0.25">
      <c r="A72" s="84" t="s">
        <v>46</v>
      </c>
      <c r="B72" s="84"/>
      <c r="C72" s="84"/>
      <c r="D72" s="84"/>
      <c r="E72" s="5">
        <f>SUM(E69:E71)</f>
        <v>3522.0687940848002</v>
      </c>
    </row>
    <row r="73" spans="1:5" x14ac:dyDescent="0.25">
      <c r="A73" s="76" t="s">
        <v>3</v>
      </c>
      <c r="B73" s="76"/>
      <c r="C73" s="76"/>
      <c r="D73" s="76"/>
      <c r="E73" s="76"/>
    </row>
    <row r="74" spans="1:5" x14ac:dyDescent="0.25">
      <c r="A74" s="75" t="s">
        <v>80</v>
      </c>
      <c r="B74" s="75"/>
      <c r="C74" s="75"/>
      <c r="D74" s="75"/>
      <c r="E74" s="75"/>
    </row>
    <row r="75" spans="1:5" x14ac:dyDescent="0.25">
      <c r="A75" s="58">
        <v>3</v>
      </c>
      <c r="B75" s="75" t="s">
        <v>81</v>
      </c>
      <c r="C75" s="75"/>
      <c r="D75" s="58" t="s">
        <v>51</v>
      </c>
      <c r="E75" s="58" t="s">
        <v>35</v>
      </c>
    </row>
    <row r="76" spans="1:5" x14ac:dyDescent="0.25">
      <c r="A76" s="8" t="s">
        <v>36</v>
      </c>
      <c r="B76" s="69" t="s">
        <v>82</v>
      </c>
      <c r="C76" s="71"/>
      <c r="D76" s="17">
        <f>(1/12*10%)</f>
        <v>8.3333333333333332E-3</v>
      </c>
      <c r="E76" s="16">
        <f>(E35+E43+(E61+E62+E63))*D76</f>
        <v>38.280954155000003</v>
      </c>
    </row>
    <row r="77" spans="1:5" ht="47.25" customHeight="1" x14ac:dyDescent="0.25">
      <c r="A77" s="8" t="s">
        <v>14</v>
      </c>
      <c r="B77" s="69" t="s">
        <v>83</v>
      </c>
      <c r="C77" s="71"/>
      <c r="D77" s="17">
        <f>8%*D76</f>
        <v>6.6666666666666664E-4</v>
      </c>
      <c r="E77" s="16">
        <f>(E35+E43)*D77</f>
        <v>2.9355229990666665</v>
      </c>
    </row>
    <row r="78" spans="1:5" ht="38.25" customHeight="1" x14ac:dyDescent="0.25">
      <c r="A78" s="8" t="s">
        <v>17</v>
      </c>
      <c r="B78" s="85" t="s">
        <v>84</v>
      </c>
      <c r="C78" s="86"/>
      <c r="D78" s="17">
        <f>8%*40%*10%</f>
        <v>3.2000000000000002E-3</v>
      </c>
      <c r="E78" s="16">
        <f>(E35+E43)*D78</f>
        <v>14.090510395520001</v>
      </c>
    </row>
    <row r="79" spans="1:5" ht="45" customHeight="1" x14ac:dyDescent="0.25">
      <c r="A79" s="8" t="s">
        <v>19</v>
      </c>
      <c r="B79" s="69" t="s">
        <v>85</v>
      </c>
      <c r="C79" s="71"/>
      <c r="D79" s="17">
        <f>(((7/30)/12)*90%)</f>
        <v>1.7500000000000002E-2</v>
      </c>
      <c r="E79" s="16">
        <f>E35*D79</f>
        <v>63.985284999999998</v>
      </c>
    </row>
    <row r="80" spans="1:5" ht="49.5" customHeight="1" x14ac:dyDescent="0.25">
      <c r="A80" s="8" t="s">
        <v>42</v>
      </c>
      <c r="B80" s="87" t="s">
        <v>86</v>
      </c>
      <c r="C80" s="87"/>
      <c r="D80" s="17">
        <f>D55*D79</f>
        <v>6.4400000000000013E-3</v>
      </c>
      <c r="E80" s="16">
        <f>(E35+E43)*D80</f>
        <v>28.357152170984005</v>
      </c>
    </row>
    <row r="81" spans="1:5" ht="38.25" customHeight="1" x14ac:dyDescent="0.25">
      <c r="A81" s="8" t="s">
        <v>44</v>
      </c>
      <c r="B81" s="85" t="s">
        <v>87</v>
      </c>
      <c r="C81" s="86"/>
      <c r="D81" s="17">
        <f>8%*40%*90%</f>
        <v>2.8800000000000003E-2</v>
      </c>
      <c r="E81" s="16">
        <f>(E35+E43)*D81</f>
        <v>126.81459355968001</v>
      </c>
    </row>
    <row r="82" spans="1:5" x14ac:dyDescent="0.25">
      <c r="A82" s="84" t="s">
        <v>46</v>
      </c>
      <c r="B82" s="84"/>
      <c r="C82" s="84"/>
      <c r="D82" s="84"/>
      <c r="E82" s="5">
        <f>SUM(E76:E81)</f>
        <v>274.46401828025068</v>
      </c>
    </row>
    <row r="83" spans="1:5" x14ac:dyDescent="0.25">
      <c r="A83" s="76" t="s">
        <v>3</v>
      </c>
      <c r="B83" s="76"/>
      <c r="C83" s="76"/>
      <c r="D83" s="76"/>
      <c r="E83" s="76"/>
    </row>
    <row r="84" spans="1:5" x14ac:dyDescent="0.25">
      <c r="A84" s="75" t="s">
        <v>88</v>
      </c>
      <c r="B84" s="75"/>
      <c r="C84" s="75"/>
      <c r="D84" s="75"/>
      <c r="E84" s="75"/>
    </row>
    <row r="85" spans="1:5" x14ac:dyDescent="0.25">
      <c r="A85" s="84" t="s">
        <v>3</v>
      </c>
      <c r="B85" s="84"/>
      <c r="C85" s="84"/>
      <c r="D85" s="84"/>
      <c r="E85" s="84"/>
    </row>
    <row r="86" spans="1:5" x14ac:dyDescent="0.25">
      <c r="A86" s="75" t="s">
        <v>89</v>
      </c>
      <c r="B86" s="75"/>
      <c r="C86" s="75"/>
      <c r="D86" s="75"/>
      <c r="E86" s="75"/>
    </row>
    <row r="87" spans="1:5" x14ac:dyDescent="0.25">
      <c r="A87" s="58" t="s">
        <v>90</v>
      </c>
      <c r="B87" s="75" t="s">
        <v>91</v>
      </c>
      <c r="C87" s="75"/>
      <c r="D87" s="58" t="s">
        <v>51</v>
      </c>
      <c r="E87" s="58" t="s">
        <v>35</v>
      </c>
    </row>
    <row r="88" spans="1:5" x14ac:dyDescent="0.25">
      <c r="A88" s="8" t="s">
        <v>36</v>
      </c>
      <c r="B88" s="77" t="s">
        <v>92</v>
      </c>
      <c r="C88" s="77"/>
      <c r="D88" s="17">
        <v>0</v>
      </c>
      <c r="E88" s="16">
        <f>(E35+E72+E82+E109-(E59+E60))*D88</f>
        <v>0</v>
      </c>
    </row>
    <row r="89" spans="1:5" x14ac:dyDescent="0.25">
      <c r="A89" s="8" t="s">
        <v>14</v>
      </c>
      <c r="B89" s="77" t="s">
        <v>93</v>
      </c>
      <c r="C89" s="77"/>
      <c r="D89" s="17">
        <f>5/12/30</f>
        <v>1.388888888888889E-2</v>
      </c>
      <c r="E89" s="16">
        <f>(E35+E72+E82+E109-(E59+E60))*D89</f>
        <v>91.97398134457633</v>
      </c>
    </row>
    <row r="90" spans="1:5" x14ac:dyDescent="0.25">
      <c r="A90" s="8" t="s">
        <v>17</v>
      </c>
      <c r="B90" s="77" t="s">
        <v>94</v>
      </c>
      <c r="C90" s="77"/>
      <c r="D90" s="17">
        <f>((5/30)/12)*5%</f>
        <v>6.9444444444444447E-4</v>
      </c>
      <c r="E90" s="16">
        <f>(E35+E72+E82+E109-(E59+E60))*D90</f>
        <v>4.5986990672288162</v>
      </c>
    </row>
    <row r="91" spans="1:5" x14ac:dyDescent="0.25">
      <c r="A91" s="8" t="s">
        <v>19</v>
      </c>
      <c r="B91" s="77" t="s">
        <v>95</v>
      </c>
      <c r="C91" s="77"/>
      <c r="D91" s="17">
        <f>((15/30)/12)*15%</f>
        <v>6.2499999999999995E-3</v>
      </c>
      <c r="E91" s="16">
        <f>(E35+E72+E82+E109-(E59+E60))*D91</f>
        <v>41.388291605059344</v>
      </c>
    </row>
    <row r="92" spans="1:5" x14ac:dyDescent="0.25">
      <c r="A92" s="8" t="s">
        <v>42</v>
      </c>
      <c r="B92" s="77" t="s">
        <v>96</v>
      </c>
      <c r="C92" s="77"/>
      <c r="D92" s="17">
        <f>((1/12)*(4/12))*1%</f>
        <v>2.7777777777777778E-4</v>
      </c>
      <c r="E92" s="16">
        <f>(E35+E72+E82+E109-(E59+E60))*D92</f>
        <v>1.8394796268915266</v>
      </c>
    </row>
    <row r="93" spans="1:5" x14ac:dyDescent="0.25">
      <c r="A93" s="8" t="s">
        <v>44</v>
      </c>
      <c r="B93" s="77" t="s">
        <v>97</v>
      </c>
      <c r="C93" s="77"/>
      <c r="D93" s="17">
        <v>0</v>
      </c>
      <c r="E93" s="16">
        <f>(E35+E72+E82+E109-(E59+E60))*D93</f>
        <v>0</v>
      </c>
    </row>
    <row r="94" spans="1:5" x14ac:dyDescent="0.25">
      <c r="A94" s="84" t="s">
        <v>46</v>
      </c>
      <c r="B94" s="84"/>
      <c r="C94" s="84"/>
      <c r="D94" s="84"/>
      <c r="E94" s="5">
        <f>SUM(E88:E93)</f>
        <v>139.80045164375602</v>
      </c>
    </row>
    <row r="95" spans="1:5" x14ac:dyDescent="0.25">
      <c r="A95" s="82" t="s">
        <v>3</v>
      </c>
      <c r="B95" s="82"/>
      <c r="C95" s="82"/>
      <c r="D95" s="82"/>
      <c r="E95" s="82"/>
    </row>
    <row r="96" spans="1:5" x14ac:dyDescent="0.25">
      <c r="A96" s="75" t="s">
        <v>98</v>
      </c>
      <c r="B96" s="75"/>
      <c r="C96" s="75"/>
      <c r="D96" s="75"/>
      <c r="E96" s="75"/>
    </row>
    <row r="97" spans="1:5" x14ac:dyDescent="0.25">
      <c r="A97" s="58" t="s">
        <v>99</v>
      </c>
      <c r="B97" s="75" t="s">
        <v>100</v>
      </c>
      <c r="C97" s="75"/>
      <c r="D97" s="75"/>
      <c r="E97" s="58" t="s">
        <v>35</v>
      </c>
    </row>
    <row r="98" spans="1:5" ht="38.25" customHeight="1" x14ac:dyDescent="0.25">
      <c r="A98" s="58" t="s">
        <v>36</v>
      </c>
      <c r="B98" s="88" t="s">
        <v>101</v>
      </c>
      <c r="C98" s="89"/>
      <c r="D98" s="90"/>
      <c r="E98" s="16">
        <v>0</v>
      </c>
    </row>
    <row r="99" spans="1:5" x14ac:dyDescent="0.25">
      <c r="A99" s="84" t="s">
        <v>46</v>
      </c>
      <c r="B99" s="84"/>
      <c r="C99" s="84"/>
      <c r="D99" s="84"/>
      <c r="E99" s="5">
        <f>E98</f>
        <v>0</v>
      </c>
    </row>
    <row r="100" spans="1:5" x14ac:dyDescent="0.25">
      <c r="A100" s="76" t="s">
        <v>3</v>
      </c>
      <c r="B100" s="76"/>
      <c r="C100" s="76"/>
      <c r="D100" s="76"/>
      <c r="E100" s="76"/>
    </row>
    <row r="101" spans="1:5" x14ac:dyDescent="0.25">
      <c r="A101" s="75" t="s">
        <v>102</v>
      </c>
      <c r="B101" s="75"/>
      <c r="C101" s="75"/>
      <c r="D101" s="75"/>
      <c r="E101" s="75"/>
    </row>
    <row r="102" spans="1:5" x14ac:dyDescent="0.25">
      <c r="A102" s="58">
        <v>4</v>
      </c>
      <c r="B102" s="75" t="s">
        <v>103</v>
      </c>
      <c r="C102" s="75"/>
      <c r="D102" s="75"/>
      <c r="E102" s="58" t="s">
        <v>35</v>
      </c>
    </row>
    <row r="103" spans="1:5" x14ac:dyDescent="0.25">
      <c r="A103" s="8" t="s">
        <v>90</v>
      </c>
      <c r="B103" s="77" t="s">
        <v>104</v>
      </c>
      <c r="C103" s="77"/>
      <c r="D103" s="77"/>
      <c r="E103" s="4">
        <f>E94</f>
        <v>139.80045164375602</v>
      </c>
    </row>
    <row r="104" spans="1:5" x14ac:dyDescent="0.25">
      <c r="A104" s="8" t="s">
        <v>99</v>
      </c>
      <c r="B104" s="77" t="s">
        <v>105</v>
      </c>
      <c r="C104" s="77"/>
      <c r="D104" s="77"/>
      <c r="E104" s="4">
        <f>E99</f>
        <v>0</v>
      </c>
    </row>
    <row r="105" spans="1:5" x14ac:dyDescent="0.25">
      <c r="A105" s="84" t="s">
        <v>46</v>
      </c>
      <c r="B105" s="84"/>
      <c r="C105" s="84"/>
      <c r="D105" s="84"/>
      <c r="E105" s="5">
        <f>SUM(E103:E104)</f>
        <v>139.80045164375602</v>
      </c>
    </row>
    <row r="106" spans="1:5" x14ac:dyDescent="0.25">
      <c r="A106" s="76" t="s">
        <v>3</v>
      </c>
      <c r="B106" s="76"/>
      <c r="C106" s="76"/>
      <c r="D106" s="76"/>
      <c r="E106" s="76"/>
    </row>
    <row r="107" spans="1:5" x14ac:dyDescent="0.25">
      <c r="A107" s="75" t="s">
        <v>106</v>
      </c>
      <c r="B107" s="75"/>
      <c r="C107" s="75"/>
      <c r="D107" s="75"/>
      <c r="E107" s="75"/>
    </row>
    <row r="108" spans="1:5" x14ac:dyDescent="0.25">
      <c r="A108" s="58">
        <v>5</v>
      </c>
      <c r="B108" s="72" t="s">
        <v>107</v>
      </c>
      <c r="C108" s="73"/>
      <c r="D108" s="74"/>
      <c r="E108" s="58" t="s">
        <v>35</v>
      </c>
    </row>
    <row r="109" spans="1:5" x14ac:dyDescent="0.25">
      <c r="A109" s="8" t="s">
        <v>36</v>
      </c>
      <c r="B109" s="69" t="s">
        <v>5</v>
      </c>
      <c r="C109" s="70"/>
      <c r="D109" s="71"/>
      <c r="E109" s="16">
        <f>Uniformes!O12</f>
        <v>133.53944444444443</v>
      </c>
    </row>
    <row r="110" spans="1:5" x14ac:dyDescent="0.25">
      <c r="A110" s="8" t="s">
        <v>14</v>
      </c>
      <c r="B110" s="69" t="s">
        <v>108</v>
      </c>
      <c r="C110" s="70"/>
      <c r="D110" s="71"/>
      <c r="E110" s="4">
        <f>(Materiais!R13)/6</f>
        <v>58.912006944444443</v>
      </c>
    </row>
    <row r="111" spans="1:5" ht="15" customHeight="1" x14ac:dyDescent="0.25">
      <c r="A111" s="8" t="s">
        <v>17</v>
      </c>
      <c r="B111" s="85" t="s">
        <v>230</v>
      </c>
      <c r="C111" s="91"/>
      <c r="D111" s="86"/>
      <c r="E111" s="16">
        <v>0</v>
      </c>
    </row>
    <row r="112" spans="1:5" x14ac:dyDescent="0.25">
      <c r="A112" s="8" t="s">
        <v>19</v>
      </c>
      <c r="B112" s="69" t="s">
        <v>109</v>
      </c>
      <c r="C112" s="70"/>
      <c r="D112" s="71"/>
      <c r="E112" s="16">
        <v>0</v>
      </c>
    </row>
    <row r="113" spans="1:6" x14ac:dyDescent="0.25">
      <c r="A113" s="79" t="s">
        <v>46</v>
      </c>
      <c r="B113" s="80"/>
      <c r="C113" s="80"/>
      <c r="D113" s="81"/>
      <c r="E113" s="5">
        <f>SUM(E109:E112)</f>
        <v>192.45145138888887</v>
      </c>
    </row>
    <row r="114" spans="1:6" x14ac:dyDescent="0.25">
      <c r="A114" s="76" t="s">
        <v>3</v>
      </c>
      <c r="B114" s="76"/>
      <c r="C114" s="76"/>
      <c r="D114" s="76"/>
      <c r="E114" s="76"/>
    </row>
    <row r="115" spans="1:6" x14ac:dyDescent="0.25">
      <c r="A115" s="75" t="s">
        <v>110</v>
      </c>
      <c r="B115" s="75"/>
      <c r="C115" s="75"/>
      <c r="D115" s="75"/>
      <c r="E115" s="75"/>
    </row>
    <row r="116" spans="1:6" x14ac:dyDescent="0.25">
      <c r="A116" s="58">
        <v>6</v>
      </c>
      <c r="B116" s="75" t="s">
        <v>111</v>
      </c>
      <c r="C116" s="75"/>
      <c r="D116" s="58" t="s">
        <v>51</v>
      </c>
      <c r="E116" s="58" t="s">
        <v>35</v>
      </c>
    </row>
    <row r="117" spans="1:6" x14ac:dyDescent="0.25">
      <c r="A117" s="8" t="s">
        <v>36</v>
      </c>
      <c r="B117" s="77" t="s">
        <v>112</v>
      </c>
      <c r="C117" s="77"/>
      <c r="D117" s="17">
        <v>0.08</v>
      </c>
      <c r="E117" s="4">
        <f>E133*D117</f>
        <v>622.8069372318156</v>
      </c>
      <c r="F117" s="56"/>
    </row>
    <row r="118" spans="1:6" x14ac:dyDescent="0.25">
      <c r="A118" s="8" t="s">
        <v>14</v>
      </c>
      <c r="B118" s="77" t="s">
        <v>113</v>
      </c>
      <c r="C118" s="77"/>
      <c r="D118" s="7">
        <v>0.08</v>
      </c>
      <c r="E118" s="4">
        <f>(E133+E117)*D118</f>
        <v>672.63149221036088</v>
      </c>
      <c r="F118" s="56"/>
    </row>
    <row r="119" spans="1:6" x14ac:dyDescent="0.25">
      <c r="A119" s="8" t="s">
        <v>17</v>
      </c>
      <c r="B119" s="92" t="s">
        <v>114</v>
      </c>
      <c r="C119" s="92"/>
      <c r="D119" s="9">
        <f>D122+D121+D120</f>
        <v>8.6500000000000007E-2</v>
      </c>
      <c r="E119" s="13" t="s">
        <v>3</v>
      </c>
    </row>
    <row r="120" spans="1:6" x14ac:dyDescent="0.25">
      <c r="A120" s="8" t="s">
        <v>115</v>
      </c>
      <c r="B120" s="77" t="s">
        <v>116</v>
      </c>
      <c r="C120" s="77"/>
      <c r="D120" s="11">
        <v>6.4999999999999997E-3</v>
      </c>
      <c r="E120" s="4">
        <f>((E133+E117+E118)/(1-D119))*D120</f>
        <v>64.61238471971447</v>
      </c>
    </row>
    <row r="121" spans="1:6" x14ac:dyDescent="0.25">
      <c r="A121" s="8" t="s">
        <v>117</v>
      </c>
      <c r="B121" s="77" t="s">
        <v>118</v>
      </c>
      <c r="C121" s="77"/>
      <c r="D121" s="11">
        <v>0.03</v>
      </c>
      <c r="E121" s="14">
        <f>((E133+E117+E118)/(1-D119))*D121</f>
        <v>298.21100639868217</v>
      </c>
    </row>
    <row r="122" spans="1:6" x14ac:dyDescent="0.25">
      <c r="A122" s="8" t="s">
        <v>119</v>
      </c>
      <c r="B122" s="77" t="s">
        <v>120</v>
      </c>
      <c r="C122" s="77"/>
      <c r="D122" s="11">
        <v>0.05</v>
      </c>
      <c r="E122" s="14">
        <f>((E133+E117+E118)/(1-D119))*D122</f>
        <v>497.01834399780364</v>
      </c>
    </row>
    <row r="123" spans="1:6" x14ac:dyDescent="0.25">
      <c r="A123" s="8" t="s">
        <v>121</v>
      </c>
      <c r="B123" s="69" t="s">
        <v>45</v>
      </c>
      <c r="C123" s="71"/>
      <c r="D123" s="11">
        <v>0</v>
      </c>
      <c r="E123" s="4">
        <f>D123*(E133+E117+E118)</f>
        <v>0</v>
      </c>
    </row>
    <row r="124" spans="1:6" x14ac:dyDescent="0.25">
      <c r="A124" s="84" t="s">
        <v>46</v>
      </c>
      <c r="B124" s="84"/>
      <c r="C124" s="84"/>
      <c r="D124" s="84"/>
      <c r="E124" s="5">
        <f>SUM(E117:E123)</f>
        <v>2155.2801645583768</v>
      </c>
    </row>
    <row r="125" spans="1:6" x14ac:dyDescent="0.25">
      <c r="A125" s="76" t="s">
        <v>3</v>
      </c>
      <c r="B125" s="76"/>
      <c r="C125" s="76"/>
      <c r="D125" s="76"/>
      <c r="E125" s="76"/>
    </row>
    <row r="126" spans="1:6" x14ac:dyDescent="0.25">
      <c r="A126" s="93" t="s">
        <v>122</v>
      </c>
      <c r="B126" s="93"/>
      <c r="C126" s="93"/>
      <c r="D126" s="93"/>
      <c r="E126" s="93"/>
    </row>
    <row r="127" spans="1:6" x14ac:dyDescent="0.25">
      <c r="A127" s="3"/>
      <c r="B127" s="93" t="s">
        <v>123</v>
      </c>
      <c r="C127" s="93"/>
      <c r="D127" s="93"/>
      <c r="E127" s="3" t="s">
        <v>35</v>
      </c>
    </row>
    <row r="128" spans="1:6" x14ac:dyDescent="0.25">
      <c r="A128" s="8" t="s">
        <v>36</v>
      </c>
      <c r="B128" s="77" t="s">
        <v>124</v>
      </c>
      <c r="C128" s="77"/>
      <c r="D128" s="77"/>
      <c r="E128" s="4">
        <f>E35</f>
        <v>3656.3019999999997</v>
      </c>
    </row>
    <row r="129" spans="1:5" x14ac:dyDescent="0.25">
      <c r="A129" s="8" t="s">
        <v>14</v>
      </c>
      <c r="B129" s="77" t="s">
        <v>125</v>
      </c>
      <c r="C129" s="77"/>
      <c r="D129" s="77"/>
      <c r="E129" s="4">
        <f>E72</f>
        <v>3522.0687940848002</v>
      </c>
    </row>
    <row r="130" spans="1:5" x14ac:dyDescent="0.25">
      <c r="A130" s="8" t="s">
        <v>17</v>
      </c>
      <c r="B130" s="77" t="s">
        <v>126</v>
      </c>
      <c r="C130" s="77"/>
      <c r="D130" s="77"/>
      <c r="E130" s="4">
        <f>E82</f>
        <v>274.46401828025068</v>
      </c>
    </row>
    <row r="131" spans="1:5" x14ac:dyDescent="0.25">
      <c r="A131" s="8" t="s">
        <v>19</v>
      </c>
      <c r="B131" s="77" t="s">
        <v>127</v>
      </c>
      <c r="C131" s="77"/>
      <c r="D131" s="77"/>
      <c r="E131" s="4">
        <f>E105</f>
        <v>139.80045164375602</v>
      </c>
    </row>
    <row r="132" spans="1:5" x14ac:dyDescent="0.25">
      <c r="A132" s="8" t="s">
        <v>42</v>
      </c>
      <c r="B132" s="77" t="s">
        <v>128</v>
      </c>
      <c r="C132" s="77"/>
      <c r="D132" s="77"/>
      <c r="E132" s="4">
        <f>E113</f>
        <v>192.45145138888887</v>
      </c>
    </row>
    <row r="133" spans="1:5" x14ac:dyDescent="0.25">
      <c r="A133" s="84" t="s">
        <v>129</v>
      </c>
      <c r="B133" s="84"/>
      <c r="C133" s="84"/>
      <c r="D133" s="84"/>
      <c r="E133" s="5">
        <f>SUM(E128:E132)</f>
        <v>7785.0867153976951</v>
      </c>
    </row>
    <row r="134" spans="1:5" x14ac:dyDescent="0.25">
      <c r="A134" s="8" t="s">
        <v>44</v>
      </c>
      <c r="B134" s="77" t="s">
        <v>130</v>
      </c>
      <c r="C134" s="77"/>
      <c r="D134" s="77"/>
      <c r="E134" s="4">
        <f>E124</f>
        <v>2155.2801645583768</v>
      </c>
    </row>
    <row r="135" spans="1:5" x14ac:dyDescent="0.25">
      <c r="A135" s="79" t="s">
        <v>131</v>
      </c>
      <c r="B135" s="80"/>
      <c r="C135" s="80"/>
      <c r="D135" s="81"/>
      <c r="E135" s="5">
        <f>E133+E134</f>
        <v>9940.3668799560728</v>
      </c>
    </row>
    <row r="136" spans="1:5" x14ac:dyDescent="0.25">
      <c r="A136" s="76" t="s">
        <v>3</v>
      </c>
      <c r="B136" s="76"/>
      <c r="C136" s="76"/>
      <c r="D136" s="76"/>
      <c r="E136" s="76"/>
    </row>
    <row r="137" spans="1:5" x14ac:dyDescent="0.25">
      <c r="A137" s="93" t="s">
        <v>132</v>
      </c>
      <c r="B137" s="93"/>
      <c r="C137" s="93"/>
      <c r="D137" s="93"/>
      <c r="E137" s="93"/>
    </row>
    <row r="138" spans="1:5" x14ac:dyDescent="0.25">
      <c r="A138" s="77" t="s">
        <v>133</v>
      </c>
      <c r="B138" s="77"/>
      <c r="C138" s="77"/>
      <c r="D138" s="77"/>
      <c r="E138" s="15" t="s">
        <v>231</v>
      </c>
    </row>
    <row r="139" spans="1:5" x14ac:dyDescent="0.25">
      <c r="A139" s="77" t="s">
        <v>134</v>
      </c>
      <c r="B139" s="77"/>
      <c r="C139" s="77"/>
      <c r="D139" s="77"/>
      <c r="E139" s="1">
        <f>E135</f>
        <v>9940.3668799560728</v>
      </c>
    </row>
    <row r="140" spans="1:5" x14ac:dyDescent="0.25">
      <c r="A140" s="77" t="s">
        <v>135</v>
      </c>
      <c r="B140" s="77"/>
      <c r="C140" s="77"/>
      <c r="D140" s="77"/>
      <c r="E140" s="12">
        <v>1</v>
      </c>
    </row>
    <row r="141" spans="1:5" x14ac:dyDescent="0.25">
      <c r="A141" s="77" t="s">
        <v>136</v>
      </c>
      <c r="B141" s="77"/>
      <c r="C141" s="77"/>
      <c r="D141" s="77"/>
      <c r="E141" s="1">
        <f>E139*E140</f>
        <v>9940.3668799560728</v>
      </c>
    </row>
    <row r="142" spans="1:5" x14ac:dyDescent="0.25">
      <c r="A142" s="77" t="s">
        <v>137</v>
      </c>
      <c r="B142" s="77"/>
      <c r="C142" s="77"/>
      <c r="D142" s="77"/>
      <c r="E142" s="12">
        <v>6</v>
      </c>
    </row>
    <row r="143" spans="1:5" x14ac:dyDescent="0.25">
      <c r="A143" s="77" t="s">
        <v>138</v>
      </c>
      <c r="B143" s="77"/>
      <c r="C143" s="77"/>
      <c r="D143" s="77"/>
      <c r="E143" s="1">
        <f>E141*E142</f>
        <v>59642.201279736437</v>
      </c>
    </row>
    <row r="144" spans="1:5" x14ac:dyDescent="0.25">
      <c r="A144" s="76" t="s">
        <v>3</v>
      </c>
      <c r="B144" s="76"/>
      <c r="C144" s="76"/>
      <c r="D144" s="76"/>
      <c r="E144" s="76"/>
    </row>
    <row r="145" spans="1:5" x14ac:dyDescent="0.25">
      <c r="A145" s="93" t="s">
        <v>139</v>
      </c>
      <c r="B145" s="93"/>
      <c r="C145" s="93"/>
      <c r="D145" s="93"/>
      <c r="E145" s="93"/>
    </row>
    <row r="146" spans="1:5" x14ac:dyDescent="0.25">
      <c r="A146" s="3"/>
      <c r="B146" s="93" t="s">
        <v>1</v>
      </c>
      <c r="C146" s="93"/>
      <c r="D146" s="93"/>
      <c r="E146" s="3" t="s">
        <v>35</v>
      </c>
    </row>
    <row r="147" spans="1:5" x14ac:dyDescent="0.25">
      <c r="A147" s="8" t="s">
        <v>36</v>
      </c>
      <c r="B147" s="69" t="s">
        <v>140</v>
      </c>
      <c r="C147" s="70"/>
      <c r="D147" s="71"/>
      <c r="E147" s="13">
        <f>E135</f>
        <v>9940.3668799560728</v>
      </c>
    </row>
    <row r="148" spans="1:5" x14ac:dyDescent="0.25">
      <c r="A148" s="8" t="s">
        <v>14</v>
      </c>
      <c r="B148" s="69" t="s">
        <v>141</v>
      </c>
      <c r="C148" s="70"/>
      <c r="D148" s="71"/>
      <c r="E148" s="13">
        <f>E143</f>
        <v>59642.201279736437</v>
      </c>
    </row>
    <row r="149" spans="1:5" x14ac:dyDescent="0.25">
      <c r="A149" s="8" t="s">
        <v>17</v>
      </c>
      <c r="B149" s="69" t="s">
        <v>142</v>
      </c>
      <c r="C149" s="70"/>
      <c r="D149" s="71"/>
      <c r="E149" s="13">
        <f>E148*E13</f>
        <v>715706.41535683721</v>
      </c>
    </row>
  </sheetData>
  <mergeCells count="153">
    <mergeCell ref="B148:D148"/>
    <mergeCell ref="B149:D149"/>
    <mergeCell ref="A142:D142"/>
    <mergeCell ref="A143:D143"/>
    <mergeCell ref="A144:E144"/>
    <mergeCell ref="A145:E145"/>
    <mergeCell ref="B146:D146"/>
    <mergeCell ref="B147:D147"/>
    <mergeCell ref="A136:E136"/>
    <mergeCell ref="A137:E137"/>
    <mergeCell ref="A138:D138"/>
    <mergeCell ref="A139:D139"/>
    <mergeCell ref="A140:D140"/>
    <mergeCell ref="A141:D141"/>
    <mergeCell ref="B130:D130"/>
    <mergeCell ref="B131:D131"/>
    <mergeCell ref="B132:D132"/>
    <mergeCell ref="A133:D133"/>
    <mergeCell ref="B134:D134"/>
    <mergeCell ref="A135:D135"/>
    <mergeCell ref="A124:D124"/>
    <mergeCell ref="A125:E125"/>
    <mergeCell ref="A126:E126"/>
    <mergeCell ref="B127:D127"/>
    <mergeCell ref="B128:D128"/>
    <mergeCell ref="B129:D129"/>
    <mergeCell ref="B118:C118"/>
    <mergeCell ref="B119:C119"/>
    <mergeCell ref="B120:C120"/>
    <mergeCell ref="B121:C121"/>
    <mergeCell ref="B122:C122"/>
    <mergeCell ref="B123:C123"/>
    <mergeCell ref="B112:D112"/>
    <mergeCell ref="A113:D113"/>
    <mergeCell ref="A114:E114"/>
    <mergeCell ref="A115:E115"/>
    <mergeCell ref="B116:C116"/>
    <mergeCell ref="B117:C117"/>
    <mergeCell ref="A106:E106"/>
    <mergeCell ref="A107:E107"/>
    <mergeCell ref="B108:D108"/>
    <mergeCell ref="B109:D109"/>
    <mergeCell ref="B110:D110"/>
    <mergeCell ref="B111:D111"/>
    <mergeCell ref="A100:E100"/>
    <mergeCell ref="A101:E101"/>
    <mergeCell ref="B102:D102"/>
    <mergeCell ref="B103:D103"/>
    <mergeCell ref="B104:D104"/>
    <mergeCell ref="A105:D105"/>
    <mergeCell ref="A94:D94"/>
    <mergeCell ref="A95:E95"/>
    <mergeCell ref="A96:E96"/>
    <mergeCell ref="B97:D97"/>
    <mergeCell ref="B98:D98"/>
    <mergeCell ref="A99:D99"/>
    <mergeCell ref="B88:C88"/>
    <mergeCell ref="B89:C89"/>
    <mergeCell ref="B90:C90"/>
    <mergeCell ref="B91:C91"/>
    <mergeCell ref="B92:C92"/>
    <mergeCell ref="B93:C93"/>
    <mergeCell ref="A82:D82"/>
    <mergeCell ref="A83:E83"/>
    <mergeCell ref="A84:E84"/>
    <mergeCell ref="A85:E85"/>
    <mergeCell ref="A86:E86"/>
    <mergeCell ref="B87:C87"/>
    <mergeCell ref="B76:C76"/>
    <mergeCell ref="B77:C77"/>
    <mergeCell ref="B78:C78"/>
    <mergeCell ref="B79:C79"/>
    <mergeCell ref="B80:C80"/>
    <mergeCell ref="B81:C81"/>
    <mergeCell ref="B70:D70"/>
    <mergeCell ref="B71:D71"/>
    <mergeCell ref="A72:D72"/>
    <mergeCell ref="A73:E73"/>
    <mergeCell ref="A74:E74"/>
    <mergeCell ref="B75:C75"/>
    <mergeCell ref="B64:C64"/>
    <mergeCell ref="A65:D65"/>
    <mergeCell ref="A66:E66"/>
    <mergeCell ref="A67:E67"/>
    <mergeCell ref="B68:D68"/>
    <mergeCell ref="B69:D69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A55:C55"/>
    <mergeCell ref="A56:E56"/>
    <mergeCell ref="A57:E57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A43:D43"/>
    <mergeCell ref="A44:E44"/>
    <mergeCell ref="A45:E45"/>
    <mergeCell ref="B34:D34"/>
    <mergeCell ref="A35:D35"/>
    <mergeCell ref="A36:E36"/>
    <mergeCell ref="A37:E37"/>
    <mergeCell ref="A38:E38"/>
    <mergeCell ref="A39:E39"/>
    <mergeCell ref="B28:D28"/>
    <mergeCell ref="B29:D29"/>
    <mergeCell ref="B30:D30"/>
    <mergeCell ref="B31:D31"/>
    <mergeCell ref="B32:D32"/>
    <mergeCell ref="B33:D33"/>
    <mergeCell ref="B22:D22"/>
    <mergeCell ref="B23:D23"/>
    <mergeCell ref="B24:D24"/>
    <mergeCell ref="B25:D25"/>
    <mergeCell ref="A26:E26"/>
    <mergeCell ref="A27:E27"/>
    <mergeCell ref="A16:D16"/>
    <mergeCell ref="A17:D17"/>
    <mergeCell ref="A18:D18"/>
    <mergeCell ref="A19:E19"/>
    <mergeCell ref="A20:E20"/>
    <mergeCell ref="B21:D21"/>
    <mergeCell ref="B12:D12"/>
    <mergeCell ref="B13:D13"/>
    <mergeCell ref="A14:E14"/>
    <mergeCell ref="A15:E15"/>
    <mergeCell ref="A6:B6"/>
    <mergeCell ref="C6:E6"/>
    <mergeCell ref="A7:B7"/>
    <mergeCell ref="C7:E7"/>
    <mergeCell ref="A8:E8"/>
    <mergeCell ref="A9:E9"/>
    <mergeCell ref="A1:E1"/>
    <mergeCell ref="A2:E2"/>
    <mergeCell ref="A3:E3"/>
    <mergeCell ref="A4:B4"/>
    <mergeCell ref="C4:E4"/>
    <mergeCell ref="A5:B5"/>
    <mergeCell ref="C5:E5"/>
    <mergeCell ref="B10:D10"/>
    <mergeCell ref="B11:D11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773C4-CF29-4EC9-80FC-6CE8E1075FAE}">
  <sheetPr>
    <tabColor theme="9" tint="0.39997558519241921"/>
  </sheetPr>
  <dimension ref="A1:P35"/>
  <sheetViews>
    <sheetView topLeftCell="E1" workbookViewId="0">
      <selection activeCell="O12" sqref="O12"/>
    </sheetView>
  </sheetViews>
  <sheetFormatPr defaultRowHeight="15" x14ac:dyDescent="0.25"/>
  <cols>
    <col min="1" max="1" width="3.85546875" bestFit="1" customWidth="1"/>
    <col min="2" max="2" width="30.140625" customWidth="1"/>
    <col min="3" max="3" width="7.140625" style="54" customWidth="1"/>
    <col min="4" max="4" width="9.5703125" bestFit="1" customWidth="1"/>
    <col min="5" max="5" width="17.42578125" customWidth="1"/>
    <col min="6" max="8" width="9.28515625" customWidth="1"/>
    <col min="9" max="15" width="11" customWidth="1"/>
    <col min="16" max="16" width="9.42578125" bestFit="1" customWidth="1"/>
  </cols>
  <sheetData>
    <row r="1" spans="1:15" ht="60" x14ac:dyDescent="0.25">
      <c r="A1" s="38" t="s">
        <v>0</v>
      </c>
      <c r="B1" s="39" t="s">
        <v>5</v>
      </c>
      <c r="C1" s="39" t="s">
        <v>2</v>
      </c>
      <c r="D1" s="39" t="s">
        <v>187</v>
      </c>
      <c r="E1" s="39" t="s">
        <v>188</v>
      </c>
      <c r="F1" s="39" t="s">
        <v>152</v>
      </c>
      <c r="G1" s="39" t="s">
        <v>153</v>
      </c>
      <c r="H1" s="39" t="s">
        <v>154</v>
      </c>
      <c r="I1" s="39" t="s">
        <v>160</v>
      </c>
      <c r="J1" s="39" t="s">
        <v>189</v>
      </c>
      <c r="K1" s="39" t="s">
        <v>190</v>
      </c>
      <c r="L1" s="40" t="s">
        <v>191</v>
      </c>
      <c r="M1" s="40" t="s">
        <v>161</v>
      </c>
      <c r="N1" s="40" t="s">
        <v>192</v>
      </c>
      <c r="O1" s="40" t="s">
        <v>193</v>
      </c>
    </row>
    <row r="2" spans="1:15" ht="75" x14ac:dyDescent="0.25">
      <c r="A2" s="41">
        <v>1</v>
      </c>
      <c r="B2" s="42" t="s">
        <v>194</v>
      </c>
      <c r="C2" s="43" t="s">
        <v>2</v>
      </c>
      <c r="D2" s="43">
        <v>4</v>
      </c>
      <c r="E2" s="43" t="s">
        <v>195</v>
      </c>
      <c r="F2" s="43">
        <v>41.5</v>
      </c>
      <c r="G2" s="43">
        <v>44</v>
      </c>
      <c r="H2" s="43">
        <v>49.4</v>
      </c>
      <c r="I2" s="44">
        <f>STDEVPA(F2:H2)</f>
        <v>3.2967997950874852</v>
      </c>
      <c r="J2" s="44">
        <f t="shared" ref="J2:J11" si="0">L2+I2</f>
        <v>48.263466461754156</v>
      </c>
      <c r="K2" s="44">
        <f t="shared" ref="K2:K11" si="1">L2-I2</f>
        <v>41.669866871579181</v>
      </c>
      <c r="L2" s="44">
        <f t="shared" ref="L2:L11" si="2">AVERAGE(F2:H2)</f>
        <v>44.966666666666669</v>
      </c>
      <c r="M2" s="45">
        <f t="shared" ref="M2:M11" si="3">(I2/L2)*100</f>
        <v>7.3316526206541557</v>
      </c>
      <c r="N2" s="44">
        <f t="shared" ref="N2:N11" si="4">L2*D2</f>
        <v>179.86666666666667</v>
      </c>
      <c r="O2" s="44">
        <f t="shared" ref="O2:O4" si="5">N2/12</f>
        <v>14.988888888888889</v>
      </c>
    </row>
    <row r="3" spans="1:15" ht="75" x14ac:dyDescent="0.25">
      <c r="A3" s="41">
        <v>2</v>
      </c>
      <c r="B3" s="42" t="s">
        <v>196</v>
      </c>
      <c r="C3" s="43" t="s">
        <v>2</v>
      </c>
      <c r="D3" s="43">
        <v>2</v>
      </c>
      <c r="E3" s="43" t="s">
        <v>197</v>
      </c>
      <c r="F3" s="46">
        <v>45</v>
      </c>
      <c r="G3" s="43">
        <v>45</v>
      </c>
      <c r="H3" s="43">
        <v>47</v>
      </c>
      <c r="I3" s="44">
        <f t="shared" ref="I3:I4" si="6">STDEVPA(F3:H3)</f>
        <v>0.94280904158206336</v>
      </c>
      <c r="J3" s="44">
        <f t="shared" si="0"/>
        <v>46.609475708248731</v>
      </c>
      <c r="K3" s="44">
        <f t="shared" si="1"/>
        <v>44.723857625084598</v>
      </c>
      <c r="L3" s="44">
        <f t="shared" si="2"/>
        <v>45.666666666666664</v>
      </c>
      <c r="M3" s="45">
        <f t="shared" si="3"/>
        <v>2.0645453465300658</v>
      </c>
      <c r="N3" s="44">
        <f t="shared" si="4"/>
        <v>91.333333333333329</v>
      </c>
      <c r="O3" s="44">
        <f t="shared" si="5"/>
        <v>7.6111111111111107</v>
      </c>
    </row>
    <row r="4" spans="1:15" ht="105" x14ac:dyDescent="0.25">
      <c r="A4" s="41">
        <v>3</v>
      </c>
      <c r="B4" s="42" t="s">
        <v>198</v>
      </c>
      <c r="C4" s="43" t="s">
        <v>2</v>
      </c>
      <c r="D4" s="43">
        <v>4</v>
      </c>
      <c r="E4" s="43" t="s">
        <v>199</v>
      </c>
      <c r="F4" s="43">
        <v>132.9</v>
      </c>
      <c r="G4" s="43">
        <v>128.61000000000001</v>
      </c>
      <c r="H4" s="43">
        <v>132.9</v>
      </c>
      <c r="I4" s="44">
        <f t="shared" si="6"/>
        <v>2.0223253941935222</v>
      </c>
      <c r="J4" s="44">
        <f t="shared" si="0"/>
        <v>133.49232539419353</v>
      </c>
      <c r="K4" s="44">
        <f t="shared" si="1"/>
        <v>129.44767460580647</v>
      </c>
      <c r="L4" s="44">
        <f t="shared" si="2"/>
        <v>131.47</v>
      </c>
      <c r="M4" s="45">
        <f t="shared" si="3"/>
        <v>1.5382409631045275</v>
      </c>
      <c r="N4" s="44">
        <f t="shared" si="4"/>
        <v>525.88</v>
      </c>
      <c r="O4" s="44">
        <f t="shared" si="5"/>
        <v>43.823333333333331</v>
      </c>
    </row>
    <row r="5" spans="1:15" ht="60" x14ac:dyDescent="0.25">
      <c r="A5" s="41">
        <v>4</v>
      </c>
      <c r="B5" s="42" t="s">
        <v>200</v>
      </c>
      <c r="C5" s="43" t="s">
        <v>6</v>
      </c>
      <c r="D5" s="43">
        <v>2</v>
      </c>
      <c r="E5" s="43" t="s">
        <v>201</v>
      </c>
      <c r="F5" s="43">
        <v>111.43</v>
      </c>
      <c r="G5" s="43">
        <v>112.56</v>
      </c>
      <c r="H5" s="43">
        <v>125.74</v>
      </c>
      <c r="I5" s="44">
        <f>STDEVPA(F5:H5)</f>
        <v>6.4958567991878873</v>
      </c>
      <c r="J5" s="44">
        <f t="shared" si="0"/>
        <v>123.07252346585456</v>
      </c>
      <c r="K5" s="44">
        <f t="shared" si="1"/>
        <v>110.08080986747878</v>
      </c>
      <c r="L5" s="44">
        <f t="shared" si="2"/>
        <v>116.57666666666667</v>
      </c>
      <c r="M5" s="45">
        <f t="shared" si="3"/>
        <v>5.5721757920577764</v>
      </c>
      <c r="N5" s="44">
        <f t="shared" si="4"/>
        <v>233.15333333333334</v>
      </c>
      <c r="O5" s="44">
        <f>N5/12</f>
        <v>19.429444444444446</v>
      </c>
    </row>
    <row r="6" spans="1:15" ht="30" x14ac:dyDescent="0.25">
      <c r="A6" s="41">
        <v>5</v>
      </c>
      <c r="B6" s="42" t="s">
        <v>202</v>
      </c>
      <c r="C6" s="43" t="s">
        <v>6</v>
      </c>
      <c r="D6" s="43">
        <v>8</v>
      </c>
      <c r="E6" s="43" t="s">
        <v>203</v>
      </c>
      <c r="F6" s="46">
        <v>12</v>
      </c>
      <c r="G6" s="46">
        <v>12.5</v>
      </c>
      <c r="H6" s="46">
        <v>13.94</v>
      </c>
      <c r="I6" s="44">
        <f t="shared" ref="I6:I11" si="7">STDEVPA(F6:H6)</f>
        <v>0.82240838733293264</v>
      </c>
      <c r="J6" s="44">
        <f t="shared" si="0"/>
        <v>13.635741720666266</v>
      </c>
      <c r="K6" s="44">
        <f t="shared" si="1"/>
        <v>11.990924946000399</v>
      </c>
      <c r="L6" s="44">
        <f t="shared" si="2"/>
        <v>12.813333333333333</v>
      </c>
      <c r="M6" s="45">
        <f t="shared" si="3"/>
        <v>6.4183797138366234</v>
      </c>
      <c r="N6" s="44">
        <f t="shared" si="4"/>
        <v>102.50666666666666</v>
      </c>
      <c r="O6" s="44">
        <f t="shared" ref="O6:O11" si="8">N6/12</f>
        <v>8.5422222222222217</v>
      </c>
    </row>
    <row r="7" spans="1:15" ht="45" x14ac:dyDescent="0.25">
      <c r="A7" s="41">
        <v>6</v>
      </c>
      <c r="B7" s="42" t="s">
        <v>204</v>
      </c>
      <c r="C7" s="43" t="s">
        <v>2</v>
      </c>
      <c r="D7" s="43">
        <v>2</v>
      </c>
      <c r="E7" s="43" t="s">
        <v>205</v>
      </c>
      <c r="F7" s="43">
        <v>28.84</v>
      </c>
      <c r="G7" s="43">
        <v>22.9</v>
      </c>
      <c r="H7" s="43">
        <v>33</v>
      </c>
      <c r="I7" s="44">
        <f t="shared" si="7"/>
        <v>4.1445975545146663</v>
      </c>
      <c r="J7" s="44">
        <f t="shared" si="0"/>
        <v>32.391264221181331</v>
      </c>
      <c r="K7" s="44">
        <f t="shared" si="1"/>
        <v>24.102069112152002</v>
      </c>
      <c r="L7" s="44">
        <f t="shared" si="2"/>
        <v>28.246666666666666</v>
      </c>
      <c r="M7" s="45">
        <f t="shared" si="3"/>
        <v>14.672873098352607</v>
      </c>
      <c r="N7" s="44">
        <f t="shared" si="4"/>
        <v>56.493333333333332</v>
      </c>
      <c r="O7" s="44">
        <f t="shared" si="8"/>
        <v>4.7077777777777774</v>
      </c>
    </row>
    <row r="8" spans="1:15" ht="30" x14ac:dyDescent="0.25">
      <c r="A8" s="41">
        <v>7</v>
      </c>
      <c r="B8" s="42" t="s">
        <v>206</v>
      </c>
      <c r="C8" s="43" t="s">
        <v>2</v>
      </c>
      <c r="D8" s="43">
        <v>2</v>
      </c>
      <c r="E8" s="43">
        <v>3905</v>
      </c>
      <c r="F8" s="46">
        <v>31</v>
      </c>
      <c r="G8" s="46">
        <v>30</v>
      </c>
      <c r="H8" s="46">
        <v>24.69</v>
      </c>
      <c r="I8" s="44">
        <f t="shared" si="7"/>
        <v>2.7691193947214012</v>
      </c>
      <c r="J8" s="44">
        <f t="shared" si="0"/>
        <v>31.332452728054733</v>
      </c>
      <c r="K8" s="44">
        <f t="shared" si="1"/>
        <v>25.794213938611932</v>
      </c>
      <c r="L8" s="44">
        <f t="shared" si="2"/>
        <v>28.563333333333333</v>
      </c>
      <c r="M8" s="45">
        <f t="shared" si="3"/>
        <v>9.6946647031908082</v>
      </c>
      <c r="N8" s="44">
        <f t="shared" si="4"/>
        <v>57.126666666666665</v>
      </c>
      <c r="O8" s="44">
        <f t="shared" si="8"/>
        <v>4.7605555555555554</v>
      </c>
    </row>
    <row r="9" spans="1:15" ht="75" x14ac:dyDescent="0.25">
      <c r="A9" s="41">
        <v>8</v>
      </c>
      <c r="B9" s="42" t="s">
        <v>207</v>
      </c>
      <c r="C9" s="43" t="s">
        <v>2</v>
      </c>
      <c r="D9" s="43">
        <v>4</v>
      </c>
      <c r="E9" s="43" t="s">
        <v>208</v>
      </c>
      <c r="F9" s="47">
        <v>29.99</v>
      </c>
      <c r="G9" s="47">
        <v>35.9</v>
      </c>
      <c r="H9" s="47">
        <v>34.9</v>
      </c>
      <c r="I9" s="44">
        <f t="shared" si="7"/>
        <v>2.5827676800070289</v>
      </c>
      <c r="J9" s="44">
        <f t="shared" si="0"/>
        <v>36.179434346673695</v>
      </c>
      <c r="K9" s="44">
        <f t="shared" si="1"/>
        <v>31.013898986659633</v>
      </c>
      <c r="L9" s="44">
        <f t="shared" si="2"/>
        <v>33.596666666666664</v>
      </c>
      <c r="M9" s="45">
        <f t="shared" si="3"/>
        <v>7.6875712273252184</v>
      </c>
      <c r="N9" s="44">
        <f t="shared" si="4"/>
        <v>134.38666666666666</v>
      </c>
      <c r="O9" s="44">
        <f t="shared" si="8"/>
        <v>11.198888888888888</v>
      </c>
    </row>
    <row r="10" spans="1:15" ht="60" x14ac:dyDescent="0.25">
      <c r="A10" s="41">
        <v>9</v>
      </c>
      <c r="B10" s="42" t="s">
        <v>209</v>
      </c>
      <c r="C10" s="43" t="s">
        <v>6</v>
      </c>
      <c r="D10" s="43">
        <v>4</v>
      </c>
      <c r="E10" s="43" t="s">
        <v>210</v>
      </c>
      <c r="F10" s="48">
        <v>3.98</v>
      </c>
      <c r="G10" s="46">
        <v>4.05</v>
      </c>
      <c r="H10" s="46">
        <v>4.2699999999999996</v>
      </c>
      <c r="I10" s="44">
        <f>STDEVPA(G10:H10)</f>
        <v>0.10999999999999988</v>
      </c>
      <c r="J10" s="44">
        <f t="shared" si="0"/>
        <v>4.2099999999999991</v>
      </c>
      <c r="K10" s="44">
        <f t="shared" si="1"/>
        <v>3.9899999999999998</v>
      </c>
      <c r="L10" s="44">
        <f t="shared" si="2"/>
        <v>4.0999999999999996</v>
      </c>
      <c r="M10" s="45">
        <f t="shared" si="3"/>
        <v>2.6829268292682897</v>
      </c>
      <c r="N10" s="44">
        <f t="shared" si="4"/>
        <v>16.399999999999999</v>
      </c>
      <c r="O10" s="44">
        <f t="shared" si="8"/>
        <v>1.3666666666666665</v>
      </c>
    </row>
    <row r="11" spans="1:15" ht="75" x14ac:dyDescent="0.25">
      <c r="A11" s="41">
        <v>10</v>
      </c>
      <c r="B11" s="42" t="s">
        <v>211</v>
      </c>
      <c r="C11" s="43" t="s">
        <v>2</v>
      </c>
      <c r="D11" s="43">
        <v>2</v>
      </c>
      <c r="E11" s="43" t="s">
        <v>212</v>
      </c>
      <c r="F11" s="46">
        <v>98</v>
      </c>
      <c r="G11" s="46">
        <v>104.99</v>
      </c>
      <c r="H11" s="46">
        <v>105</v>
      </c>
      <c r="I11" s="44">
        <f t="shared" si="7"/>
        <v>3.2974771501187918</v>
      </c>
      <c r="J11" s="44">
        <f t="shared" si="0"/>
        <v>105.96081048345214</v>
      </c>
      <c r="K11" s="44">
        <f t="shared" si="1"/>
        <v>99.365856183214547</v>
      </c>
      <c r="L11" s="44">
        <f t="shared" si="2"/>
        <v>102.66333333333334</v>
      </c>
      <c r="M11" s="45">
        <f t="shared" si="3"/>
        <v>3.211932676501307</v>
      </c>
      <c r="N11" s="44">
        <f t="shared" si="4"/>
        <v>205.32666666666668</v>
      </c>
      <c r="O11" s="44">
        <f t="shared" si="8"/>
        <v>17.110555555555557</v>
      </c>
    </row>
    <row r="12" spans="1:15" x14ac:dyDescent="0.25">
      <c r="A12" s="105" t="s">
        <v>213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7"/>
      <c r="M12" s="49"/>
      <c r="N12" s="50">
        <f>SUM(N2:N11)</f>
        <v>1602.4733333333336</v>
      </c>
      <c r="O12" s="51">
        <f>SUM(O2:O11)</f>
        <v>133.53944444444443</v>
      </c>
    </row>
    <row r="13" spans="1:15" hidden="1" x14ac:dyDescent="0.25">
      <c r="A13" t="s">
        <v>214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3"/>
      <c r="O13" s="53"/>
    </row>
    <row r="14" spans="1:15" hidden="1" x14ac:dyDescent="0.25">
      <c r="A14" t="s">
        <v>215</v>
      </c>
    </row>
    <row r="15" spans="1:15" hidden="1" x14ac:dyDescent="0.25">
      <c r="A15" t="s">
        <v>216</v>
      </c>
    </row>
    <row r="16" spans="1:15" hidden="1" x14ac:dyDescent="0.25">
      <c r="A16" t="s">
        <v>217</v>
      </c>
    </row>
    <row r="17" spans="1:16" hidden="1" x14ac:dyDescent="0.25">
      <c r="A17" t="s">
        <v>218</v>
      </c>
    </row>
    <row r="18" spans="1:16" hidden="1" x14ac:dyDescent="0.25">
      <c r="A18" t="s">
        <v>219</v>
      </c>
    </row>
    <row r="19" spans="1:16" hidden="1" x14ac:dyDescent="0.25">
      <c r="A19" t="s">
        <v>220</v>
      </c>
    </row>
    <row r="20" spans="1:16" hidden="1" x14ac:dyDescent="0.25">
      <c r="A20" t="s">
        <v>221</v>
      </c>
    </row>
    <row r="21" spans="1:16" hidden="1" x14ac:dyDescent="0.25">
      <c r="A21" t="s">
        <v>222</v>
      </c>
    </row>
    <row r="22" spans="1:16" hidden="1" x14ac:dyDescent="0.25">
      <c r="A22" t="s">
        <v>223</v>
      </c>
    </row>
    <row r="23" spans="1:16" x14ac:dyDescent="0.25">
      <c r="A23" s="108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55"/>
    </row>
    <row r="24" spans="1:16" ht="15.75" x14ac:dyDescent="0.25">
      <c r="A24" s="109" t="s">
        <v>4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</row>
    <row r="25" spans="1:16" ht="39" customHeight="1" x14ac:dyDescent="0.25">
      <c r="A25" s="95" t="s">
        <v>224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</row>
    <row r="26" spans="1:16" ht="51" customHeight="1" x14ac:dyDescent="0.25">
      <c r="A26" s="95" t="s">
        <v>225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</row>
    <row r="27" spans="1:16" ht="51" customHeight="1" x14ac:dyDescent="0.25">
      <c r="A27" s="95" t="s">
        <v>226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</row>
    <row r="28" spans="1:16" ht="47.25" customHeight="1" x14ac:dyDescent="0.25">
      <c r="A28" s="94" t="s">
        <v>227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</row>
    <row r="29" spans="1:16" ht="59.25" customHeight="1" x14ac:dyDescent="0.25">
      <c r="A29" s="95" t="s">
        <v>228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</row>
    <row r="30" spans="1:16" x14ac:dyDescent="0.25">
      <c r="A30" s="96" t="s">
        <v>229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8"/>
    </row>
    <row r="31" spans="1:16" x14ac:dyDescent="0.25">
      <c r="A31" s="99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1"/>
    </row>
    <row r="32" spans="1:16" x14ac:dyDescent="0.25">
      <c r="A32" s="99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1"/>
    </row>
    <row r="33" spans="1:15" x14ac:dyDescent="0.25">
      <c r="A33" s="99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1"/>
    </row>
    <row r="34" spans="1:15" x14ac:dyDescent="0.25">
      <c r="A34" s="99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1"/>
    </row>
    <row r="35" spans="1:15" x14ac:dyDescent="0.25">
      <c r="A35" s="102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4"/>
    </row>
  </sheetData>
  <mergeCells count="9">
    <mergeCell ref="A28:O28"/>
    <mergeCell ref="A29:O29"/>
    <mergeCell ref="A30:O35"/>
    <mergeCell ref="A12:L12"/>
    <mergeCell ref="A23:O23"/>
    <mergeCell ref="A24:O24"/>
    <mergeCell ref="A25:O25"/>
    <mergeCell ref="A26:O26"/>
    <mergeCell ref="A27:O2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B63A7-70B0-4BF1-82F2-D2CE54674509}">
  <sheetPr>
    <tabColor theme="4"/>
  </sheetPr>
  <dimension ref="A2:Z23"/>
  <sheetViews>
    <sheetView workbookViewId="0">
      <selection activeCell="C11" sqref="C11"/>
    </sheetView>
  </sheetViews>
  <sheetFormatPr defaultRowHeight="15" x14ac:dyDescent="0.25"/>
  <cols>
    <col min="1" max="1" width="4.28515625" style="23" customWidth="1"/>
    <col min="2" max="2" width="28.28515625" style="37" customWidth="1"/>
    <col min="3" max="3" width="7.28515625" style="37" customWidth="1"/>
    <col min="4" max="4" width="8.7109375" style="23" customWidth="1"/>
    <col min="5" max="5" width="9.5703125" style="23" customWidth="1"/>
    <col min="6" max="13" width="6.7109375" style="23" customWidth="1"/>
    <col min="14" max="16" width="9.5703125" style="23" customWidth="1"/>
    <col min="17" max="17" width="10" style="36" customWidth="1"/>
    <col min="18" max="18" width="10.140625" style="36" customWidth="1"/>
    <col min="19" max="26" width="9.140625" style="23"/>
  </cols>
  <sheetData>
    <row r="2" spans="1:20" ht="36" x14ac:dyDescent="0.25">
      <c r="A2" s="20" t="s">
        <v>0</v>
      </c>
      <c r="B2" s="21" t="s">
        <v>149</v>
      </c>
      <c r="C2" s="21" t="s">
        <v>2</v>
      </c>
      <c r="D2" s="21" t="s">
        <v>150</v>
      </c>
      <c r="E2" s="21" t="s">
        <v>151</v>
      </c>
      <c r="F2" s="21" t="s">
        <v>152</v>
      </c>
      <c r="G2" s="21" t="s">
        <v>153</v>
      </c>
      <c r="H2" s="21" t="s">
        <v>154</v>
      </c>
      <c r="I2" s="21" t="s">
        <v>155</v>
      </c>
      <c r="J2" s="21" t="s">
        <v>156</v>
      </c>
      <c r="K2" s="21" t="s">
        <v>157</v>
      </c>
      <c r="L2" s="21" t="s">
        <v>158</v>
      </c>
      <c r="M2" s="21" t="s">
        <v>159</v>
      </c>
      <c r="N2" s="21" t="s">
        <v>143</v>
      </c>
      <c r="O2" s="21" t="s">
        <v>160</v>
      </c>
      <c r="P2" s="22" t="s">
        <v>161</v>
      </c>
      <c r="Q2" s="22" t="s">
        <v>162</v>
      </c>
      <c r="R2" s="22" t="s">
        <v>163</v>
      </c>
    </row>
    <row r="3" spans="1:20" ht="36" x14ac:dyDescent="0.25">
      <c r="A3" s="24">
        <v>1</v>
      </c>
      <c r="B3" s="25" t="s">
        <v>164</v>
      </c>
      <c r="C3" s="26" t="s">
        <v>165</v>
      </c>
      <c r="D3" s="24">
        <v>72</v>
      </c>
      <c r="E3" s="26" t="s">
        <v>166</v>
      </c>
      <c r="F3" s="27">
        <v>31.69</v>
      </c>
      <c r="G3" s="27">
        <v>33.950000000000003</v>
      </c>
      <c r="H3" s="27">
        <v>44.24</v>
      </c>
      <c r="I3" s="28">
        <v>39.99</v>
      </c>
      <c r="J3" s="28">
        <v>37.19</v>
      </c>
      <c r="K3" s="24" t="s">
        <v>3</v>
      </c>
      <c r="L3" s="24" t="s">
        <v>3</v>
      </c>
      <c r="M3" s="28" t="s">
        <v>3</v>
      </c>
      <c r="N3" s="29">
        <f>AVERAGE(F3:J3)</f>
        <v>37.411999999999999</v>
      </c>
      <c r="O3" s="29">
        <f>STDEVPA(F3:J3)</f>
        <v>4.4281752449513787</v>
      </c>
      <c r="P3" s="30">
        <f>(O3/N3)*100</f>
        <v>11.836243036863516</v>
      </c>
      <c r="Q3" s="29">
        <f t="shared" ref="Q3:Q12" si="0">D3*N3</f>
        <v>2693.6639999999998</v>
      </c>
      <c r="R3" s="29">
        <f>Q3/12</f>
        <v>224.47199999999998</v>
      </c>
    </row>
    <row r="4" spans="1:20" ht="36" x14ac:dyDescent="0.25">
      <c r="A4" s="24">
        <f>A3+1</f>
        <v>2</v>
      </c>
      <c r="B4" s="25" t="s">
        <v>167</v>
      </c>
      <c r="C4" s="26" t="s">
        <v>165</v>
      </c>
      <c r="D4" s="24">
        <v>6</v>
      </c>
      <c r="E4" s="26">
        <v>450515</v>
      </c>
      <c r="F4" s="31">
        <v>32</v>
      </c>
      <c r="G4" s="31">
        <v>40</v>
      </c>
      <c r="H4" s="32">
        <v>37.799999999999997</v>
      </c>
      <c r="I4" s="32">
        <v>24.9</v>
      </c>
      <c r="J4" s="24" t="s">
        <v>3</v>
      </c>
      <c r="K4" s="24" t="s">
        <v>3</v>
      </c>
      <c r="L4" s="24" t="s">
        <v>3</v>
      </c>
      <c r="M4" s="24" t="s">
        <v>3</v>
      </c>
      <c r="N4" s="29">
        <f>AVERAGE(F4:I4)</f>
        <v>33.674999999999997</v>
      </c>
      <c r="O4" s="29">
        <f>STDEVPA(F4:I4)</f>
        <v>5.8486643774455107</v>
      </c>
      <c r="P4" s="30">
        <f t="shared" ref="P4:P10" si="1">(O4/N4)*100</f>
        <v>17.367971425227946</v>
      </c>
      <c r="Q4" s="29">
        <f t="shared" si="0"/>
        <v>202.04999999999998</v>
      </c>
      <c r="R4" s="29">
        <f t="shared" ref="R4:R12" si="2">Q4/12</f>
        <v>16.837499999999999</v>
      </c>
    </row>
    <row r="5" spans="1:20" x14ac:dyDescent="0.25">
      <c r="A5" s="24">
        <f t="shared" ref="A5:A12" si="3">A4+1</f>
        <v>3</v>
      </c>
      <c r="B5" s="25" t="s">
        <v>168</v>
      </c>
      <c r="C5" s="26" t="s">
        <v>165</v>
      </c>
      <c r="D5" s="24">
        <v>12</v>
      </c>
      <c r="E5" s="26">
        <v>102407</v>
      </c>
      <c r="F5" s="31">
        <v>32.99</v>
      </c>
      <c r="G5" s="31">
        <v>42</v>
      </c>
      <c r="H5" s="32">
        <v>27.51</v>
      </c>
      <c r="I5" s="32">
        <v>32.85</v>
      </c>
      <c r="J5" s="32">
        <v>34.99</v>
      </c>
      <c r="K5" s="24"/>
      <c r="L5" s="24"/>
      <c r="M5" s="32" t="s">
        <v>3</v>
      </c>
      <c r="N5" s="29">
        <f>AVERAGE(F5:J5)</f>
        <v>34.068000000000005</v>
      </c>
      <c r="O5" s="29">
        <f>STDEVPA(F5:J5)</f>
        <v>4.6780269345098544</v>
      </c>
      <c r="P5" s="30">
        <f t="shared" si="1"/>
        <v>13.731439868820752</v>
      </c>
      <c r="Q5" s="29">
        <f t="shared" si="0"/>
        <v>408.81600000000003</v>
      </c>
      <c r="R5" s="29">
        <f t="shared" si="2"/>
        <v>34.068000000000005</v>
      </c>
    </row>
    <row r="6" spans="1:20" ht="24" x14ac:dyDescent="0.25">
      <c r="A6" s="24">
        <f t="shared" si="3"/>
        <v>4</v>
      </c>
      <c r="B6" s="25" t="s">
        <v>169</v>
      </c>
      <c r="C6" s="26" t="s">
        <v>165</v>
      </c>
      <c r="D6" s="24">
        <v>48</v>
      </c>
      <c r="E6" s="26">
        <v>137057</v>
      </c>
      <c r="F6" s="31">
        <v>3.4</v>
      </c>
      <c r="G6" s="31">
        <v>3.41</v>
      </c>
      <c r="H6" s="31">
        <v>3.75</v>
      </c>
      <c r="I6" s="31">
        <v>4.3</v>
      </c>
      <c r="J6" s="32">
        <v>5.38</v>
      </c>
      <c r="K6" s="32">
        <v>4.75</v>
      </c>
      <c r="L6" s="24" t="s">
        <v>3</v>
      </c>
      <c r="M6" s="24" t="s">
        <v>3</v>
      </c>
      <c r="N6" s="29">
        <f>AVERAGE(F6:K6)</f>
        <v>4.165</v>
      </c>
      <c r="O6" s="29">
        <f>STDEVPA(F6:K6)</f>
        <v>0.72619441841240717</v>
      </c>
      <c r="P6" s="30">
        <f t="shared" si="1"/>
        <v>17.435640298016981</v>
      </c>
      <c r="Q6" s="29">
        <f t="shared" si="0"/>
        <v>199.92000000000002</v>
      </c>
      <c r="R6" s="29">
        <f t="shared" si="2"/>
        <v>16.66</v>
      </c>
    </row>
    <row r="7" spans="1:20" ht="36" x14ac:dyDescent="0.25">
      <c r="A7" s="24">
        <f t="shared" si="3"/>
        <v>5</v>
      </c>
      <c r="B7" s="25" t="s">
        <v>170</v>
      </c>
      <c r="C7" s="26" t="s">
        <v>165</v>
      </c>
      <c r="D7" s="24">
        <v>6</v>
      </c>
      <c r="E7" s="26" t="s">
        <v>171</v>
      </c>
      <c r="F7" s="31">
        <v>10.14</v>
      </c>
      <c r="G7" s="31">
        <v>11.58</v>
      </c>
      <c r="H7" s="31">
        <v>11.74</v>
      </c>
      <c r="I7" s="31">
        <v>13.74</v>
      </c>
      <c r="J7" s="31">
        <v>14.55</v>
      </c>
      <c r="K7" s="32">
        <v>13.82</v>
      </c>
      <c r="L7" s="32">
        <v>13.49</v>
      </c>
      <c r="M7" s="32">
        <v>14.89</v>
      </c>
      <c r="N7" s="29">
        <f>AVERAGE(F7:M7)</f>
        <v>12.993749999999999</v>
      </c>
      <c r="O7" s="29">
        <f>STDEVPA(F7:M7)</f>
        <v>1.5499188486821007</v>
      </c>
      <c r="P7" s="30">
        <f>(O7/N7)*100</f>
        <v>11.928187387644835</v>
      </c>
      <c r="Q7" s="29">
        <f t="shared" si="0"/>
        <v>77.962499999999991</v>
      </c>
      <c r="R7" s="29">
        <f t="shared" si="2"/>
        <v>6.4968749999999993</v>
      </c>
    </row>
    <row r="8" spans="1:20" ht="24" x14ac:dyDescent="0.25">
      <c r="A8" s="24">
        <f t="shared" si="3"/>
        <v>6</v>
      </c>
      <c r="B8" s="25" t="s">
        <v>172</v>
      </c>
      <c r="C8" s="26" t="s">
        <v>165</v>
      </c>
      <c r="D8" s="24">
        <v>48</v>
      </c>
      <c r="E8" s="26">
        <v>448266</v>
      </c>
      <c r="F8" s="31">
        <v>9.9</v>
      </c>
      <c r="G8" s="33">
        <v>6.99</v>
      </c>
      <c r="H8" s="34">
        <v>9.9600000000000009</v>
      </c>
      <c r="I8" s="33">
        <v>8.83</v>
      </c>
      <c r="J8" s="24" t="s">
        <v>3</v>
      </c>
      <c r="K8" s="24" t="s">
        <v>3</v>
      </c>
      <c r="L8" s="24" t="s">
        <v>3</v>
      </c>
      <c r="M8" s="24" t="s">
        <v>3</v>
      </c>
      <c r="N8" s="29">
        <f>AVERAGE(F8:I8)</f>
        <v>8.92</v>
      </c>
      <c r="O8" s="29">
        <f>STDEVPA(F8:I8)</f>
        <v>1.201561484069795</v>
      </c>
      <c r="P8" s="30">
        <f t="shared" si="1"/>
        <v>13.470420224997703</v>
      </c>
      <c r="Q8" s="29">
        <f t="shared" si="0"/>
        <v>428.15999999999997</v>
      </c>
      <c r="R8" s="29">
        <f t="shared" si="2"/>
        <v>35.68</v>
      </c>
    </row>
    <row r="9" spans="1:20" ht="48" x14ac:dyDescent="0.25">
      <c r="A9" s="24">
        <f t="shared" si="3"/>
        <v>7</v>
      </c>
      <c r="B9" s="25" t="s">
        <v>173</v>
      </c>
      <c r="C9" s="26" t="s">
        <v>165</v>
      </c>
      <c r="D9" s="24">
        <v>24</v>
      </c>
      <c r="E9" s="26" t="s">
        <v>174</v>
      </c>
      <c r="F9" s="31">
        <v>2.67</v>
      </c>
      <c r="G9" s="31">
        <v>3.07</v>
      </c>
      <c r="H9" s="32">
        <v>3.9</v>
      </c>
      <c r="I9" s="32">
        <v>3.99</v>
      </c>
      <c r="J9" s="24" t="s">
        <v>3</v>
      </c>
      <c r="K9" s="24" t="s">
        <v>3</v>
      </c>
      <c r="L9" s="24" t="s">
        <v>3</v>
      </c>
      <c r="M9" s="24" t="s">
        <v>3</v>
      </c>
      <c r="N9" s="29">
        <f>AVERAGE(F9:I9)</f>
        <v>3.4075000000000002</v>
      </c>
      <c r="O9" s="29">
        <f>STDEVPA(F9:I9)</f>
        <v>0.55670346684747507</v>
      </c>
      <c r="P9" s="30">
        <f t="shared" si="1"/>
        <v>16.337592570725608</v>
      </c>
      <c r="Q9" s="29">
        <f t="shared" si="0"/>
        <v>81.78</v>
      </c>
      <c r="R9" s="29">
        <f t="shared" si="2"/>
        <v>6.8150000000000004</v>
      </c>
    </row>
    <row r="10" spans="1:20" ht="48" x14ac:dyDescent="0.25">
      <c r="A10" s="24">
        <f t="shared" si="3"/>
        <v>8</v>
      </c>
      <c r="B10" s="25" t="s">
        <v>175</v>
      </c>
      <c r="C10" s="26" t="s">
        <v>165</v>
      </c>
      <c r="D10" s="24">
        <v>12</v>
      </c>
      <c r="E10" s="26" t="s">
        <v>176</v>
      </c>
      <c r="F10" s="31">
        <v>2.1</v>
      </c>
      <c r="G10" s="31">
        <v>2.1</v>
      </c>
      <c r="H10" s="31">
        <v>2.1</v>
      </c>
      <c r="I10" s="31">
        <v>2.19</v>
      </c>
      <c r="J10" s="31">
        <v>2.2200000000000002</v>
      </c>
      <c r="K10" s="32">
        <v>2.67</v>
      </c>
      <c r="L10" s="32">
        <v>3</v>
      </c>
      <c r="M10" s="24" t="s">
        <v>3</v>
      </c>
      <c r="N10" s="29">
        <f>AVERAGE(F10:L10)</f>
        <v>2.3400000000000003</v>
      </c>
      <c r="O10" s="29">
        <f>STDEVPA(F10:L10)</f>
        <v>0.32824207095199576</v>
      </c>
      <c r="P10" s="30">
        <f t="shared" si="1"/>
        <v>14.027438929572467</v>
      </c>
      <c r="Q10" s="29">
        <f t="shared" si="0"/>
        <v>28.080000000000005</v>
      </c>
      <c r="R10" s="29">
        <f t="shared" si="2"/>
        <v>2.3400000000000003</v>
      </c>
    </row>
    <row r="11" spans="1:20" ht="48" x14ac:dyDescent="0.25">
      <c r="A11" s="24">
        <f t="shared" si="3"/>
        <v>9</v>
      </c>
      <c r="B11" s="25" t="s">
        <v>177</v>
      </c>
      <c r="C11" s="26" t="s">
        <v>178</v>
      </c>
      <c r="D11" s="24">
        <v>12</v>
      </c>
      <c r="E11" s="26" t="s">
        <v>179</v>
      </c>
      <c r="F11" s="31">
        <v>5.6</v>
      </c>
      <c r="G11" s="31">
        <v>5.9</v>
      </c>
      <c r="H11" s="32">
        <v>4.6900000000000004</v>
      </c>
      <c r="I11" s="32">
        <v>5.65</v>
      </c>
      <c r="J11" s="24" t="s">
        <v>3</v>
      </c>
      <c r="K11" s="24" t="s">
        <v>3</v>
      </c>
      <c r="L11" s="24" t="s">
        <v>3</v>
      </c>
      <c r="M11" s="24" t="s">
        <v>3</v>
      </c>
      <c r="N11" s="29">
        <f>AVERAGE(F11:I11)</f>
        <v>5.4600000000000009</v>
      </c>
      <c r="O11" s="29">
        <f>STDEVPA(F11:I11)</f>
        <v>0.45885727628533901</v>
      </c>
      <c r="P11" s="30">
        <f>(O11/N11)*100</f>
        <v>8.4039794191454025</v>
      </c>
      <c r="Q11" s="29">
        <f t="shared" si="0"/>
        <v>65.52000000000001</v>
      </c>
      <c r="R11" s="29">
        <f>Q11/12</f>
        <v>5.4600000000000009</v>
      </c>
    </row>
    <row r="12" spans="1:20" ht="36" x14ac:dyDescent="0.25">
      <c r="A12" s="24">
        <f t="shared" si="3"/>
        <v>10</v>
      </c>
      <c r="B12" s="25" t="s">
        <v>180</v>
      </c>
      <c r="C12" s="26" t="s">
        <v>165</v>
      </c>
      <c r="D12" s="24">
        <v>4</v>
      </c>
      <c r="E12" s="26" t="s">
        <v>181</v>
      </c>
      <c r="F12" s="31">
        <v>15</v>
      </c>
      <c r="G12" s="31">
        <v>16</v>
      </c>
      <c r="H12" s="32">
        <v>10.4</v>
      </c>
      <c r="I12" s="32">
        <v>15.59</v>
      </c>
      <c r="J12" s="34">
        <v>12.65</v>
      </c>
      <c r="K12" s="24" t="s">
        <v>3</v>
      </c>
      <c r="L12" s="24" t="s">
        <v>3</v>
      </c>
      <c r="M12" s="24" t="s">
        <v>3</v>
      </c>
      <c r="N12" s="29">
        <f>AVERAGE(F12:J12)</f>
        <v>13.928000000000001</v>
      </c>
      <c r="O12" s="29">
        <f>STDEVPA(H12:J12)</f>
        <v>2.1250411760716545</v>
      </c>
      <c r="P12" s="30">
        <f>(O12/N12)*100</f>
        <v>15.25733182130711</v>
      </c>
      <c r="Q12" s="29">
        <f t="shared" si="0"/>
        <v>55.712000000000003</v>
      </c>
      <c r="R12" s="29">
        <f t="shared" si="2"/>
        <v>4.6426666666666669</v>
      </c>
    </row>
    <row r="13" spans="1:20" x14ac:dyDescent="0.25">
      <c r="A13" s="110" t="s">
        <v>182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2"/>
      <c r="Q13" s="35">
        <f>SUM(Q3:Q12)</f>
        <v>4241.6645000000008</v>
      </c>
      <c r="R13" s="35">
        <f>SUM(R3:R12)</f>
        <v>353.47204166666666</v>
      </c>
      <c r="T13" s="36"/>
    </row>
    <row r="14" spans="1:20" x14ac:dyDescent="0.25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</row>
    <row r="15" spans="1:20" ht="15.75" x14ac:dyDescent="0.25">
      <c r="A15" s="114" t="s">
        <v>183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6"/>
    </row>
    <row r="16" spans="1:20" ht="31.5" customHeight="1" x14ac:dyDescent="0.25">
      <c r="A16" s="95" t="s">
        <v>184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</row>
    <row r="17" spans="1:18" ht="40.5" customHeight="1" x14ac:dyDescent="0.25">
      <c r="A17" s="95" t="s">
        <v>185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</row>
    <row r="18" spans="1:18" x14ac:dyDescent="0.25">
      <c r="A18" s="95" t="s">
        <v>186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</row>
    <row r="19" spans="1:18" x14ac:dyDescent="0.25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</row>
    <row r="20" spans="1:18" x14ac:dyDescent="0.25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</row>
    <row r="21" spans="1:18" x14ac:dyDescent="0.25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</row>
    <row r="22" spans="1:18" x14ac:dyDescent="0.25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</row>
    <row r="23" spans="1:18" x14ac:dyDescent="0.25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</row>
  </sheetData>
  <mergeCells count="6">
    <mergeCell ref="A18:R23"/>
    <mergeCell ref="A13:P13"/>
    <mergeCell ref="A14:R14"/>
    <mergeCell ref="A15:R15"/>
    <mergeCell ref="A16:R16"/>
    <mergeCell ref="A17:R1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adestrador</vt:lpstr>
      <vt:lpstr>Uniformes</vt:lpstr>
      <vt:lpstr>Materiais</vt:lpstr>
      <vt:lpstr>adestrador!Area_de_impressao</vt:lpstr>
    </vt:vector>
  </TitlesOfParts>
  <Manager/>
  <Company>Policia Federal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ROBERTO MACHADO BARBOZA</dc:creator>
  <cp:keywords/>
  <dc:description/>
  <cp:lastModifiedBy>Adamo Henrique Louzada</cp:lastModifiedBy>
  <cp:revision/>
  <cp:lastPrinted>2023-04-17T17:41:16Z</cp:lastPrinted>
  <dcterms:created xsi:type="dcterms:W3CDTF">2021-04-28T10:24:08Z</dcterms:created>
  <dcterms:modified xsi:type="dcterms:W3CDTF">2023-11-08T13:19:08Z</dcterms:modified>
  <cp:category/>
  <cp:contentStatus/>
</cp:coreProperties>
</file>